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hidePivotFieldList="1" defaultThemeVersion="124226"/>
  <bookViews>
    <workbookView xWindow="65521" yWindow="6690" windowWidth="28830" windowHeight="6735" tabRatio="948" activeTab="0"/>
  </bookViews>
  <sheets>
    <sheet name="Income Statement Cash Flows" sheetId="12" r:id="rId1"/>
    <sheet name="Current Revenue Test" sheetId="22" r:id="rId2"/>
    <sheet name="Current Evans Table" sheetId="25" r:id="rId3"/>
    <sheet name="Revised Revenue Test" sheetId="23" r:id="rId4"/>
    <sheet name="Revised Evans Table" sheetId="26" r:id="rId5"/>
    <sheet name="Rev Test Summary (Table1)" sheetId="42" r:id="rId6"/>
    <sheet name="Statement D Table 1" sheetId="41" r:id="rId7"/>
    <sheet name="Statement E" sheetId="40" r:id="rId8"/>
    <sheet name="Debt to Asset Ratio" sheetId="46" r:id="rId9"/>
    <sheet name="cost table" sheetId="1" r:id="rId10"/>
    <sheet name="Inputs for Evans Tables" sheetId="27" r:id="rId11"/>
    <sheet name="Non-Federal DS" sheetId="9" r:id="rId12"/>
    <sheet name="Federal Capital Costs" sheetId="28" r:id="rId13"/>
    <sheet name="Fed Projections" sheetId="35" r:id="rId14"/>
    <sheet name="IPR Data" sheetId="36" r:id="rId15"/>
    <sheet name="Depreciation" sheetId="45" r:id="rId16"/>
    <sheet name="Modeling results" sheetId="24" r:id="rId17"/>
    <sheet name="interest credit calculations" sheetId="7" r:id="rId18"/>
    <sheet name="R&amp;D split" sheetId="4" r:id="rId19"/>
    <sheet name="REP staff costs" sheetId="3" r:id="rId20"/>
    <sheet name="EE staffing split" sheetId="5" r:id="rId21"/>
    <sheet name="COSA" sheetId="14" r:id="rId22"/>
    <sheet name="equivalent annual costs" sheetId="13" r:id="rId23"/>
  </sheets>
  <definedNames>
    <definedName name="_Key1" hidden="1">#REF!</definedName>
    <definedName name="_Sort" hidden="1">#REF!</definedName>
    <definedName name="wrn.7b2." hidden="1">{"pfexch7b2",#N/A,FALSE,"7(b)(2)";"PFPREF7b2",#N/A,FALSE,"7(b)(2)"}</definedName>
    <definedName name="wrn.COSTS." hidden="1">{"costs97",#N/A,FALSE,"COSA";"costs98",#N/A,FALSE,"COSA";"costs99",#N/A,FALSE,"COSA";"costs00",#N/A,FALSE,"COSA";"costs01",#N/A,FALSE,"COSA";"costsTP",#N/A,FALSE,"COSA"}</definedName>
    <definedName name="wrn.rates." hidden="1">{"dsino7b2",#N/A,FALSE,"RATES";"nrno7b2",#N/A,FALSE,"RATES";"pfno7b2",#N/A,FALSE,"RATES"}</definedName>
    <definedName name="wrn.WPRDSAll." hidden="1">{"COSA06FY97",#N/A,FALSE,"COSA";"COSA06FY98",#N/A,FALSE,"COSA";"COSA06FY99",#N/A,FALSE,"COSA";"COSA06FY00",#N/A,FALSE,"COSA";"COSA06FY01",#N/A,FALSE,"COSA";"COSA08",#N/A,FALSE,"COSA";"COSA09",#N/A,FALSE,"COSA";"COSA11",#N/A,FALSE,"COSA";"RDS01",#N/A,FALSE,"COSA";"RDS02",#N/A,FALSE,"ADJUST1";"RDS04",#N/A,FALSE,"ADJUST1";"RDS05_RDS06",#N/A,FALSE,"ADJUST1";"RDS07",#N/A,FALSE,"ADJUST1";"RDS11",#N/A,FALSE,"ADJUST2";"RDS12",#N/A,FALSE,"ADJUST2";"RDS15",#N/A,FALSE,"ADJUST2";"RDS16",#N/A,FALSE,"ADJUST2";"RDS16B",#N/A,FALSE,"ADJUST2";"RDS17",#N/A,FALSE,"ADJUST2";"RDS18",#N/A,FALSE,"ADJUST2";"RDS20",#N/A,FALSE,"DSI";"RDS21",#N/A,FALSE,"DSI";"RDS22",#N/A,FALSE,"DSI";"RDS23",#N/A,FALSE,"DSI";"RDS24",#N/A,FALSE,"DSI";"rds30_rds31",#N/A,FALSE,"7(b)(2)";"rds32",#N/A,FALSE,"7(b)(2)";"rds33",#N/A,FALSE,"7(b)(2)";"rds34",#N/A,FALSE,"7(b)(2)";"rds34a",#N/A,FALSE,"7(b)(2)";"rds40p1",#N/A,FALSE,"CONTRA";"rds40p2",#N/A,FALSE,"CONTRA";"rds41",#N/A,FALSE,"CONTRA";"rds50",#N/A,FALSE,"7(b)(2)";"rds36",#N/A,FALSE,"7(b)(2)";"rds51",#N/A,FALSE,"RATES";"rds52",#N/A,FALSE,"RATES";"rds60a",#N/A,FALSE,"UNITCOST";"rds60b",#N/A,FALSE,"UNITCOST";"rds61",#N/A,FALSE,"UNITCOST";"rds62",#N/A,FALSE,"UNITCOST";"rds63",#N/A,FALSE,"UNITCOST";"recon01",#N/A,FALSE,"RECON";"recon02",#N/A,FALSE,"RECON";"recon03",#N/A,FALSE,"RECON";"recon04",#N/A,FALSE,"RECON";"resex01_p1",#N/A,FALSE,"RESEX";"resex01_p2",#N/A,FALSE,"RESEX"}</definedName>
    <definedName name="wrn.WPRDSLandscape." hidden="1">{"COSA06FY97",#N/A,FALSE,"COSA";"COSA06FY98",#N/A,FALSE,"COSA";"COSA06FY99",#N/A,FALSE,"COSA";"COSA06FY00",#N/A,FALSE,"COSA";"COSA06FY01",#N/A,FALSE,"COSA";"COSA08",#N/A,FALSE,"COSA";"COSA09",#N/A,FALSE,"COSA";"COSA11",#N/A,FALSE,"COSA";"RDS01",#N/A,FALSE,"COSA";"RDS02",#N/A,FALSE,"ADJUST1";"RDS04",#N/A,FALSE,"ADJUST1";"RDS20",#N/A,FALSE,"DSI";"RDS21",#N/A,FALSE,"DSI";"RDS22",#N/A,FALSE,"DSI";"RDS23",#N/A,FALSE,"DSI";"RDS24",#N/A,FALSE,"DSI";"rds32",#N/A,FALSE,"7(b)(2)";"rds33",#N/A,FALSE,"7(b)(2)";"rds34",#N/A,FALSE,"7(b)(2)";"rds40p1",#N/A,FALSE,"CONTRA";"rds40p2",#N/A,FALSE,"CONTRA";"rds41",#N/A,FALSE,"CONTRA";"rds50",#N/A,FALSE,"7(b)(2)";"rds36",#N/A,FALSE,"7(b)(2)";"rds51",#N/A,FALSE,"RATES";"rds52",#N/A,FALSE,"RATES";"rds63",#N/A,FALSE,"UNITCOST";"recon04",#N/A,FALSE,"RECON";"resex01_p1",#N/A,FALSE,"RESEX";"resex01_p2",#N/A,FALSE,"RESEX"}</definedName>
    <definedName name="wrn.WPRDSPortrait." hidden="1">{"RDS05_RDS06",#N/A,FALSE,"ADJUST1";"RDS07",#N/A,FALSE,"ADJUST1";"RDS11",#N/A,FALSE,"ADJUST2";"RDS12",#N/A,FALSE,"ADJUST2";"RDS15",#N/A,FALSE,"ADJUST2";"RDS16",#N/A,FALSE,"ADJUST2";"RDS16B",#N/A,FALSE,"ADJUST2";"RDS17",#N/A,FALSE,"ADJUST2";"RDS18",#N/A,FALSE,"ADJUST2";"rds30_rds31",#N/A,FALSE,"7(b)(2)";"rds34a",#N/A,FALSE,"7(b)(2)";"rds60a",#N/A,FALSE,"UNITCOST";"rds60b",#N/A,FALSE,"UNITCOST";"rds61",#N/A,FALSE,"UNITCOST";"rds62",#N/A,FALSE,"UNITCOST";"recon01",#N/A,FALSE,"RECON";"recon02",#N/A,FALSE,"RECON";"recon03",#N/A,FALSE,"RECON"}</definedName>
  </definedNames>
  <calcPr calcId="145621"/>
</workbook>
</file>

<file path=xl/sharedStrings.xml><?xml version="1.0" encoding="utf-8"?>
<sst xmlns="http://schemas.openxmlformats.org/spreadsheetml/2006/main" count="1834" uniqueCount="750">
  <si>
    <t>Power System Generation Resources</t>
  </si>
  <si>
    <t>Operating Generation</t>
  </si>
  <si>
    <t>Columbia Generating Station (WNP-2)</t>
  </si>
  <si>
    <t>Bureau of Reclamation</t>
  </si>
  <si>
    <t>Corps of Engineers</t>
  </si>
  <si>
    <t>Billing Credits Generation</t>
  </si>
  <si>
    <t>Cowlitz Falls O&amp;M</t>
  </si>
  <si>
    <t>Idaho Falls Bulb Turbine</t>
  </si>
  <si>
    <t>Clearwater Hatchery Generation</t>
  </si>
  <si>
    <t>Operating Generation Settlement Payment</t>
  </si>
  <si>
    <t>Non-Operating Generation</t>
  </si>
  <si>
    <t>Trojan Decomissioning</t>
  </si>
  <si>
    <t>WNP-1&amp;3 Decomissioning</t>
  </si>
  <si>
    <t>Contracted and Augmentation Power Purchases</t>
  </si>
  <si>
    <t>Hedging/Mitigation</t>
  </si>
  <si>
    <t>Bookout Adj to Contracted Power Purchases</t>
  </si>
  <si>
    <t>Exchanges and Settlements</t>
  </si>
  <si>
    <t>Residential Exchange Program Support</t>
  </si>
  <si>
    <t>Renewable and Conservation Generation</t>
  </si>
  <si>
    <t>Generation Conservation R&amp;D</t>
  </si>
  <si>
    <t>Conservation Acquisition</t>
  </si>
  <si>
    <t>Legacy Conservation</t>
  </si>
  <si>
    <t>Market Transformation</t>
  </si>
  <si>
    <t>Transmission Acquisition and Ancillary Services</t>
  </si>
  <si>
    <t>Third Party GTA Wheeling</t>
  </si>
  <si>
    <t>Power Non-Generation Operations</t>
  </si>
  <si>
    <t>PS System Operation</t>
  </si>
  <si>
    <t>Efficiencies Program</t>
  </si>
  <si>
    <t>Information Technology</t>
  </si>
  <si>
    <t>Slice Implementation</t>
  </si>
  <si>
    <t>PS Scheduling</t>
  </si>
  <si>
    <t>Operations Scheduling</t>
  </si>
  <si>
    <t>Operations Planning</t>
  </si>
  <si>
    <t>PS Marketing and Business Support</t>
  </si>
  <si>
    <t>Strategy, Finance &amp; Risk Mgmt</t>
  </si>
  <si>
    <t>Conservation Support</t>
  </si>
  <si>
    <t>Fish and Wildlife/USF&amp;W/Planning Council/Env Req.</t>
  </si>
  <si>
    <t>USF&amp;W Lower Snake Hatcheries</t>
  </si>
  <si>
    <t>Planning Council</t>
  </si>
  <si>
    <t>Environmental Requirements</t>
  </si>
  <si>
    <t>BPA Internal Support</t>
  </si>
  <si>
    <t>Additional Post-Retirement Contribution</t>
  </si>
  <si>
    <t>Bad Debt Expense/Other</t>
  </si>
  <si>
    <t>Bad Debt Expense (composite)</t>
  </si>
  <si>
    <t>Bad Debt Expense (non-slice)</t>
  </si>
  <si>
    <t>Depreciation and Amortization</t>
  </si>
  <si>
    <t>Depreciation</t>
  </si>
  <si>
    <t xml:space="preserve">Depreciation - BPA </t>
  </si>
  <si>
    <t>Depreciation - Corps</t>
  </si>
  <si>
    <t>Depreciation - Bureau</t>
  </si>
  <si>
    <t>Amortization</t>
  </si>
  <si>
    <t>Amortization - Legacy Conservation</t>
  </si>
  <si>
    <t>Amortization - Conservation Acquisitions</t>
  </si>
  <si>
    <t>Interest Expense</t>
  </si>
  <si>
    <t>Net Interest</t>
  </si>
  <si>
    <t>Interest On Appropriated Funds</t>
  </si>
  <si>
    <t>Capitalization Adjustment</t>
  </si>
  <si>
    <t>Interest On Treasury Bonds</t>
  </si>
  <si>
    <t>Interest Earned on BPA Fund for Power (composite)</t>
  </si>
  <si>
    <t>Interest Earned on BPA Fund for Power (non-slice)</t>
  </si>
  <si>
    <t>Net Interest into Cost Pools</t>
  </si>
  <si>
    <t>Net Interest into Cost Pools 7b2</t>
  </si>
  <si>
    <t>Net Revenue</t>
  </si>
  <si>
    <t>Minimum Required Net Revenue</t>
  </si>
  <si>
    <t>Payment of Irrigation Assistance</t>
  </si>
  <si>
    <t>Minimum Net Revenue into Cost Pools</t>
  </si>
  <si>
    <t>Minimum Net Revenue into Cost Pools 7b2</t>
  </si>
  <si>
    <t>Planned Net Revenues for Risk into Cost Pools</t>
  </si>
  <si>
    <t>Planned Net Revenues for Risk into Cost Pools 7b2</t>
  </si>
  <si>
    <t>Revenue Requirement Input Sheet</t>
  </si>
  <si>
    <t>RAM Input</t>
  </si>
  <si>
    <t>Category</t>
  </si>
  <si>
    <t>SubCategory</t>
  </si>
  <si>
    <t>SubSubCategory</t>
  </si>
  <si>
    <t>Year</t>
  </si>
  <si>
    <t>New Resources Integration Wheeling</t>
  </si>
  <si>
    <t>Operating Generation Settlement Payment (Colville)</t>
  </si>
  <si>
    <t>PNCA Headwater Benefits</t>
  </si>
  <si>
    <t>Tier 1 Augmentation Resources (Klondike III)</t>
  </si>
  <si>
    <t>Other Committed Purchase (excl. Hedging)</t>
  </si>
  <si>
    <t>Residential Exchange (IOU)</t>
  </si>
  <si>
    <t>Residential Exchange (COU)</t>
  </si>
  <si>
    <t>Residential Exchange (Refund)</t>
  </si>
  <si>
    <t>Renewables R&amp;D</t>
  </si>
  <si>
    <t>Renewable Generation</t>
  </si>
  <si>
    <t>Low Income Energy Efficiency</t>
  </si>
  <si>
    <t>Reimbursable Energy Efficiency Development</t>
  </si>
  <si>
    <t>Trans &amp; Ancillary Svcs</t>
  </si>
  <si>
    <t>Trans &amp; Ancillary Svcs (sys oblig)</t>
  </si>
  <si>
    <t xml:space="preserve">Power 3rd Party Trans &amp; Ancillary Svcs </t>
  </si>
  <si>
    <t>Trans Acq Generation Integration</t>
  </si>
  <si>
    <t xml:space="preserve">Power Telemetering/Equipment Replacement </t>
  </si>
  <si>
    <t xml:space="preserve">Generation Project Coordination  </t>
  </si>
  <si>
    <t xml:space="preserve">Slice costs Charged to Slice Customers </t>
  </si>
  <si>
    <t xml:space="preserve">Sales and Support </t>
  </si>
  <si>
    <t>Executive and Administrative Svcs</t>
  </si>
  <si>
    <t xml:space="preserve">Fish and Wildlife </t>
  </si>
  <si>
    <t>Agency Svs for Power for Rev Req schedule</t>
  </si>
  <si>
    <t>Agency Svs for Energy Efficiency for Rev Req schedule</t>
  </si>
  <si>
    <t>Amortization - CRFM</t>
  </si>
  <si>
    <t>Power Net Interest - Hydro Allocation</t>
  </si>
  <si>
    <t>Power Net Interest - Fish &amp; Wildlife Allocation</t>
  </si>
  <si>
    <t>Power Net Interest - Conservation Allocation</t>
  </si>
  <si>
    <t>Power Net Interest - BPA Programs Allocation</t>
  </si>
  <si>
    <t>Power Net Interest Hydro 7b2 Allocation</t>
  </si>
  <si>
    <t>Power Net Interest Fish &amp; Wildlife 7b2 Allocation</t>
  </si>
  <si>
    <t>Power Net Interest BPA Programs 7b2 Allocation</t>
  </si>
  <si>
    <t>Repayment of Treasury Borrowings</t>
  </si>
  <si>
    <t>Depreciation (MRNR - Reverse sign)</t>
  </si>
  <si>
    <t>Amortization (MRNR - Reverse sign)</t>
  </si>
  <si>
    <t>Capitalization Adjustment (MRNR - Reverse Sign)</t>
  </si>
  <si>
    <t>Capitalized Bond Premium (Reverse Sign)</t>
  </si>
  <si>
    <t>Repayment of Federal Appropriations</t>
  </si>
  <si>
    <t>Accrual Revenues (MRNR Adjustment - Reverse Sign)</t>
  </si>
  <si>
    <t>Revenue Financing Requirement</t>
  </si>
  <si>
    <t>Depreciation Exceeds Cash Expense</t>
  </si>
  <si>
    <t>Power MNetRev - Hydro 7b2 Allocation</t>
  </si>
  <si>
    <t>Power MNetRev - Fish &amp; Wildlife 7b2 Allocation</t>
  </si>
  <si>
    <t>Power MNetRev - PBA Programs 7b2 Allocation</t>
  </si>
  <si>
    <t>AFUDC</t>
  </si>
  <si>
    <t>Power MNetRev - Hydro Allocation</t>
  </si>
  <si>
    <t>Power MNetRev - Fish &amp; Wildlife Allocation</t>
  </si>
  <si>
    <t>Power MNetRev - Conservation Allocation</t>
  </si>
  <si>
    <t>Power MNetRev - BPA Programs Allocation</t>
  </si>
  <si>
    <t>Power PNetRev - Hydro Allocation</t>
  </si>
  <si>
    <t>Power PNetRev - Fish &amp; Wildlife Allocation</t>
  </si>
  <si>
    <t>Power PNetRev - Conservation Allocation</t>
  </si>
  <si>
    <t>Power PNetRev - BPA Programs Allocation</t>
  </si>
  <si>
    <t>Power PNetRev - Hydro 7b2 Allocation</t>
  </si>
  <si>
    <t>Power PNetRev - Fish &amp; Wildlife 7b2 Allocation</t>
  </si>
  <si>
    <t>Power PNetRev - BPA Programs 7b2 Allocation</t>
  </si>
  <si>
    <t>Residential Exchange Interest Accrual</t>
  </si>
  <si>
    <t>PNCA HEADWATER BENEFITS</t>
  </si>
  <si>
    <t>AUGMENTATION POWER PURCHASES</t>
  </si>
  <si>
    <t>RENEWABLES</t>
  </si>
  <si>
    <t>CONSERVATION ACQUISITION</t>
  </si>
  <si>
    <t>LEGACY</t>
  </si>
  <si>
    <t>MARKET TRANSFORMATION</t>
  </si>
  <si>
    <t>INFORMATION TECHNOLOGY</t>
  </si>
  <si>
    <t>SLICE IMPLEMENTATION</t>
  </si>
  <si>
    <t>OPERATIONS PLANNING</t>
  </si>
  <si>
    <t>POWER R&amp;D</t>
  </si>
  <si>
    <t>SALES &amp; SUPPORT</t>
  </si>
  <si>
    <t>CONSERVATION SUPPORT</t>
  </si>
  <si>
    <t>3RD PARTY GTA WHEELING</t>
  </si>
  <si>
    <t>Interest Income</t>
  </si>
  <si>
    <t xml:space="preserve">R&amp;D </t>
  </si>
  <si>
    <t>Net Amt</t>
  </si>
  <si>
    <t>PSI</t>
  </si>
  <si>
    <t>NON-GENERATION OPERATIONS</t>
  </si>
  <si>
    <t>EXECUTIVE &amp; ADMINISTRATIVE SVC</t>
  </si>
  <si>
    <t>STRATEGY, FINANCE &amp; RISK MGMT</t>
  </si>
  <si>
    <t>RES EXCH &amp; IOU SETTLEMENTS</t>
  </si>
  <si>
    <t>Total</t>
  </si>
  <si>
    <t>IDAHO FALLS BULB TURBINE</t>
  </si>
  <si>
    <t>COWLITZ FALLS O&amp;M</t>
  </si>
  <si>
    <t>BILLING CREDITS GENERATION</t>
  </si>
  <si>
    <t>WAUNA</t>
  </si>
  <si>
    <t>NEW RESOURCS INTEGRTN WHEELING</t>
  </si>
  <si>
    <t>CLEARWATER HATCHERY GENERATION</t>
  </si>
  <si>
    <t>Allocation of Interest Earned on the Bonneville Fund</t>
  </si>
  <si>
    <t>($ in thousands)</t>
  </si>
  <si>
    <t>A</t>
  </si>
  <si>
    <t>B</t>
  </si>
  <si>
    <t>C</t>
  </si>
  <si>
    <t>D</t>
  </si>
  <si>
    <t>E</t>
  </si>
  <si>
    <t>F</t>
  </si>
  <si>
    <t>Interest rate</t>
  </si>
  <si>
    <t>Total interest credit from Rev Req</t>
  </si>
  <si>
    <t>OPERATING EXPENSES</t>
  </si>
  <si>
    <t>POWER SYSTEM GENERATION RESOURCES</t>
  </si>
  <si>
    <t>OPERATING GENERATION RESOURCES</t>
  </si>
  <si>
    <t>OPERATING GENERATION SETTLEMENT PAYMENTS</t>
  </si>
  <si>
    <t>NON-OPERATING GENERATION</t>
  </si>
  <si>
    <t>CONTRACTED POWER PURCHASES</t>
  </si>
  <si>
    <t>EXCHANGES &amp; SETTLEMENTS</t>
  </si>
  <si>
    <t>RENEWABLE GENERATION</t>
  </si>
  <si>
    <t>GENERATION CONSERVATION</t>
  </si>
  <si>
    <t>POWER NON-GENERATION OPERATIONS</t>
  </si>
  <si>
    <t>PS TRANSMISSION ACQUISITION AND ANCILLARY SERVICES</t>
  </si>
  <si>
    <t>GENERAL AND ADMINISTRATIVE/SHARED SERVICES</t>
  </si>
  <si>
    <t>OTHER INCOME, EXPENSES AND ADJUSTMENTS</t>
  </si>
  <si>
    <t>Irrigation Assistance</t>
  </si>
  <si>
    <t>INTEREST</t>
  </si>
  <si>
    <t>APPROPRIATED FUNDS</t>
  </si>
  <si>
    <t>CAPITALIZATION ADJUSTMENT</t>
  </si>
  <si>
    <t>BONDS ISSUED TO U.S. TREASURY</t>
  </si>
  <si>
    <t>ALLOWANCE FOR FUNDS USED DURING CONSTRUCTION</t>
  </si>
  <si>
    <t xml:space="preserve">INTEREST CREDIT ON CASH RESERVES </t>
  </si>
  <si>
    <t>TOTAL EXPENSES</t>
  </si>
  <si>
    <t>MINIMUM REQUIRED NET REVENUE 1/</t>
  </si>
  <si>
    <t>PLANNED NET REVENUE FOR RISK</t>
  </si>
  <si>
    <t>DEPRECIATION</t>
  </si>
  <si>
    <t>AMORTIZATION</t>
  </si>
  <si>
    <t>TOTAL OPERATING EXPENSES</t>
  </si>
  <si>
    <t>Cash flow generated</t>
  </si>
  <si>
    <t>repayment study interest credit</t>
  </si>
  <si>
    <t>Fiscal Year</t>
  </si>
  <si>
    <t>WNP-1</t>
  </si>
  <si>
    <t>CGS</t>
  </si>
  <si>
    <t>Wasco</t>
  </si>
  <si>
    <t>Cowlitz</t>
  </si>
  <si>
    <t>WNP-3</t>
  </si>
  <si>
    <t>Non Federal Interest (prepay)</t>
  </si>
  <si>
    <t>Prepay  Credits (MRNR Adjustment - Reverse Sign)</t>
  </si>
  <si>
    <t>Non Federal Interest (prepay))MRNR-reverse sign)</t>
  </si>
  <si>
    <t>SOY Cash Balance</t>
  </si>
  <si>
    <t>EOY Cash Balance 1/</t>
  </si>
  <si>
    <t>Average Cash Balance</t>
  </si>
  <si>
    <t>LONG-TERM CONTRACT GEN PROJ Total</t>
  </si>
  <si>
    <t>TROJAN O&amp;M</t>
  </si>
  <si>
    <t>WNP-1,3&amp;4 O&amp;M</t>
  </si>
  <si>
    <t>NON-OPERATING GENERATION Total</t>
  </si>
  <si>
    <t>OTHER POWER PURCH(SHORT TERM)</t>
  </si>
  <si>
    <t>TIER 2 PWR PURCHASES-FY12RATES</t>
  </si>
  <si>
    <t>CONTRACT &amp; AUGMENT POWER PURCH Total</t>
  </si>
  <si>
    <t>ENERGY EFFICIENCY DEVELOPMENT</t>
  </si>
  <si>
    <t>LOW INCOME WEATHRZTN &amp; TRIBAL</t>
  </si>
  <si>
    <t>GENERATION CONSERVATION Total</t>
  </si>
  <si>
    <t>GENERATION INTEGRATION</t>
  </si>
  <si>
    <t>PBL- TRANS &amp; ANCILLARY SVCS</t>
  </si>
  <si>
    <t>3RD PARTY TRANS &amp; ANCILLRY SVC</t>
  </si>
  <si>
    <t>PBL TRANSMISSION ACQUISITION Total</t>
  </si>
  <si>
    <t>GENERATION PROJ COORDINATION</t>
  </si>
  <si>
    <t>OPERATIONS (SCHEDULING)</t>
  </si>
  <si>
    <t>NON-GENERATION OPERATIONS Total</t>
  </si>
  <si>
    <t>LOWER SNAKE HATCHERIES</t>
  </si>
  <si>
    <t>PLANNING COUNCIL</t>
  </si>
  <si>
    <t>FISH &amp; WILDLIFE</t>
  </si>
  <si>
    <t>FISH&amp;WILDLIFE&amp;PLANNING COUNCIL Total</t>
  </si>
  <si>
    <t>Interest</t>
  </si>
  <si>
    <t>GENERATION REVENUE REQUIREMENT</t>
  </si>
  <si>
    <t>INCOME STATEMENT</t>
  </si>
  <si>
    <t>TOTAL REVENUE REQUIREMENT</t>
  </si>
  <si>
    <t>1/</t>
  </si>
  <si>
    <t>STATEMENT OF CASH FLOWS</t>
  </si>
  <si>
    <t>CASH FROM OPERATING ACTIVITIES</t>
  </si>
  <si>
    <t>NON-CASH ITEMS:</t>
  </si>
  <si>
    <t>DEPRECIATION AND AMORTIZATION</t>
  </si>
  <si>
    <t>CASH PROVIDED BY OPERATING ACTIVITIES</t>
  </si>
  <si>
    <t>INVESTMENT IN:</t>
  </si>
  <si>
    <t>UTILITY PLANT (INCLUDING AFUDC)</t>
  </si>
  <si>
    <t>CASH FROM BORROWING AND APPROPRIATIONS:</t>
  </si>
  <si>
    <t>INCREASE IN BONDS ISSUED TO U.S. TREASURY</t>
  </si>
  <si>
    <t>REPAYMENT OF BONDS ISSUED TO U.S. TREASURY</t>
  </si>
  <si>
    <t>INCREASE IN FEDERAL CONSTRUCTION APPROPRIATIONS</t>
  </si>
  <si>
    <t>REPAYMENT OF FEDERAL CONSTRUCTION APPROPRIATIONS</t>
  </si>
  <si>
    <t>PAYMENT OF IRRIGATION ASSISTANCE</t>
  </si>
  <si>
    <t>CASH PROVIDED BY BORROWING AND APPROPRIATIONS</t>
  </si>
  <si>
    <t>ANNUAL INCREASE (DECREASE) IN CASH</t>
  </si>
  <si>
    <t>TOTAL ANNUAL INCREASE (DECREASE) IN CASH</t>
  </si>
  <si>
    <t>($000s)</t>
  </si>
  <si>
    <t>NON-FEDERAL INTEREST</t>
  </si>
  <si>
    <t>EQUIVALENT ANNUAL COSTS</t>
  </si>
  <si>
    <t>G</t>
  </si>
  <si>
    <t>H</t>
  </si>
  <si>
    <t>I</t>
  </si>
  <si>
    <t>J</t>
  </si>
  <si>
    <t>K</t>
  </si>
  <si>
    <t>L</t>
  </si>
  <si>
    <t>COMP</t>
  </si>
  <si>
    <t>WT AV</t>
  </si>
  <si>
    <t>AVG</t>
  </si>
  <si>
    <t>PLANT</t>
  </si>
  <si>
    <t>INT</t>
  </si>
  <si>
    <t>EQ ANN</t>
  </si>
  <si>
    <t>LIFE</t>
  </si>
  <si>
    <t>RATE</t>
  </si>
  <si>
    <t>COSTS</t>
  </si>
  <si>
    <t>Corps of Engineers/Bureau of Reclamation</t>
  </si>
  <si>
    <t>BPA F&amp;W</t>
  </si>
  <si>
    <t>PBL General Plant</t>
  </si>
  <si>
    <t>Energy Efficiency</t>
  </si>
  <si>
    <t>PBL</t>
  </si>
  <si>
    <t xml:space="preserve">  OFFICE FURNITURE &amp; FIXTURES</t>
  </si>
  <si>
    <t xml:space="preserve">  DATA PROCESSING EQUIPMENT</t>
  </si>
  <si>
    <t xml:space="preserve">  DATA PROCESSING SOFTWARE</t>
  </si>
  <si>
    <t>TOTAL GENERAL PLANT - PBL</t>
  </si>
  <si>
    <t>CONSERVATION</t>
  </si>
  <si>
    <t xml:space="preserve">   LEGACY</t>
  </si>
  <si>
    <t xml:space="preserve">   CONAUG</t>
  </si>
  <si>
    <t xml:space="preserve">   CONSERVATION ACQUISITION</t>
  </si>
  <si>
    <t>TOTAL CONSERVATION</t>
  </si>
  <si>
    <t>Generation Revenue Requirements by Resource Pool</t>
  </si>
  <si>
    <t>PROGRAM CASE</t>
  </si>
  <si>
    <t>FY:</t>
  </si>
  <si>
    <t>INVEST</t>
  </si>
  <si>
    <t>NET</t>
  </si>
  <si>
    <t>OPER</t>
  </si>
  <si>
    <t>TOTAL</t>
  </si>
  <si>
    <t>BASE</t>
  </si>
  <si>
    <t>REVS</t>
  </si>
  <si>
    <t>EXP</t>
  </si>
  <si>
    <t>(B+C+D)</t>
  </si>
  <si>
    <t xml:space="preserve"> 1. GENERATION COSTS</t>
  </si>
  <si>
    <t xml:space="preserve"> 2.  FEDERAL BASE SYSTEM</t>
  </si>
  <si>
    <t>Hydro</t>
  </si>
  <si>
    <t>All Other</t>
  </si>
  <si>
    <t>Generation</t>
  </si>
  <si>
    <t xml:space="preserve"> 3.    HYDRO</t>
  </si>
  <si>
    <t>Equivalent Annual Costs</t>
  </si>
  <si>
    <t xml:space="preserve"> 4.    FISH AND WILDLIFE</t>
  </si>
  <si>
    <t>Percent</t>
  </si>
  <si>
    <t xml:space="preserve"> 5.    TROJAN</t>
  </si>
  <si>
    <t xml:space="preserve"> 6.    WNP #1</t>
  </si>
  <si>
    <t>Net Interest Expense</t>
  </si>
  <si>
    <t xml:space="preserve"> 7.    CGS</t>
  </si>
  <si>
    <t xml:space="preserve"> 8.    WNP #3</t>
  </si>
  <si>
    <t>Planned Net Revenues</t>
  </si>
  <si>
    <t xml:space="preserve"> 9.    SYSTEM AUGMENTATION</t>
  </si>
  <si>
    <t>10.   BALANCING POWER PURCHASES</t>
  </si>
  <si>
    <t>11. TOTAL FEDERAL BASE SYSTEM</t>
  </si>
  <si>
    <t>12.  NEW RESOURCES</t>
  </si>
  <si>
    <t>13.    IDAHO FALLS</t>
  </si>
  <si>
    <t>14.    COWLITZ FALLS</t>
  </si>
  <si>
    <t>15.    OTHER LONG-TERM POWER PURCHASES</t>
  </si>
  <si>
    <t>16.  TOTAL NEW RESOURCES</t>
  </si>
  <si>
    <t xml:space="preserve">17.  RESIDENTIAL EXCHANGE </t>
  </si>
  <si>
    <t>18.  CONSERVATION</t>
  </si>
  <si>
    <t>19.  OTHER GENERATION COSTS</t>
  </si>
  <si>
    <t>20.    BPA PROGRAMS</t>
  </si>
  <si>
    <t>21.    WNP #3 PLANT</t>
  </si>
  <si>
    <t>22.  TOTAL OTHER GENERATION COSTS</t>
  </si>
  <si>
    <t>23. TOTAL GENERATION COSTS</t>
  </si>
  <si>
    <t>24. TRANSMISSION COSTS</t>
  </si>
  <si>
    <t>25.    TBL TRANSMISSION/ANCILLARY SERVICES</t>
  </si>
  <si>
    <t>26.    3RD PARTY TRANS/ANCILLARY SERVICES</t>
  </si>
  <si>
    <t>27.    GENERAL TRANSFER AGREEMENTS</t>
  </si>
  <si>
    <t>28. TOTAL TRANSMISSION COSTS</t>
  </si>
  <si>
    <t>29. TOTAL PBL REVENUE REQUIREMENT</t>
  </si>
  <si>
    <t>Average</t>
  </si>
  <si>
    <t>GENERATION</t>
  </si>
  <si>
    <t>2/</t>
  </si>
  <si>
    <t>3/</t>
  </si>
  <si>
    <t>($thousands)</t>
  </si>
  <si>
    <t>MRNR</t>
  </si>
  <si>
    <t>Fish &amp; Wildlife</t>
  </si>
  <si>
    <t>GENERATION REVISED REVENUE TEST</t>
  </si>
  <si>
    <t>REVENUES FROM PROPOSED RATES</t>
  </si>
  <si>
    <t>OPERATING GENERATION</t>
  </si>
  <si>
    <t>OPERATING GENERATION SETTLEMENTS</t>
  </si>
  <si>
    <t>F&amp;W/USF&amp;W/PLANNING COUNCIL</t>
  </si>
  <si>
    <t>BPA INTERNAL SUPPORT</t>
  </si>
  <si>
    <t>NET REVENUES</t>
  </si>
  <si>
    <t>NET REVENUES for Interest Income Calculation</t>
  </si>
  <si>
    <t>NON-CASH REVENUES</t>
  </si>
  <si>
    <t>CASH FLOW ADJUSTMENT (RESERVE)/APPLICATION</t>
  </si>
  <si>
    <t>CASH USED FOR INVESTMENT ACTIVITIES</t>
  </si>
  <si>
    <t>FEDERAL UTILITY PLANT (INCLUDING AFUDC)</t>
  </si>
  <si>
    <t>CASH FROM (AND USED FOR) FINANCING ACTIVITIES</t>
  </si>
  <si>
    <t>INCREASE IN TREASURY DEBT</t>
  </si>
  <si>
    <t>CUSTOMER PROCEEDS</t>
  </si>
  <si>
    <t>REPAYMENT OF TREASURY DEBT</t>
  </si>
  <si>
    <t>CASH USED FOR FINANCING ACTIVITIES</t>
  </si>
  <si>
    <t>Change in Cash for Interest Income Calculation</t>
  </si>
  <si>
    <t>GENERATION CURRENT REVENUE TEST</t>
  </si>
  <si>
    <t>REVENUES FROM CURRENT RATES</t>
  </si>
  <si>
    <t>Renewables Portion</t>
  </si>
  <si>
    <t>Conservation Portion</t>
  </si>
  <si>
    <t>Interest Income from Projected Cash Balances</t>
  </si>
  <si>
    <t>Generation Revised Revenue Test</t>
  </si>
  <si>
    <t>Repayment</t>
  </si>
  <si>
    <t>Period</t>
  </si>
  <si>
    <t>Annual Cash Surplus/(Deficit)</t>
  </si>
  <si>
    <t>SOY Cash Balance 1/</t>
  </si>
  <si>
    <t>EOY Cash Balance</t>
  </si>
  <si>
    <t>Interest Income Rate</t>
  </si>
  <si>
    <t>Interest on BPA Fund/Investments</t>
  </si>
  <si>
    <t>Repayment Study Interest Income</t>
  </si>
  <si>
    <t>Annual Interest Income</t>
  </si>
  <si>
    <t>credit for end of prior year</t>
  </si>
  <si>
    <t>in-year cash flow (rep study)</t>
  </si>
  <si>
    <t>total credit for first interation</t>
  </si>
  <si>
    <t>Prepayment Program Proceeds</t>
  </si>
  <si>
    <t>Generation Current Revenue Test</t>
  </si>
  <si>
    <t>Transmission Acquisition</t>
  </si>
  <si>
    <t>Secondary Market Power Purchases</t>
  </si>
  <si>
    <t>Augmentation Purchases</t>
  </si>
  <si>
    <t>Revenues at Proposed Rates</t>
  </si>
  <si>
    <t>Revenues at Current Rates</t>
  </si>
  <si>
    <t>Bonds</t>
  </si>
  <si>
    <t>Appropriations</t>
  </si>
  <si>
    <t>EE 3rd Party</t>
  </si>
  <si>
    <t>Principal</t>
  </si>
  <si>
    <t>Interest Credit</t>
  </si>
  <si>
    <t>Capitalized Bond Premiums</t>
  </si>
  <si>
    <t>Capitalized Bond Discounts</t>
  </si>
  <si>
    <t>Prepay Credit</t>
  </si>
  <si>
    <t>Program/Project</t>
  </si>
  <si>
    <t>COLUMBIA GEN STATION L2</t>
  </si>
  <si>
    <t>BUREAU OF RECLAMATION L2</t>
  </si>
  <si>
    <t>CORPS OF ENGINEERS L2</t>
  </si>
  <si>
    <t>OPERATING GEN SETTLEMENT</t>
  </si>
  <si>
    <t>DR &amp; SMART GRID</t>
  </si>
  <si>
    <t>POST-RETIREMENT BENEFITS</t>
  </si>
  <si>
    <t>AGENCY SERVICES G&amp;A</t>
  </si>
  <si>
    <t>Energy Efficiency Percentage of Total Power Staffing</t>
  </si>
  <si>
    <t>IPR1521</t>
  </si>
  <si>
    <t>PERSONNEL COMP &amp; BENEFITS</t>
  </si>
  <si>
    <t>2P</t>
  </si>
  <si>
    <t>2PB</t>
  </si>
  <si>
    <t>2PE</t>
  </si>
  <si>
    <t>2PG</t>
  </si>
  <si>
    <t>2PS</t>
  </si>
  <si>
    <t>2PT</t>
  </si>
  <si>
    <t>Percentage of Total Power Staffing</t>
  </si>
  <si>
    <t>Summary of PSI Department Expense</t>
  </si>
  <si>
    <t>BPA Programs</t>
  </si>
  <si>
    <t>*</t>
  </si>
  <si>
    <t>Total Interest Credit (ln 8 + 10 + 17)</t>
  </si>
  <si>
    <t>TVA Rev Offset</t>
  </si>
  <si>
    <t>CGS Total</t>
  </si>
  <si>
    <t>CGS Expenses</t>
  </si>
  <si>
    <t>CGS Adjustments</t>
  </si>
  <si>
    <t>DR &amp; Smart Grid</t>
  </si>
  <si>
    <t>PGE WNP3 Settlement</t>
  </si>
  <si>
    <t>Prepay Offset Credit</t>
  </si>
  <si>
    <t>CASH FROM INVESTMENT ACTIVITIES</t>
  </si>
  <si>
    <t>Debt Service Revenue Requirement</t>
  </si>
  <si>
    <t>Non-Federal Principal Payments</t>
  </si>
  <si>
    <t>Non-Federal Premium / Discounts (Net)</t>
  </si>
  <si>
    <t>Non-Federal  Principal Offsets</t>
  </si>
  <si>
    <t>Non-Federal Interest Payments</t>
  </si>
  <si>
    <t>Federal Principal Payments</t>
  </si>
  <si>
    <t>Federal Premium / Discounts (Net)</t>
  </si>
  <si>
    <t>Federal Interest Payments</t>
  </si>
  <si>
    <t>Irrigation Payments</t>
  </si>
  <si>
    <t>Revenue Surplus / (Shortfall)</t>
  </si>
  <si>
    <t>Total:</t>
  </si>
  <si>
    <t>Repayment Study</t>
  </si>
  <si>
    <t>Total NonFederal DS</t>
  </si>
  <si>
    <t>Fed Interest</t>
  </si>
  <si>
    <t>TABLE 3-10</t>
  </si>
  <si>
    <t>FEDERAL COLUMBIA RIVER POWER SYSTEM</t>
  </si>
  <si>
    <t>GENERATION REVENUES FROM PROPOSED RATES</t>
  </si>
  <si>
    <t>REVENUE REQUIREMENT AND REPAYMENT STUDY RESULTS THROUGH THE REPAYMENT PERIOD</t>
  </si>
  <si>
    <t>($000)</t>
  </si>
  <si>
    <t>PURCHASE</t>
  </si>
  <si>
    <t>AND</t>
  </si>
  <si>
    <t>FUNDS</t>
  </si>
  <si>
    <t>YEAR</t>
  </si>
  <si>
    <t>OPERATION &amp;</t>
  </si>
  <si>
    <t>EXCHANGE</t>
  </si>
  <si>
    <t>NONCASH</t>
  </si>
  <si>
    <t>FROM</t>
  </si>
  <si>
    <t>IRRIGATION</t>
  </si>
  <si>
    <t>COMBINED</t>
  </si>
  <si>
    <t>REVENUES</t>
  </si>
  <si>
    <t>MAINTENANCE</t>
  </si>
  <si>
    <t>POWER</t>
  </si>
  <si>
    <t>EXPENSES 1/</t>
  </si>
  <si>
    <t>OPERATION 2/</t>
  </si>
  <si>
    <t>(REV REQ STUDY</t>
  </si>
  <si>
    <t>POSITION</t>
  </si>
  <si>
    <t>CUMULATIVE</t>
  </si>
  <si>
    <t>(STATEMENT A)</t>
  </si>
  <si>
    <t>(STATEMENT E)</t>
  </si>
  <si>
    <t>(STATEMENT D)</t>
  </si>
  <si>
    <t>(F=A-B-C-D-E)</t>
  </si>
  <si>
    <t>(COLUMN D)</t>
  </si>
  <si>
    <t>(H=F+G)</t>
  </si>
  <si>
    <t>DOCUMENTATION)</t>
  </si>
  <si>
    <t>(STATEMENT C)</t>
  </si>
  <si>
    <t>(K=H-I-J)</t>
  </si>
  <si>
    <t>1977</t>
  </si>
  <si>
    <t>1978</t>
  </si>
  <si>
    <t>1979</t>
  </si>
  <si>
    <t>1980</t>
  </si>
  <si>
    <t>1981</t>
  </si>
  <si>
    <t>1982</t>
  </si>
  <si>
    <t>1983</t>
  </si>
  <si>
    <t>1984</t>
  </si>
  <si>
    <t>1985</t>
  </si>
  <si>
    <t>1986</t>
  </si>
  <si>
    <t>1987</t>
  </si>
  <si>
    <t>1988</t>
  </si>
  <si>
    <t>1989</t>
  </si>
  <si>
    <t>1990</t>
  </si>
  <si>
    <t>1991</t>
  </si>
  <si>
    <t>1992</t>
  </si>
  <si>
    <t>1993</t>
  </si>
  <si>
    <t>COST EVALUATION</t>
  </si>
  <si>
    <t>PERIOD</t>
  </si>
  <si>
    <t>RATE APPROVAL</t>
  </si>
  <si>
    <t>REPAYMENT</t>
  </si>
  <si>
    <t>TOTALS</t>
  </si>
  <si>
    <t>Rep Pd INT CREDIT w/out rep study amount:</t>
  </si>
  <si>
    <t>Includes normalization for CGS refueling, which affects Augmentation</t>
  </si>
  <si>
    <t xml:space="preserve">(takes total P&amp;E $, subtracts non-Fed debt service from last year of the </t>
  </si>
  <si>
    <t>Captialization Adj and</t>
  </si>
  <si>
    <t>rate period and adjusts for the difference between last year CGS</t>
  </si>
  <si>
    <t>Non-Federal Interest</t>
  </si>
  <si>
    <t>O&amp;M/Augmentation and the normalized version of CGS/Aug.)</t>
  </si>
  <si>
    <t>Non Fed (Prepay)</t>
  </si>
  <si>
    <t>Ave</t>
  </si>
  <si>
    <t>Normalization</t>
  </si>
  <si>
    <t>TABLE E-1</t>
  </si>
  <si>
    <t>ACTUAL O&amp;M AND PURCHASE AND EXCHANGE POWER</t>
  </si>
  <si>
    <t>Residential Exchange Program/IOU Settlement Benefits</t>
  </si>
  <si>
    <t>Purchase Power</t>
  </si>
  <si>
    <t>Trojan</t>
  </si>
  <si>
    <t>Columbia Generating Station</t>
  </si>
  <si>
    <t>Short-Term Power Purchases</t>
  </si>
  <si>
    <t>Purchases for Service at Tier 2 Rates</t>
  </si>
  <si>
    <t>Augmentation Power Purchases</t>
  </si>
  <si>
    <t>Long-Term Power Purchases</t>
  </si>
  <si>
    <t>DSI Monetized Power Sales</t>
  </si>
  <si>
    <t>Bookout Adjustment to Power Purchases</t>
  </si>
  <si>
    <t>Total Purchase Power</t>
  </si>
  <si>
    <t>Total Purchase &amp; Exchange Power</t>
  </si>
  <si>
    <t>Operation &amp; Maintenance Expenses</t>
  </si>
  <si>
    <t>Additional Post-retirement Contribution</t>
  </si>
  <si>
    <t>Power Marketing &amp; Business Support</t>
  </si>
  <si>
    <t>PS Systems Operations</t>
  </si>
  <si>
    <t>Power Scheduling</t>
  </si>
  <si>
    <t xml:space="preserve">Generation Conservation </t>
  </si>
  <si>
    <t>Fish &amp; Wildlife Program</t>
  </si>
  <si>
    <t>Transmission Acquisition &amp; Ancillary Services</t>
  </si>
  <si>
    <t>General &amp; Administrative/Shared Services</t>
  </si>
  <si>
    <t>U.S. Fish &amp; Wildlife</t>
  </si>
  <si>
    <t>Colville Settlement Payment</t>
  </si>
  <si>
    <t>Bad Debt Expense</t>
  </si>
  <si>
    <t>Other Income, Expenses, Adjustments</t>
  </si>
  <si>
    <t>Total O&amp;M</t>
  </si>
  <si>
    <t>Total O&amp;M and Purchase &amp; Exchange</t>
  </si>
  <si>
    <t>Rate Test Period</t>
  </si>
  <si>
    <t>Items not forecasted for rate development</t>
  </si>
  <si>
    <t>Adjustment</t>
  </si>
  <si>
    <t>Historical Period</t>
  </si>
  <si>
    <t>Forecast</t>
  </si>
  <si>
    <t>of Capitalized</t>
  </si>
  <si>
    <t>Credit</t>
  </si>
  <si>
    <t>Bond Premiums</t>
  </si>
  <si>
    <t>Credit on</t>
  </si>
  <si>
    <t>Net</t>
  </si>
  <si>
    <t>Fiscal</t>
  </si>
  <si>
    <t>Gross</t>
  </si>
  <si>
    <t>Bond</t>
  </si>
  <si>
    <t>(Repayment</t>
  </si>
  <si>
    <t>Subtotal</t>
  </si>
  <si>
    <t>&amp; Capitalization</t>
  </si>
  <si>
    <t>Cash</t>
  </si>
  <si>
    <t>Study)</t>
  </si>
  <si>
    <t>(B+C+D+E)</t>
  </si>
  <si>
    <t>Reserves</t>
  </si>
  <si>
    <t>Expense</t>
  </si>
  <si>
    <t>Historical</t>
  </si>
  <si>
    <t>Cost Evaluation Period</t>
  </si>
  <si>
    <t>Repayment Period</t>
  </si>
  <si>
    <t>Discounts</t>
  </si>
  <si>
    <t>Premiums/</t>
  </si>
  <si>
    <t>Hedging &amp; Mitigation</t>
  </si>
  <si>
    <t>Transmission Acquisition (sys oblig)</t>
  </si>
  <si>
    <t>Klondike III (Tier 1 augmentation)</t>
  </si>
  <si>
    <t>Tier 2</t>
  </si>
  <si>
    <t>Projected Revenues from Proposed Rates</t>
  </si>
  <si>
    <t>Projected Expenses</t>
  </si>
  <si>
    <t>Net Revenues</t>
  </si>
  <si>
    <t>Reserves for Risk</t>
  </si>
  <si>
    <t>Adjustments</t>
  </si>
  <si>
    <t>Prepay Interest Offset Credit</t>
  </si>
  <si>
    <t>Minimum required net revenues are added to ensure suffcient cash flow is available</t>
  </si>
  <si>
    <t>to repay the federal investment.</t>
  </si>
  <si>
    <t>Generation Detail of Net Interest Expense</t>
  </si>
  <si>
    <t>Interest on</t>
  </si>
  <si>
    <t>NON-CASH EXPENSES</t>
  </si>
  <si>
    <t>REPAYMENT OF NON-FEDERAL OBLIGATIONS</t>
  </si>
  <si>
    <t>Non-Cash Expenses</t>
  </si>
  <si>
    <t>Customer Proceeds</t>
  </si>
  <si>
    <t>CONSERVATION INFRASTRUCTURE</t>
  </si>
  <si>
    <t>ENERGY EFFICIENCY INITIATIVE</t>
  </si>
  <si>
    <t>BPA Managed EE</t>
  </si>
  <si>
    <t>KSI ASSET MANAGEMENT EXP</t>
  </si>
  <si>
    <t>KSI LT FINANCE&amp;RATES EXP</t>
  </si>
  <si>
    <t>KSI COM OPERATIONS EXP</t>
  </si>
  <si>
    <t>CORPORATE G&amp;A</t>
  </si>
  <si>
    <t>F&amp;W CORPORATE SUPPORT - G&amp;A</t>
  </si>
  <si>
    <t>Other Income &amp; Adjustment</t>
  </si>
  <si>
    <t>IPR1719FIN</t>
  </si>
  <si>
    <t>Amortization - Fish &amp; Wildlife</t>
  </si>
  <si>
    <t>Power R&amp;D</t>
  </si>
  <si>
    <t>all other Power R&amp;D</t>
  </si>
  <si>
    <t>Reserves not for Risk</t>
  </si>
  <si>
    <t>Generation Integration</t>
  </si>
  <si>
    <t>Residential Exchange net of PSE costs</t>
  </si>
  <si>
    <t>Res Ex</t>
  </si>
  <si>
    <t>Staffing costs</t>
  </si>
  <si>
    <t/>
  </si>
  <si>
    <t xml:space="preserve">FROM </t>
  </si>
  <si>
    <t>See note on Statement of Cash Flows</t>
  </si>
  <si>
    <t xml:space="preserve">   PURCH&amp;EXCH ANNUAL COSTS:</t>
  </si>
  <si>
    <t>PNRR</t>
  </si>
  <si>
    <t>Allocation factor for MRNR &amp; PNRR</t>
  </si>
  <si>
    <t>PURCH&amp;EXCH ANNUAL COSTS:</t>
  </si>
  <si>
    <t>PLANNED NET REVENUE, TOTAL (34+35)</t>
  </si>
  <si>
    <t>Table D-2</t>
  </si>
  <si>
    <t>Repayment Study =</t>
  </si>
  <si>
    <t>FY 2021 Study</t>
  </si>
  <si>
    <t>CGS (incl fuel)</t>
  </si>
  <si>
    <t>Federal Projects Depreciation Summary</t>
  </si>
  <si>
    <t>BPA (PBL + CORP GP)</t>
  </si>
  <si>
    <t>Corps  1/ 2/</t>
  </si>
  <si>
    <t>Bureau</t>
  </si>
  <si>
    <t xml:space="preserve">   Total Depreciation </t>
  </si>
  <si>
    <t>Amortization of Legacy Conservation</t>
  </si>
  <si>
    <t>Amortization of Conservation Acquisitions (5yr)</t>
  </si>
  <si>
    <t>Amortization of Conservation Acquisitions (12yr)</t>
  </si>
  <si>
    <t>Amortization of CRFM Intangible Investment</t>
  </si>
  <si>
    <t>Amortization of Fish &amp; Wildlife</t>
  </si>
  <si>
    <t xml:space="preserve">   Total Amortization</t>
  </si>
  <si>
    <t>Total Federal Projects Depreciation</t>
  </si>
  <si>
    <t>Excludes depreciation from investments</t>
  </si>
  <si>
    <t>paid for by BPA-TS</t>
  </si>
  <si>
    <t xml:space="preserve">Includes US Fish &amp; Wildlife </t>
  </si>
  <si>
    <t>SHIFT STUDY IF NEEDED</t>
  </si>
  <si>
    <t>BASE STUDY -- LONG TERM</t>
  </si>
  <si>
    <t>BASE STUDY -- Rate Period</t>
  </si>
  <si>
    <t>Calculated</t>
  </si>
  <si>
    <t>Deprec-</t>
  </si>
  <si>
    <t>Amort</t>
  </si>
  <si>
    <t>Total Reserves for Composite Cost Pool</t>
  </si>
  <si>
    <t>Composite Pool interest credit
(Line 1 X Line 2)</t>
  </si>
  <si>
    <t>Non-Slice Pool interest credit
(Line 4 - Line 3)</t>
  </si>
  <si>
    <t>CWIP</t>
  </si>
  <si>
    <t>Direct Funding (T bonds)</t>
  </si>
  <si>
    <t>Direct Funding (Prepay)</t>
  </si>
  <si>
    <t>Total Direct Funding</t>
  </si>
  <si>
    <t>Long Term Study</t>
  </si>
  <si>
    <t>Lines of Credit</t>
  </si>
  <si>
    <t xml:space="preserve">Other Income &amp; Expense (composite) </t>
  </si>
  <si>
    <t>Amortization -- CGS</t>
  </si>
  <si>
    <t>Amortization -- N. Wasco</t>
  </si>
  <si>
    <t>Amortization -- Cowlitz Falls</t>
  </si>
  <si>
    <t>Non Federal Interest (CGS)</t>
  </si>
  <si>
    <t>Non Federal Interest (N Wasco)</t>
  </si>
  <si>
    <t>Non Federal Interest (Lewis County)</t>
  </si>
  <si>
    <t>Repayment of NF Obligations (CGS)</t>
  </si>
  <si>
    <t>Repayment of NF Obligations (N Wasco)</t>
  </si>
  <si>
    <t>Repayment of NF Obligations (Cowlitz Falls)</t>
  </si>
  <si>
    <t>Federal plant additions</t>
  </si>
  <si>
    <t>Nonfederal plant additions</t>
  </si>
  <si>
    <t>Annual federal depreciation</t>
  </si>
  <si>
    <t>Federal debt additions</t>
  </si>
  <si>
    <t>Actuals</t>
  </si>
  <si>
    <t>ASSETS</t>
  </si>
  <si>
    <t>DEBT</t>
  </si>
  <si>
    <t>Starting federal debt</t>
  </si>
  <si>
    <t>total borrowing</t>
  </si>
  <si>
    <t>WNP1</t>
  </si>
  <si>
    <t>WNP3</t>
  </si>
  <si>
    <t>Total net debt service</t>
  </si>
  <si>
    <t>Total  (net)</t>
  </si>
  <si>
    <t>Total gross</t>
  </si>
  <si>
    <t>EN bond repayment</t>
  </si>
  <si>
    <t>EN LOC repayment</t>
  </si>
  <si>
    <t>Total Assets</t>
  </si>
  <si>
    <t>N. Wasco repayment</t>
  </si>
  <si>
    <t>Cowlitz Falls  repayment</t>
  </si>
  <si>
    <t>Starting nonfederal debt</t>
  </si>
  <si>
    <t>Treasury bond repayment</t>
  </si>
  <si>
    <t>Appropriations repayment</t>
  </si>
  <si>
    <t>Annual nonfed amortization</t>
  </si>
  <si>
    <t>Prior to FY 2020, nonfederal amortization matched the repayment of debt.  Starting in FY 2020, nonfederal amortization is calculated on a straight-line basis.</t>
  </si>
  <si>
    <t>Ending federal debt</t>
  </si>
  <si>
    <t>Ending nonfederal debt</t>
  </si>
  <si>
    <t>Ending accumulated fed. depreciation</t>
  </si>
  <si>
    <t>Starting accumulated fed. depreciation</t>
  </si>
  <si>
    <t>Ending accumulated nonfederal amort.</t>
  </si>
  <si>
    <t>Prepay principal repayment</t>
  </si>
  <si>
    <t>**</t>
  </si>
  <si>
    <t>Actual ending nonfederal asset value is net of amortization.</t>
  </si>
  <si>
    <t>EN debt additions *</t>
  </si>
  <si>
    <t>Accumulated nonfed amortization ***</t>
  </si>
  <si>
    <t>***</t>
  </si>
  <si>
    <t>Includes lines of credit</t>
  </si>
  <si>
    <t>Cummulative sale</t>
  </si>
  <si>
    <t>total spending on plant</t>
  </si>
  <si>
    <t>CRFM reg asset</t>
  </si>
  <si>
    <t>CRFM plant</t>
  </si>
  <si>
    <t>updated 9/6/2018 w/ borrowing plan inputs</t>
  </si>
  <si>
    <t>Sale of nonfederal assets (fuel)</t>
  </si>
  <si>
    <t>CASH FREE UP</t>
  </si>
  <si>
    <t>Non Federal Interest (WNP 3)</t>
  </si>
  <si>
    <t>Non Federal Interest (WNP 1)</t>
  </si>
  <si>
    <t>Repayment of NF Obligations (WNP 1)</t>
  </si>
  <si>
    <t>Repayment of NF Obligations (WNP 3)</t>
  </si>
  <si>
    <t>Amortization -- WNP1</t>
  </si>
  <si>
    <t>Amortization -- WNP3</t>
  </si>
  <si>
    <t>Starting gross federal assets</t>
  </si>
  <si>
    <t>Ending gross federal assets</t>
  </si>
  <si>
    <t>Starting gross nonfederal assets</t>
  </si>
  <si>
    <t>Ending gross nonfederal assets **</t>
  </si>
  <si>
    <t>Debt to Asset Ratio  (Debt/Asset)</t>
  </si>
  <si>
    <t>Total Debt</t>
  </si>
  <si>
    <t>Interest reduction due to fish credits</t>
  </si>
  <si>
    <t>Premiums/Discounts</t>
  </si>
  <si>
    <t>BOND PREMIUMS/DISCOUNTS</t>
  </si>
  <si>
    <t>Amortization -- WNP 1</t>
  </si>
  <si>
    <t>Amortization -- WNP 3</t>
  </si>
  <si>
    <t>Cash Free-up (DSR)</t>
  </si>
  <si>
    <t>Repayment of NF Obligations (LOC)</t>
  </si>
  <si>
    <t>PREMIUMS/DISCOUNTS</t>
  </si>
  <si>
    <t>UN-GAPPED FOR RATIO CALCULATIONS</t>
  </si>
  <si>
    <t>CGS Line of Credit</t>
  </si>
  <si>
    <t>STUDY 3043, 2021 STUDY</t>
  </si>
  <si>
    <t>from SUMMARY OF REPAYMENT worksheet of repayment results</t>
  </si>
  <si>
    <t>Non-Federal</t>
  </si>
  <si>
    <t>Summary of Repayment ($000s) (FY 2021)</t>
  </si>
  <si>
    <t>FEDERAL</t>
  </si>
  <si>
    <t>NON-FEDERAL</t>
  </si>
  <si>
    <t>AMORTIZATION 3/</t>
  </si>
  <si>
    <t>Reductions to EN Principal</t>
  </si>
  <si>
    <t>Reductions to EN Interest</t>
  </si>
  <si>
    <t>Sources of Cash (DSR) 
for MRNR calc</t>
  </si>
  <si>
    <t>CGS Premiums refinanced</t>
  </si>
  <si>
    <t>ungapped TVA revenue</t>
  </si>
  <si>
    <t>Total Power IPR Operating Expenses; FY 2020 through FY 2029- Excluding Non-Federal Debt Service and Depreciation</t>
  </si>
  <si>
    <t>OTHER EXPENSE AND (INCOME)</t>
  </si>
  <si>
    <t>OTHER EXPENSE AND (INCOME) (GAINS/LOSSES)</t>
  </si>
  <si>
    <t>INTEREST INCOME ON DECOMMISSIONING TRUST</t>
  </si>
  <si>
    <t>CASH CONTRIBUTION TO DECOMMISSIONING TRUST</t>
  </si>
  <si>
    <t>NON-CASH EXPENSES (INTEREST INCOME &amp; GAINS/LOSSES)</t>
  </si>
  <si>
    <t>Amortization -- ARC</t>
  </si>
  <si>
    <t>Accretion -- ARO liability</t>
  </si>
  <si>
    <t>Accretion -- CGS Decomm Trust liability</t>
  </si>
  <si>
    <t>Amortization -- CGS Decomm Trust asset</t>
  </si>
  <si>
    <t>Cash Contribution to CGS Decomm Trust</t>
  </si>
  <si>
    <t>Interest Income on Decommissioning Trust</t>
  </si>
  <si>
    <t>Other Expense and (Income) (Gains/Losses on Decomm Trust)</t>
  </si>
  <si>
    <t>Check against study</t>
  </si>
  <si>
    <t>Check</t>
  </si>
  <si>
    <t>Adjustments to NFDS</t>
  </si>
  <si>
    <t>TOTAL OTHER EXPENSE AND (INCOME)</t>
  </si>
  <si>
    <t>In the repayment period, the effect of the CGS refueling cycle (occurs every 2 years) was normalized by averaging a refueling year and a non-refueling year  (2020 and 2021, repectively).  The normalization  reflects the higher costs for CGS of refueling and maintenance while plant is down plus power purchases made to compensate for the plant outage.  The total normalization is the sum  of the normalized amounts less the test year amounts for those items.</t>
  </si>
  <si>
    <t>Prior to 2020, these categories included debt service on non-Federal debt  The accounting determination has changed and thus the accounting will change.   The interest on  non-Federal debt is captured in net interest expense, Statement D, Table 1.  Principal payments are treated as a use of cash comparable to Federal debt on the statement of cash flows.</t>
  </si>
  <si>
    <t>Debt 1/</t>
  </si>
  <si>
    <t>FYs 2014 - 2071</t>
  </si>
  <si>
    <t>Beginning in FY 2020, the accounting treatment of non-Federal debt will change.  The interest portion of what has previously been classified as non-Federal debt will appear in the calculation of net interest expense.</t>
  </si>
  <si>
    <t>Consists of depreciation plus other non-cash expenses and other adjustments and any accounting write-offs included in expenses.</t>
  </si>
  <si>
    <t xml:space="preserve">Includes adjustments for non-cash revenues or other accrual to cash adjustments.  FY 2019 includes a one-time increase of $330 million to  rebalancie financial reserves between the transmissin and generation functions to correct for a misallocation error in the calclation of financial reserves attributed to the business units.  </t>
  </si>
  <si>
    <t xml:space="preserve">Prior to 2020, non-Federal debt was considered part of purchase and exchange power.  Starting in 2020, BPA is implementing new guidance on lease accounting. Non-Federal prinicpal and interest will be treated like Federal debt.  </t>
  </si>
  <si>
    <t>Earnings</t>
  </si>
  <si>
    <t>&amp; Gains or</t>
  </si>
  <si>
    <t>Losses on</t>
  </si>
  <si>
    <t>Decomm</t>
  </si>
  <si>
    <t>Trust Fund</t>
  </si>
  <si>
    <t>na</t>
  </si>
  <si>
    <t>Study 3075 2021study</t>
  </si>
  <si>
    <t>Thru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</si>
</sst>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
    <numFmt numFmtId="168" formatCode="0.0_)\%;\(0.0\)\%;0.0_)\%;@_)_%"/>
    <numFmt numFmtId="169" formatCode="#,##0.0_)_%;\(#,##0.0\)_%;0.0_)_%;@_)_%"/>
    <numFmt numFmtId="170" formatCode="0.000000"/>
    <numFmt numFmtId="171" formatCode="#,##0.0_);\(#,##0.0\);#,##0.0_);@_)"/>
    <numFmt numFmtId="172" formatCode="_(* #,##0.00000_);_(* \(#,##0.00000\);_(* &quot;-&quot;??_);_(@_)"/>
    <numFmt numFmtId="173" formatCode="&quot;$&quot;_(#,##0.00_);&quot;$&quot;\(#,##0.00\);&quot;$&quot;_(0.00_);@_)"/>
    <numFmt numFmtId="174" formatCode="#,##0.00_);\(#,##0.00\);0.00_);@_)"/>
    <numFmt numFmtId="175" formatCode="\€_(#,##0.00_);\€\(#,##0.00\);\€_(0.00_);@_)"/>
    <numFmt numFmtId="176" formatCode="#,##0.0_)\x;\(#,##0.0\)\x;0.0_)\x;@_)_x"/>
    <numFmt numFmtId="177" formatCode="#,##0.0_)_x;\(#,##0.0\)_x;0.0_)_x;@_)_x"/>
    <numFmt numFmtId="178" formatCode="d\.mmm\.yy"/>
    <numFmt numFmtId="179" formatCode="_(* #,##0.00_);\(* #,##0.00\);_(* &quot;-&quot;??_);_(@_)"/>
    <numFmt numFmtId="180" formatCode="0.00_)"/>
    <numFmt numFmtId="181" formatCode="0.000%;;"/>
    <numFmt numFmtId="182" formatCode="_(* #,##0.0_);_(* \(#,##0.0\);_(* &quot;-&quot;_);_(@_)"/>
    <numFmt numFmtId="185" formatCode="_([$$-409]* #,##0_);_([$$-409]* \(#,##0\);_([$$-409]* &quot;-&quot;??_);_(@_)"/>
    <numFmt numFmtId="186" formatCode="[$-10409]#,###;\(#,###\);\-;"/>
    <numFmt numFmtId="187" formatCode="[$-10409]#,###;\(#,###\);0"/>
    <numFmt numFmtId="188" formatCode="_(* #,##0.0_);_(* \(#,##0.0\);_(* &quot;-&quot;??_);_(@_)"/>
    <numFmt numFmtId="189" formatCode="0_);\(0\)"/>
    <numFmt numFmtId="190" formatCode="_(&quot;$&quot;* #,##0_);_(&quot;$&quot;* \(#,##0\);_(&quot;$&quot;* &quot;-&quot;??_);_(@_)"/>
    <numFmt numFmtId="191" formatCode="#,##0.000000000"/>
    <numFmt numFmtId="192" formatCode="#,##0.0000000000_);\(#,##0.0000000000\)"/>
    <numFmt numFmtId="193" formatCode="#,##0.0_);\(#,##0.0\)"/>
  </numFmts>
  <fonts count="157">
    <font>
      <sz val="10"/>
      <name val="Arial"/>
      <family val="2"/>
    </font>
    <font>
      <sz val="11"/>
      <color theme="1"/>
      <name val="Calibri"/>
      <family val="2"/>
      <scheme val="minor"/>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MS Sans Serif"/>
      <family val="2"/>
    </font>
    <font>
      <b/>
      <sz val="10"/>
      <name val="MS Sans Serif"/>
      <family val="2"/>
    </font>
    <font>
      <b/>
      <sz val="18"/>
      <color indexed="56"/>
      <name val="Cambria"/>
      <family val="2"/>
    </font>
    <font>
      <b/>
      <sz val="11"/>
      <color indexed="8"/>
      <name val="Arial"/>
      <family val="2"/>
    </font>
    <font>
      <sz val="11"/>
      <color indexed="10"/>
      <name val="Arial"/>
      <family val="2"/>
    </font>
    <font>
      <sz val="8"/>
      <name val="Arial"/>
      <family val="2"/>
    </font>
    <font>
      <sz val="10"/>
      <color indexed="9"/>
      <name val="Times New Roman"/>
      <family val="1"/>
    </font>
    <font>
      <sz val="10"/>
      <name val="Times"/>
      <family val="1"/>
    </font>
    <font>
      <b/>
      <sz val="10"/>
      <name val="Times"/>
      <family val="1"/>
    </font>
    <font>
      <sz val="10"/>
      <name val="Calibri"/>
      <family val="2"/>
    </font>
    <font>
      <b/>
      <sz val="10"/>
      <name val="Calibri"/>
      <family val="2"/>
    </font>
    <font>
      <i/>
      <sz val="10"/>
      <color indexed="8"/>
      <name val="Calibri"/>
      <family val="2"/>
    </font>
    <font>
      <sz val="8"/>
      <name val="Calibri"/>
      <family val="2"/>
    </font>
    <font>
      <b/>
      <i/>
      <sz val="10"/>
      <color indexed="8"/>
      <name val="Calibri"/>
      <family val="2"/>
    </font>
    <font>
      <b/>
      <sz val="14"/>
      <color indexed="48"/>
      <name val="Times"/>
      <family val="1"/>
    </font>
    <font>
      <b/>
      <sz val="12"/>
      <name val="Arial"/>
      <family val="2"/>
    </font>
    <font>
      <b/>
      <sz val="10"/>
      <name val="Arial"/>
      <family val="2"/>
    </font>
    <font>
      <b/>
      <sz val="10"/>
      <color indexed="9"/>
      <name val="Arial"/>
      <family val="2"/>
    </font>
    <font>
      <sz val="10"/>
      <color indexed="8"/>
      <name val="MS Sans Serif"/>
      <family val="2"/>
    </font>
    <font>
      <b/>
      <sz val="10"/>
      <color indexed="8"/>
      <name val="Arial"/>
      <family val="2"/>
    </font>
    <font>
      <sz val="10"/>
      <color indexed="10"/>
      <name val="Arial"/>
      <family val="2"/>
    </font>
    <font>
      <sz val="10"/>
      <color indexed="8"/>
      <name val="Arial"/>
      <family val="2"/>
    </font>
    <font>
      <sz val="9"/>
      <color indexed="8"/>
      <name val="Arial"/>
      <family val="2"/>
    </font>
    <font>
      <sz val="12"/>
      <name val="Times New Roman"/>
      <family val="1"/>
    </font>
    <font>
      <u val="single"/>
      <sz val="10"/>
      <name val="Arial"/>
      <family val="2"/>
    </font>
    <font>
      <sz val="8"/>
      <color indexed="9"/>
      <name val="Times New Roman"/>
      <family val="1"/>
    </font>
    <font>
      <sz val="10"/>
      <color indexed="17"/>
      <name val="Arial"/>
      <family val="2"/>
    </font>
    <font>
      <sz val="10"/>
      <color indexed="9"/>
      <name val="Arial"/>
      <family val="2"/>
    </font>
    <font>
      <b/>
      <sz val="8"/>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color indexed="9"/>
      <name val="Calibri"/>
      <family val="2"/>
    </font>
    <font>
      <sz val="11"/>
      <color indexed="8"/>
      <name val="Calibri"/>
      <family val="2"/>
    </font>
    <font>
      <sz val="11"/>
      <color indexed="11"/>
      <name val="Calibri"/>
      <family val="2"/>
    </font>
    <font>
      <sz val="10"/>
      <color indexed="12"/>
      <name val="Arial"/>
      <family val="2"/>
    </font>
    <font>
      <sz val="11"/>
      <color indexed="36"/>
      <name val="Calibri"/>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11"/>
      <name val="Calibri"/>
      <family val="2"/>
    </font>
    <font>
      <b/>
      <sz val="11"/>
      <color indexed="9"/>
      <name val="Calibri"/>
      <family val="2"/>
    </font>
    <font>
      <sz val="8"/>
      <name val="Palatino"/>
      <family val="1"/>
    </font>
    <font>
      <sz val="10"/>
      <name val="Tahoma"/>
      <family val="2"/>
    </font>
    <font>
      <b/>
      <sz val="10"/>
      <name val="Arial Unicode MS"/>
      <family val="2"/>
    </font>
    <font>
      <sz val="10"/>
      <name val="Helv"/>
      <family val="2"/>
    </font>
    <font>
      <sz val="10"/>
      <name val="MS Serif"/>
      <family val="1"/>
    </font>
    <font>
      <sz val="10"/>
      <name val="Courier"/>
      <family val="3"/>
    </font>
    <font>
      <i/>
      <sz val="11"/>
      <color indexed="55"/>
      <name val="Calibri"/>
      <family val="2"/>
    </font>
    <font>
      <i/>
      <sz val="11"/>
      <color indexed="23"/>
      <name val="Calibri"/>
      <family val="2"/>
    </font>
    <font>
      <i/>
      <sz val="10"/>
      <color indexed="23"/>
      <name val="Arial"/>
      <family val="2"/>
    </font>
    <font>
      <sz val="12"/>
      <color indexed="24"/>
      <name val="Arial"/>
      <family val="2"/>
    </font>
    <font>
      <sz val="8"/>
      <name val="Times New Roman"/>
      <family val="1"/>
    </font>
    <font>
      <sz val="11"/>
      <color indexed="58"/>
      <name val="Calibri"/>
      <family val="2"/>
    </font>
    <font>
      <sz val="11"/>
      <color indexed="17"/>
      <name val="Calibri"/>
      <family val="2"/>
    </font>
    <font>
      <sz val="6"/>
      <color indexed="16"/>
      <name val="Palatino"/>
      <family val="1"/>
    </font>
    <font>
      <b/>
      <sz val="15"/>
      <color indexed="21"/>
      <name val="Calibri"/>
      <family val="2"/>
    </font>
    <font>
      <b/>
      <sz val="15"/>
      <color indexed="62"/>
      <name val="Calibri"/>
      <family val="2"/>
    </font>
    <font>
      <b/>
      <sz val="13"/>
      <color indexed="21"/>
      <name val="Calibri"/>
      <family val="2"/>
    </font>
    <font>
      <b/>
      <sz val="11"/>
      <color indexed="21"/>
      <name val="Calibri"/>
      <family val="2"/>
    </font>
    <font>
      <b/>
      <sz val="11"/>
      <color indexed="62"/>
      <name val="Calibri"/>
      <family val="2"/>
    </font>
    <font>
      <u val="single"/>
      <sz val="11"/>
      <color indexed="12"/>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amily val="2"/>
    </font>
    <font>
      <sz val="10"/>
      <name val="Arial Unicode MS"/>
      <family val="2"/>
    </font>
    <font>
      <b/>
      <sz val="11"/>
      <color indexed="63"/>
      <name val="Calibri"/>
      <family val="2"/>
    </font>
    <font>
      <b/>
      <sz val="10"/>
      <color indexed="63"/>
      <name val="Arial"/>
      <family val="2"/>
    </font>
    <font>
      <sz val="10"/>
      <color indexed="16"/>
      <name val="Helvetica-Black"/>
      <family val="2"/>
    </font>
    <font>
      <sz val="8"/>
      <color indexed="8"/>
      <name val="Times New Roman"/>
      <family val="1"/>
    </font>
    <font>
      <sz val="8"/>
      <name val="Helv"/>
      <family val="2"/>
    </font>
    <font>
      <b/>
      <i/>
      <sz val="10"/>
      <name val="Times New Roman"/>
      <family val="1"/>
    </font>
    <font>
      <b/>
      <sz val="8"/>
      <color indexed="8"/>
      <name val="Helv"/>
      <family val="2"/>
    </font>
    <font>
      <b/>
      <sz val="9"/>
      <name val="Palatino"/>
      <family val="1"/>
    </font>
    <font>
      <sz val="9"/>
      <color indexed="21"/>
      <name val="Helvetica-Black"/>
      <family val="2"/>
    </font>
    <font>
      <b/>
      <sz val="9"/>
      <name val="Arial"/>
      <family val="2"/>
    </font>
    <font>
      <b/>
      <sz val="18"/>
      <color indexed="21"/>
      <name val="Cambria"/>
      <family val="2"/>
    </font>
    <font>
      <b/>
      <sz val="18"/>
      <color indexed="62"/>
      <name val="Cambria"/>
      <family val="2"/>
    </font>
    <font>
      <b/>
      <sz val="14"/>
      <color indexed="56"/>
      <name val="Arial"/>
      <family val="2"/>
    </font>
    <font>
      <b/>
      <sz val="11"/>
      <color indexed="8"/>
      <name val="Calibri"/>
      <family val="2"/>
    </font>
    <font>
      <sz val="11"/>
      <color indexed="10"/>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val="single"/>
      <sz val="11"/>
      <color theme="10"/>
      <name val="Calibri"/>
      <family val="2"/>
      <scheme val="minor"/>
    </font>
    <font>
      <u val="single"/>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Courier"/>
      <family val="3"/>
    </font>
    <font>
      <b/>
      <i/>
      <sz val="10"/>
      <name val="Arial"/>
      <family val="2"/>
    </font>
    <font>
      <sz val="10"/>
      <color theme="1"/>
      <name val="Arial"/>
      <family val="2"/>
    </font>
    <font>
      <b/>
      <sz val="8"/>
      <color theme="1"/>
      <name val="Arial"/>
      <family val="2"/>
    </font>
    <font>
      <b/>
      <sz val="14"/>
      <color theme="1"/>
      <name val="Calibri"/>
      <family val="2"/>
      <scheme val="minor"/>
    </font>
    <font>
      <sz val="14"/>
      <color theme="1"/>
      <name val="Calibri"/>
      <family val="2"/>
      <scheme val="minor"/>
    </font>
    <font>
      <b/>
      <sz val="14"/>
      <name val="Arial"/>
      <family val="2"/>
    </font>
    <font>
      <b/>
      <sz val="11"/>
      <name val="Arial"/>
      <family val="2"/>
    </font>
    <font>
      <sz val="10"/>
      <color indexed="8"/>
      <name val="Calibri"/>
      <family val="2"/>
    </font>
    <font>
      <sz val="10"/>
      <name val="Times New Roman"/>
      <family val="1"/>
    </font>
    <font>
      <b/>
      <sz val="10"/>
      <name val="Times New Roman"/>
      <family val="1"/>
    </font>
    <font>
      <b/>
      <sz val="12"/>
      <name val="Times New Roman"/>
      <family val="1"/>
    </font>
    <font>
      <sz val="8"/>
      <color theme="1"/>
      <name val="Arial"/>
      <family val="2"/>
    </font>
    <font>
      <b/>
      <sz val="10"/>
      <color rgb="FFFF0000"/>
      <name val="Arial"/>
      <family val="2"/>
    </font>
    <font>
      <b/>
      <sz val="8"/>
      <name val="Calibri"/>
      <family val="2"/>
    </font>
    <font>
      <u val="singleAccounting"/>
      <sz val="12"/>
      <name val="Times New Roman"/>
      <family val="1"/>
    </font>
    <font>
      <sz val="10"/>
      <color rgb="FFFF0000"/>
      <name val="Arial"/>
      <family val="2"/>
    </font>
    <font>
      <i/>
      <sz val="10"/>
      <name val="Calibri"/>
      <family val="2"/>
    </font>
    <font>
      <b/>
      <sz val="18"/>
      <name val="Arial"/>
      <family val="2"/>
    </font>
    <font>
      <b/>
      <sz val="16"/>
      <color rgb="FFFF0000"/>
      <name val="Arial"/>
      <family val="2"/>
    </font>
    <font>
      <sz val="11"/>
      <name val="Calibri"/>
      <family val="2"/>
    </font>
    <font>
      <u val="single"/>
      <sz val="10"/>
      <name val="Times New Roman"/>
      <family val="1"/>
    </font>
    <font>
      <b/>
      <sz val="11"/>
      <color rgb="FFFF0000"/>
      <name val="Times New Roman"/>
      <family val="1"/>
    </font>
    <font>
      <sz val="11"/>
      <color rgb="FF000000"/>
      <name val="Calibri"/>
      <family val="2"/>
      <scheme val="minor"/>
    </font>
    <font>
      <sz val="12"/>
      <name val="Arial"/>
      <family val="2"/>
    </font>
    <font>
      <sz val="12"/>
      <color theme="1"/>
      <name val="Arial"/>
      <family val="2"/>
    </font>
    <font>
      <b/>
      <sz val="12"/>
      <color theme="1"/>
      <name val="Arial"/>
      <family val="2"/>
    </font>
    <font>
      <i/>
      <sz val="12"/>
      <color theme="1"/>
      <name val="Arial"/>
      <family val="2"/>
    </font>
    <font>
      <u val="singleAccounting"/>
      <sz val="12"/>
      <color theme="1"/>
      <name val="Arial"/>
      <family val="2"/>
    </font>
    <font>
      <sz val="12"/>
      <color rgb="FFFF0000"/>
      <name val="Arial"/>
      <family val="2"/>
    </font>
    <font>
      <b/>
      <sz val="12"/>
      <color rgb="FFFF0000"/>
      <name val="Arial"/>
      <family val="2"/>
    </font>
    <font>
      <b/>
      <i/>
      <sz val="11"/>
      <color rgb="FFFF0000"/>
      <name val="Arial"/>
      <family val="2"/>
    </font>
    <font>
      <b/>
      <i/>
      <sz val="10"/>
      <color rgb="FFFF0000"/>
      <name val="Arial"/>
      <family val="2"/>
    </font>
    <font>
      <b/>
      <u val="single"/>
      <sz val="12"/>
      <name val="Times New Roman"/>
      <family val="1"/>
    </font>
  </fonts>
  <fills count="69">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17"/>
        <bgColor indexed="64"/>
      </patternFill>
    </fill>
    <fill>
      <patternFill patternType="solid">
        <fgColor indexed="55"/>
        <bgColor indexed="64"/>
      </patternFill>
    </fill>
    <fill>
      <patternFill patternType="solid">
        <fgColor theme="4" tint="0.7999799847602844"/>
        <bgColor indexed="64"/>
      </patternFill>
    </fill>
    <fill>
      <patternFill patternType="solid">
        <fgColor indexed="45"/>
        <bgColor indexed="64"/>
      </patternFill>
    </fill>
    <fill>
      <patternFill patternType="solid">
        <fgColor indexed="47"/>
        <bgColor indexed="64"/>
      </patternFill>
    </fill>
    <fill>
      <patternFill patternType="solid">
        <fgColor theme="5" tint="0.7999799847602844"/>
        <bgColor indexed="64"/>
      </patternFill>
    </fill>
    <fill>
      <patternFill patternType="solid">
        <fgColor indexed="42"/>
        <bgColor indexed="64"/>
      </patternFill>
    </fill>
    <fill>
      <patternFill patternType="solid">
        <fgColor indexed="26"/>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indexed="13"/>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6"/>
        <bgColor indexed="64"/>
      </patternFill>
    </fill>
    <fill>
      <patternFill patternType="solid">
        <fgColor indexed="22"/>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0"/>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gray0625">
        <fgColor indexed="8"/>
      </patternFill>
    </fill>
    <fill>
      <patternFill patternType="gray125">
        <fgColor indexed="8"/>
      </patternFill>
    </fill>
    <fill>
      <patternFill patternType="solid">
        <fgColor indexed="8"/>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B0F0"/>
        <bgColor indexed="64"/>
      </patternFill>
    </fill>
    <fill>
      <patternFill patternType="solid">
        <fgColor theme="4" tint="0.7999799847602844"/>
        <bgColor indexed="64"/>
      </patternFill>
    </fill>
  </fills>
  <borders count="45">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tted"/>
    </border>
    <border>
      <left/>
      <right/>
      <top style="medium"/>
      <bottom style="medium"/>
    </border>
    <border>
      <left/>
      <right/>
      <top style="thin"/>
      <bottom style="thin"/>
    </border>
    <border>
      <left/>
      <right/>
      <top/>
      <bottom style="thick">
        <color indexed="62"/>
      </bottom>
    </border>
    <border>
      <left/>
      <right/>
      <top/>
      <bottom style="thick">
        <color indexed="49"/>
      </bottom>
    </border>
    <border>
      <left/>
      <right/>
      <top/>
      <bottom style="thick">
        <color theme="4"/>
      </bottom>
    </border>
    <border>
      <left/>
      <right/>
      <top/>
      <bottom style="thick">
        <color indexed="22"/>
      </bottom>
    </border>
    <border>
      <left/>
      <right/>
      <top/>
      <bottom style="thick">
        <color indexed="16"/>
      </bottom>
    </border>
    <border>
      <left/>
      <right/>
      <top/>
      <bottom style="thick">
        <color theme="4" tint="0.49998000264167786"/>
      </bottom>
    </border>
    <border>
      <left/>
      <right/>
      <top/>
      <bottom style="medium">
        <color indexed="30"/>
      </bottom>
    </border>
    <border>
      <left/>
      <right/>
      <top/>
      <bottom style="medium">
        <color indexed="49"/>
      </bottom>
    </border>
    <border>
      <left/>
      <right/>
      <top/>
      <bottom style="medium">
        <color theme="4" tint="0.39998000860214233"/>
      </bottom>
    </border>
    <border>
      <left style="thin"/>
      <right style="thin"/>
      <top style="thin"/>
      <bottom style="thin"/>
    </border>
    <border>
      <left style="hair"/>
      <right style="hair"/>
      <top style="hair"/>
      <bottom style="hair"/>
    </border>
    <border>
      <left/>
      <right/>
      <top/>
      <bottom style="double">
        <color indexed="52"/>
      </bottom>
    </border>
    <border>
      <left/>
      <right/>
      <top/>
      <bottom style="double">
        <color rgb="FFFF8001"/>
      </bottom>
    </border>
    <border>
      <left/>
      <right style="hair"/>
      <top/>
      <bottom style="thin"/>
    </border>
    <border>
      <left/>
      <right style="hair"/>
      <top/>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medium"/>
    </border>
    <border>
      <left style="thin"/>
      <right/>
      <top/>
      <bottom/>
    </border>
    <border>
      <left/>
      <right/>
      <top style="hair"/>
      <bottom/>
    </border>
    <border>
      <left/>
      <right/>
      <top style="thin"/>
      <bottom/>
    </border>
    <border>
      <left/>
      <right/>
      <top/>
      <bottom style="thin"/>
    </border>
    <border>
      <left/>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style="medium"/>
      <right/>
      <top/>
      <bottom/>
    </border>
    <border>
      <left style="medium"/>
      <right/>
      <top style="medium"/>
      <bottom/>
    </border>
    <border>
      <left/>
      <right/>
      <top style="medium"/>
      <bottom/>
    </border>
    <border>
      <left/>
      <right/>
      <top style="thin">
        <color indexed="9"/>
      </top>
      <bottom style="double">
        <color indexed="9"/>
      </bottom>
    </border>
    <border>
      <left/>
      <right/>
      <top/>
      <bottom style="thin">
        <color indexed="9"/>
      </bottom>
    </border>
    <border>
      <left/>
      <right/>
      <top style="thin"/>
      <bottom style="medium"/>
    </border>
    <border>
      <left/>
      <right style="thin">
        <color theme="4" tint="0.39998000860214233"/>
      </right>
      <top style="thin">
        <color theme="4" tint="0.39998000860214233"/>
      </top>
      <bottom style="thin">
        <color theme="4" tint="0.39998000860214233"/>
      </bottom>
    </border>
  </borders>
  <cellStyleXfs count="15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70" fontId="0" fillId="0" borderId="0">
      <alignment horizontal="left" wrapText="1"/>
      <protection/>
    </xf>
    <xf numFmtId="171" fontId="22" fillId="0" borderId="0" applyFont="0" applyFill="0" applyBorder="0" applyAlignment="0" applyProtection="0"/>
    <xf numFmtId="172" fontId="0" fillId="0" borderId="0">
      <alignment horizontal="left" wrapText="1"/>
      <protection/>
    </xf>
    <xf numFmtId="170" fontId="0" fillId="0" borderId="0">
      <alignment horizontal="left" wrapText="1"/>
      <protection/>
    </xf>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170" fontId="0" fillId="0" borderId="0">
      <alignment horizontal="left" wrapText="1"/>
      <protection/>
    </xf>
    <xf numFmtId="0" fontId="46" fillId="0" borderId="0" applyNumberFormat="0" applyFill="0" applyBorder="0" applyAlignment="0" applyProtection="0"/>
    <xf numFmtId="0" fontId="22" fillId="2" borderId="0" applyNumberFormat="0" applyFont="0" applyAlignment="0" applyProtection="0"/>
    <xf numFmtId="176" fontId="22" fillId="0" borderId="0" applyFont="0" applyFill="0" applyBorder="0" applyAlignment="0" applyProtection="0"/>
    <xf numFmtId="177" fontId="22" fillId="0" borderId="0" applyFont="0" applyFill="0" applyBorder="0" applyProtection="0">
      <alignment horizontal="right"/>
    </xf>
    <xf numFmtId="172" fontId="0" fillId="0" borderId="0">
      <alignment horizontal="left" wrapText="1"/>
      <protection/>
    </xf>
    <xf numFmtId="170" fontId="0" fillId="0" borderId="0">
      <alignment horizontal="left" wrapText="1"/>
      <protection/>
    </xf>
    <xf numFmtId="0" fontId="47" fillId="0" borderId="0" applyNumberFormat="0" applyFill="0" applyBorder="0" applyProtection="0">
      <alignment vertical="top"/>
    </xf>
    <xf numFmtId="0" fontId="39" fillId="0" borderId="1" applyNumberFormat="0" applyFill="0" applyAlignment="0" applyProtection="0"/>
    <xf numFmtId="0" fontId="39" fillId="0" borderId="1" applyNumberFormat="0" applyFill="0" applyAlignment="0" applyProtection="0"/>
    <xf numFmtId="0" fontId="48" fillId="0" borderId="2" applyNumberFormat="0" applyFill="0" applyProtection="0">
      <alignment horizontal="center"/>
    </xf>
    <xf numFmtId="0" fontId="48" fillId="0" borderId="2" applyNumberFormat="0" applyFill="0" applyProtection="0">
      <alignment horizontal="center"/>
    </xf>
    <xf numFmtId="0" fontId="48" fillId="0" borderId="0" applyNumberFormat="0" applyFill="0" applyBorder="0" applyProtection="0">
      <alignment horizontal="left"/>
    </xf>
    <xf numFmtId="0" fontId="49" fillId="0" borderId="0" applyNumberFormat="0" applyFill="0" applyBorder="0" applyProtection="0">
      <alignment horizontal="centerContinuous"/>
    </xf>
    <xf numFmtId="172" fontId="0" fillId="0" borderId="0">
      <alignment horizontal="left" wrapText="1"/>
      <protection/>
    </xf>
    <xf numFmtId="0" fontId="2" fillId="3" borderId="0" applyNumberFormat="0" applyBorder="0" applyAlignment="0" applyProtection="0"/>
    <xf numFmtId="0" fontId="50" fillId="4" borderId="0" applyNumberFormat="0" applyBorder="0" applyAlignment="0" applyProtection="0"/>
    <xf numFmtId="0" fontId="51" fillId="5" borderId="0" applyNumberFormat="0" applyBorder="0" applyAlignment="0" applyProtection="0"/>
    <xf numFmtId="0" fontId="50" fillId="4" borderId="0" applyNumberFormat="0" applyBorder="0" applyAlignment="0" applyProtection="0"/>
    <xf numFmtId="0" fontId="51" fillId="5" borderId="0" applyNumberFormat="0" applyBorder="0" applyAlignment="0" applyProtection="0"/>
    <xf numFmtId="0" fontId="38" fillId="3" borderId="0" applyNumberFormat="0" applyBorder="0" applyAlignment="0" applyProtection="0"/>
    <xf numFmtId="0" fontId="51" fillId="5"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50" fillId="8" borderId="0" applyNumberFormat="0" applyBorder="0" applyAlignment="0" applyProtection="0"/>
    <xf numFmtId="0" fontId="51" fillId="8" borderId="0" applyNumberFormat="0" applyBorder="0" applyAlignment="0" applyProtection="0"/>
    <xf numFmtId="0" fontId="50" fillId="8" borderId="0" applyNumberFormat="0" applyBorder="0" applyAlignment="0" applyProtection="0"/>
    <xf numFmtId="0" fontId="51" fillId="8" borderId="0" applyNumberFormat="0" applyBorder="0" applyAlignment="0" applyProtection="0"/>
    <xf numFmtId="0" fontId="38" fillId="7" borderId="0" applyNumberFormat="0" applyBorder="0" applyAlignment="0" applyProtection="0"/>
    <xf numFmtId="0" fontId="51"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50" fillId="11" borderId="0" applyNumberFormat="0" applyBorder="0" applyAlignment="0" applyProtection="0"/>
    <xf numFmtId="0" fontId="51" fillId="11" borderId="0" applyNumberFormat="0" applyBorder="0" applyAlignment="0" applyProtection="0"/>
    <xf numFmtId="0" fontId="50" fillId="11" borderId="0" applyNumberFormat="0" applyBorder="0" applyAlignment="0" applyProtection="0"/>
    <xf numFmtId="0" fontId="51" fillId="11" borderId="0" applyNumberFormat="0" applyBorder="0" applyAlignment="0" applyProtection="0"/>
    <xf numFmtId="0" fontId="38" fillId="10" borderId="0" applyNumberFormat="0" applyBorder="0" applyAlignment="0" applyProtection="0"/>
    <xf numFmtId="0" fontId="51"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50" fillId="4" borderId="0" applyNumberFormat="0" applyBorder="0" applyAlignment="0" applyProtection="0"/>
    <xf numFmtId="0" fontId="51" fillId="5" borderId="0" applyNumberFormat="0" applyBorder="0" applyAlignment="0" applyProtection="0"/>
    <xf numFmtId="0" fontId="50" fillId="4" borderId="0" applyNumberFormat="0" applyBorder="0" applyAlignment="0" applyProtection="0"/>
    <xf numFmtId="0" fontId="51" fillId="5" borderId="0" applyNumberFormat="0" applyBorder="0" applyAlignment="0" applyProtection="0"/>
    <xf numFmtId="0" fontId="38" fillId="13" borderId="0" applyNumberFormat="0" applyBorder="0" applyAlignment="0" applyProtection="0"/>
    <xf numFmtId="0" fontId="51" fillId="5"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50" fillId="16"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1" fillId="15" borderId="0" applyNumberFormat="0" applyBorder="0" applyAlignment="0" applyProtection="0"/>
    <xf numFmtId="0" fontId="38" fillId="15"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1" fillId="17" borderId="0" applyNumberFormat="0" applyBorder="0" applyAlignment="0" applyProtection="0"/>
    <xf numFmtId="0" fontId="2" fillId="8" borderId="0" applyNumberFormat="0" applyBorder="0" applyAlignment="0" applyProtection="0"/>
    <xf numFmtId="0" fontId="50" fillId="8" borderId="0" applyNumberFormat="0" applyBorder="0" applyAlignment="0" applyProtection="0"/>
    <xf numFmtId="0" fontId="51" fillId="8" borderId="0" applyNumberFormat="0" applyBorder="0" applyAlignment="0" applyProtection="0"/>
    <xf numFmtId="0" fontId="50" fillId="8" borderId="0" applyNumberFormat="0" applyBorder="0" applyAlignment="0" applyProtection="0"/>
    <xf numFmtId="0" fontId="51" fillId="8" borderId="0" applyNumberFormat="0" applyBorder="0" applyAlignment="0" applyProtection="0"/>
    <xf numFmtId="0" fontId="38" fillId="8" borderId="0" applyNumberFormat="0" applyBorder="0" applyAlignment="0" applyProtection="0"/>
    <xf numFmtId="0" fontId="51"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50" fillId="20" borderId="0" applyNumberFormat="0" applyBorder="0" applyAlignment="0" applyProtection="0"/>
    <xf numFmtId="0" fontId="51" fillId="21" borderId="0" applyNumberFormat="0" applyBorder="0" applyAlignment="0" applyProtection="0"/>
    <xf numFmtId="0" fontId="50" fillId="20" borderId="0" applyNumberFormat="0" applyBorder="0" applyAlignment="0" applyProtection="0"/>
    <xf numFmtId="0" fontId="51" fillId="21" borderId="0" applyNumberFormat="0" applyBorder="0" applyAlignment="0" applyProtection="0"/>
    <xf numFmtId="0" fontId="38" fillId="19" borderId="0" applyNumberFormat="0" applyBorder="0" applyAlignment="0" applyProtection="0"/>
    <xf numFmtId="0" fontId="51" fillId="21"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50" fillId="23" borderId="0" applyNumberFormat="0" applyBorder="0" applyAlignment="0" applyProtection="0"/>
    <xf numFmtId="0" fontId="51" fillId="23" borderId="0" applyNumberFormat="0" applyBorder="0" applyAlignment="0" applyProtection="0"/>
    <xf numFmtId="0" fontId="50" fillId="23" borderId="0" applyNumberFormat="0" applyBorder="0" applyAlignment="0" applyProtection="0"/>
    <xf numFmtId="0" fontId="51" fillId="23" borderId="0" applyNumberFormat="0" applyBorder="0" applyAlignment="0" applyProtection="0"/>
    <xf numFmtId="0" fontId="38" fillId="23" borderId="0" applyNumberFormat="0" applyBorder="0" applyAlignment="0" applyProtection="0"/>
    <xf numFmtId="0" fontId="51"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50" fillId="2" borderId="0" applyNumberFormat="0" applyBorder="0" applyAlignment="0" applyProtection="0"/>
    <xf numFmtId="0" fontId="51" fillId="2" borderId="0" applyNumberFormat="0" applyBorder="0" applyAlignment="0" applyProtection="0"/>
    <xf numFmtId="0" fontId="50" fillId="2" borderId="0" applyNumberFormat="0" applyBorder="0" applyAlignment="0" applyProtection="0"/>
    <xf numFmtId="0" fontId="51" fillId="2" borderId="0" applyNumberFormat="0" applyBorder="0" applyAlignment="0" applyProtection="0"/>
    <xf numFmtId="0" fontId="38" fillId="25" borderId="0" applyNumberFormat="0" applyBorder="0" applyAlignment="0" applyProtection="0"/>
    <xf numFmtId="0" fontId="51"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 fillId="26" borderId="0" applyNumberFormat="0" applyBorder="0" applyAlignment="0" applyProtection="0"/>
    <xf numFmtId="0" fontId="2" fillId="13" borderId="0" applyNumberFormat="0" applyBorder="0" applyAlignment="0" applyProtection="0"/>
    <xf numFmtId="0" fontId="50" fillId="21" borderId="0" applyNumberFormat="0" applyBorder="0" applyAlignment="0" applyProtection="0"/>
    <xf numFmtId="0" fontId="51" fillId="21" borderId="0" applyNumberFormat="0" applyBorder="0" applyAlignment="0" applyProtection="0"/>
    <xf numFmtId="0" fontId="50" fillId="21" borderId="0" applyNumberFormat="0" applyBorder="0" applyAlignment="0" applyProtection="0"/>
    <xf numFmtId="0" fontId="51" fillId="21" borderId="0" applyNumberFormat="0" applyBorder="0" applyAlignment="0" applyProtection="0"/>
    <xf numFmtId="0" fontId="38" fillId="13" borderId="0" applyNumberFormat="0" applyBorder="0" applyAlignment="0" applyProtection="0"/>
    <xf numFmtId="0" fontId="51"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 fillId="27" borderId="0" applyNumberFormat="0" applyBorder="0" applyAlignment="0" applyProtection="0"/>
    <xf numFmtId="0" fontId="2" fillId="19" borderId="0" applyNumberFormat="0" applyBorder="0" applyAlignment="0" applyProtection="0"/>
    <xf numFmtId="0" fontId="50" fillId="16" borderId="0" applyNumberFormat="0" applyBorder="0" applyAlignment="0" applyProtection="0"/>
    <xf numFmtId="0" fontId="51" fillId="19" borderId="0" applyNumberFormat="0" applyBorder="0" applyAlignment="0" applyProtection="0"/>
    <xf numFmtId="0" fontId="50" fillId="16" borderId="0" applyNumberFormat="0" applyBorder="0" applyAlignment="0" applyProtection="0"/>
    <xf numFmtId="0" fontId="51" fillId="19" borderId="0" applyNumberFormat="0" applyBorder="0" applyAlignment="0" applyProtection="0"/>
    <xf numFmtId="0" fontId="38" fillId="19" borderId="0" applyNumberFormat="0" applyBorder="0" applyAlignment="0" applyProtection="0"/>
    <xf numFmtId="0" fontId="51" fillId="19"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50" fillId="8" borderId="0" applyNumberFormat="0" applyBorder="0" applyAlignment="0" applyProtection="0"/>
    <xf numFmtId="0" fontId="51" fillId="8" borderId="0" applyNumberFormat="0" applyBorder="0" applyAlignment="0" applyProtection="0"/>
    <xf numFmtId="0" fontId="50" fillId="8" borderId="0" applyNumberFormat="0" applyBorder="0" applyAlignment="0" applyProtection="0"/>
    <xf numFmtId="0" fontId="51" fillId="8" borderId="0" applyNumberFormat="0" applyBorder="0" applyAlignment="0" applyProtection="0"/>
    <xf numFmtId="0" fontId="38" fillId="29" borderId="0" applyNumberFormat="0" applyBorder="0" applyAlignment="0" applyProtection="0"/>
    <xf numFmtId="0" fontId="51"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52" fillId="32" borderId="0" applyNumberFormat="0" applyBorder="0" applyAlignment="0" applyProtection="0"/>
    <xf numFmtId="0" fontId="50" fillId="32" borderId="0" applyNumberFormat="0" applyBorder="0" applyAlignment="0" applyProtection="0"/>
    <xf numFmtId="0" fontId="52" fillId="32" borderId="0" applyNumberFormat="0" applyBorder="0" applyAlignment="0" applyProtection="0"/>
    <xf numFmtId="0" fontId="50" fillId="32" borderId="0" applyNumberFormat="0" applyBorder="0" applyAlignment="0" applyProtection="0"/>
    <xf numFmtId="0" fontId="44" fillId="31"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105" fillId="33" borderId="0" applyNumberFormat="0" applyBorder="0" applyAlignment="0" applyProtection="0"/>
    <xf numFmtId="0" fontId="3" fillId="23" borderId="0" applyNumberFormat="0" applyBorder="0" applyAlignment="0" applyProtection="0"/>
    <xf numFmtId="0" fontId="52" fillId="23" borderId="0" applyNumberFormat="0" applyBorder="0" applyAlignment="0" applyProtection="0"/>
    <xf numFmtId="0" fontId="50" fillId="23" borderId="0" applyNumberFormat="0" applyBorder="0" applyAlignment="0" applyProtection="0"/>
    <xf numFmtId="0" fontId="52" fillId="23" borderId="0" applyNumberFormat="0" applyBorder="0" applyAlignment="0" applyProtection="0"/>
    <xf numFmtId="0" fontId="50" fillId="23" borderId="0" applyNumberFormat="0" applyBorder="0" applyAlignment="0" applyProtection="0"/>
    <xf numFmtId="0" fontId="44"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105" fillId="34" borderId="0" applyNumberFormat="0" applyBorder="0" applyAlignment="0" applyProtection="0"/>
    <xf numFmtId="0" fontId="3" fillId="25" borderId="0" applyNumberFormat="0" applyBorder="0" applyAlignment="0" applyProtection="0"/>
    <xf numFmtId="0" fontId="52" fillId="2" borderId="0" applyNumberFormat="0" applyBorder="0" applyAlignment="0" applyProtection="0"/>
    <xf numFmtId="0" fontId="50" fillId="2" borderId="0" applyNumberFormat="0" applyBorder="0" applyAlignment="0" applyProtection="0"/>
    <xf numFmtId="0" fontId="52" fillId="2" borderId="0" applyNumberFormat="0" applyBorder="0" applyAlignment="0" applyProtection="0"/>
    <xf numFmtId="0" fontId="50" fillId="2" borderId="0" applyNumberFormat="0" applyBorder="0" applyAlignment="0" applyProtection="0"/>
    <xf numFmtId="0" fontId="44" fillId="25"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105" fillId="35" borderId="0" applyNumberFormat="0" applyBorder="0" applyAlignment="0" applyProtection="0"/>
    <xf numFmtId="0" fontId="3" fillId="36" borderId="0" applyNumberFormat="0" applyBorder="0" applyAlignment="0" applyProtection="0"/>
    <xf numFmtId="0" fontId="52" fillId="21" borderId="0" applyNumberFormat="0" applyBorder="0" applyAlignment="0" applyProtection="0"/>
    <xf numFmtId="0" fontId="50" fillId="21" borderId="0" applyNumberFormat="0" applyBorder="0" applyAlignment="0" applyProtection="0"/>
    <xf numFmtId="0" fontId="52" fillId="21" borderId="0" applyNumberFormat="0" applyBorder="0" applyAlignment="0" applyProtection="0"/>
    <xf numFmtId="0" fontId="50" fillId="21" borderId="0" applyNumberFormat="0" applyBorder="0" applyAlignment="0" applyProtection="0"/>
    <xf numFmtId="0" fontId="44" fillId="36"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105" fillId="37" borderId="0" applyNumberFormat="0" applyBorder="0" applyAlignment="0" applyProtection="0"/>
    <xf numFmtId="0" fontId="3" fillId="32" borderId="0" applyNumberFormat="0" applyBorder="0" applyAlignment="0" applyProtection="0"/>
    <xf numFmtId="0" fontId="52" fillId="32" borderId="0" applyNumberFormat="0" applyBorder="0" applyAlignment="0" applyProtection="0"/>
    <xf numFmtId="0" fontId="50" fillId="32" borderId="0" applyNumberFormat="0" applyBorder="0" applyAlignment="0" applyProtection="0"/>
    <xf numFmtId="0" fontId="52" fillId="32" borderId="0" applyNumberFormat="0" applyBorder="0" applyAlignment="0" applyProtection="0"/>
    <xf numFmtId="0" fontId="50" fillId="32" borderId="0" applyNumberFormat="0" applyBorder="0" applyAlignment="0" applyProtection="0"/>
    <xf numFmtId="0" fontId="44"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105" fillId="38" borderId="0" applyNumberFormat="0" applyBorder="0" applyAlignment="0" applyProtection="0"/>
    <xf numFmtId="0" fontId="3" fillId="39" borderId="0" applyNumberFormat="0" applyBorder="0" applyAlignment="0" applyProtection="0"/>
    <xf numFmtId="0" fontId="52" fillId="40" borderId="0" applyNumberFormat="0" applyBorder="0" applyAlignment="0" applyProtection="0"/>
    <xf numFmtId="0" fontId="50" fillId="8" borderId="0" applyNumberFormat="0" applyBorder="0" applyAlignment="0" applyProtection="0"/>
    <xf numFmtId="0" fontId="52" fillId="40" borderId="0" applyNumberFormat="0" applyBorder="0" applyAlignment="0" applyProtection="0"/>
    <xf numFmtId="0" fontId="50" fillId="8" borderId="0" applyNumberFormat="0" applyBorder="0" applyAlignment="0" applyProtection="0"/>
    <xf numFmtId="0" fontId="44" fillId="39"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105" fillId="41" borderId="0" applyNumberFormat="0" applyBorder="0" applyAlignment="0" applyProtection="0"/>
    <xf numFmtId="0" fontId="3" fillId="42" borderId="0" applyNumberFormat="0" applyBorder="0" applyAlignment="0" applyProtection="0"/>
    <xf numFmtId="0" fontId="52" fillId="32" borderId="0" applyNumberFormat="0" applyBorder="0" applyAlignment="0" applyProtection="0"/>
    <xf numFmtId="0" fontId="50" fillId="32" borderId="0" applyNumberFormat="0" applyBorder="0" applyAlignment="0" applyProtection="0"/>
    <xf numFmtId="0" fontId="52" fillId="32" borderId="0" applyNumberFormat="0" applyBorder="0" applyAlignment="0" applyProtection="0"/>
    <xf numFmtId="0" fontId="50" fillId="32" borderId="0" applyNumberFormat="0" applyBorder="0" applyAlignment="0" applyProtection="0"/>
    <xf numFmtId="0" fontId="44" fillId="4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105" fillId="43" borderId="0" applyNumberFormat="0" applyBorder="0" applyAlignment="0" applyProtection="0"/>
    <xf numFmtId="0" fontId="3" fillId="44" borderId="0" applyNumberFormat="0" applyBorder="0" applyAlignment="0" applyProtection="0"/>
    <xf numFmtId="0" fontId="52" fillId="44" borderId="0" applyNumberFormat="0" applyBorder="0" applyAlignment="0" applyProtection="0"/>
    <xf numFmtId="0" fontId="50" fillId="44" borderId="0" applyNumberFormat="0" applyBorder="0" applyAlignment="0" applyProtection="0"/>
    <xf numFmtId="0" fontId="52" fillId="44" borderId="0" applyNumberFormat="0" applyBorder="0" applyAlignment="0" applyProtection="0"/>
    <xf numFmtId="0" fontId="50" fillId="44" borderId="0" applyNumberFormat="0" applyBorder="0" applyAlignment="0" applyProtection="0"/>
    <xf numFmtId="0" fontId="44"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105" fillId="45" borderId="0" applyNumberFormat="0" applyBorder="0" applyAlignment="0" applyProtection="0"/>
    <xf numFmtId="0" fontId="3" fillId="46" borderId="0" applyNumberFormat="0" applyBorder="0" applyAlignment="0" applyProtection="0"/>
    <xf numFmtId="0" fontId="52" fillId="46" borderId="0" applyNumberFormat="0" applyBorder="0" applyAlignment="0" applyProtection="0"/>
    <xf numFmtId="0" fontId="50" fillId="46" borderId="0" applyNumberFormat="0" applyBorder="0" applyAlignment="0" applyProtection="0"/>
    <xf numFmtId="0" fontId="52" fillId="46" borderId="0" applyNumberFormat="0" applyBorder="0" applyAlignment="0" applyProtection="0"/>
    <xf numFmtId="0" fontId="50" fillId="46" borderId="0" applyNumberFormat="0" applyBorder="0" applyAlignment="0" applyProtection="0"/>
    <xf numFmtId="0" fontId="44"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05" fillId="47" borderId="0" applyNumberFormat="0" applyBorder="0" applyAlignment="0" applyProtection="0"/>
    <xf numFmtId="0" fontId="3" fillId="36" borderId="0" applyNumberFormat="0" applyBorder="0" applyAlignment="0" applyProtection="0"/>
    <xf numFmtId="0" fontId="52" fillId="48" borderId="0" applyNumberFormat="0" applyBorder="0" applyAlignment="0" applyProtection="0"/>
    <xf numFmtId="0" fontId="50" fillId="48" borderId="0" applyNumberFormat="0" applyBorder="0" applyAlignment="0" applyProtection="0"/>
    <xf numFmtId="0" fontId="52" fillId="48" borderId="0" applyNumberFormat="0" applyBorder="0" applyAlignment="0" applyProtection="0"/>
    <xf numFmtId="0" fontId="50" fillId="48" borderId="0" applyNumberFormat="0" applyBorder="0" applyAlignment="0" applyProtection="0"/>
    <xf numFmtId="0" fontId="44" fillId="36"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105" fillId="49" borderId="0" applyNumberFormat="0" applyBorder="0" applyAlignment="0" applyProtection="0"/>
    <xf numFmtId="0" fontId="3" fillId="32" borderId="0" applyNumberFormat="0" applyBorder="0" applyAlignment="0" applyProtection="0"/>
    <xf numFmtId="0" fontId="52" fillId="32" borderId="0" applyNumberFormat="0" applyBorder="0" applyAlignment="0" applyProtection="0"/>
    <xf numFmtId="0" fontId="50" fillId="32" borderId="0" applyNumberFormat="0" applyBorder="0" applyAlignment="0" applyProtection="0"/>
    <xf numFmtId="0" fontId="52" fillId="32" borderId="0" applyNumberFormat="0" applyBorder="0" applyAlignment="0" applyProtection="0"/>
    <xf numFmtId="0" fontId="50" fillId="32" borderId="0" applyNumberFormat="0" applyBorder="0" applyAlignment="0" applyProtection="0"/>
    <xf numFmtId="0" fontId="44"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105" fillId="50" borderId="0" applyNumberFormat="0" applyBorder="0" applyAlignment="0" applyProtection="0"/>
    <xf numFmtId="0" fontId="3" fillId="51" borderId="0" applyNumberFormat="0" applyBorder="0" applyAlignment="0" applyProtection="0"/>
    <xf numFmtId="0" fontId="52" fillId="51" borderId="0" applyNumberFormat="0" applyBorder="0" applyAlignment="0" applyProtection="0"/>
    <xf numFmtId="0" fontId="50" fillId="51" borderId="0" applyNumberFormat="0" applyBorder="0" applyAlignment="0" applyProtection="0"/>
    <xf numFmtId="0" fontId="52" fillId="51" borderId="0" applyNumberFormat="0" applyBorder="0" applyAlignment="0" applyProtection="0"/>
    <xf numFmtId="0" fontId="50" fillId="51" borderId="0" applyNumberFormat="0" applyBorder="0" applyAlignment="0" applyProtection="0"/>
    <xf numFmtId="0" fontId="44"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05" fillId="52" borderId="0" applyNumberFormat="0" applyBorder="0" applyAlignment="0" applyProtection="0"/>
    <xf numFmtId="0" fontId="53" fillId="0" borderId="0" applyNumberFormat="0" applyFill="0" applyBorder="0" applyAlignment="0">
      <protection locked="0"/>
    </xf>
    <xf numFmtId="0" fontId="4" fillId="7" borderId="0" applyNumberFormat="0" applyBorder="0" applyAlignment="0" applyProtection="0"/>
    <xf numFmtId="0" fontId="54" fillId="7" borderId="0" applyNumberFormat="0" applyBorder="0" applyAlignment="0" applyProtection="0"/>
    <xf numFmtId="0" fontId="55" fillId="7" borderId="0" applyNumberFormat="0" applyBorder="0" applyAlignment="0" applyProtection="0"/>
    <xf numFmtId="0" fontId="54" fillId="7" borderId="0" applyNumberFormat="0" applyBorder="0" applyAlignment="0" applyProtection="0"/>
    <xf numFmtId="0" fontId="55" fillId="7" borderId="0" applyNumberFormat="0" applyBorder="0" applyAlignment="0" applyProtection="0"/>
    <xf numFmtId="0" fontId="56"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106" fillId="53" borderId="0" applyNumberFormat="0" applyBorder="0" applyAlignment="0" applyProtection="0"/>
    <xf numFmtId="178" fontId="35" fillId="0" borderId="0" applyFill="0" applyBorder="0" applyAlignment="0">
      <protection/>
    </xf>
    <xf numFmtId="0" fontId="5" fillId="21" borderId="3" applyNumberFormat="0" applyAlignment="0" applyProtection="0"/>
    <xf numFmtId="0" fontId="57" fillId="25" borderId="4" applyNumberFormat="0" applyAlignment="0" applyProtection="0"/>
    <xf numFmtId="0" fontId="57" fillId="5" borderId="3" applyNumberFormat="0" applyAlignment="0" applyProtection="0"/>
    <xf numFmtId="0" fontId="57" fillId="25" borderId="4" applyNumberFormat="0" applyAlignment="0" applyProtection="0"/>
    <xf numFmtId="0" fontId="57" fillId="5" borderId="3" applyNumberFormat="0" applyAlignment="0" applyProtection="0"/>
    <xf numFmtId="0" fontId="58" fillId="21" borderId="3" applyNumberFormat="0" applyAlignment="0" applyProtection="0"/>
    <xf numFmtId="0" fontId="57" fillId="25" borderId="4" applyNumberFormat="0" applyAlignment="0" applyProtection="0"/>
    <xf numFmtId="0" fontId="57" fillId="25" borderId="4" applyNumberFormat="0" applyAlignment="0" applyProtection="0"/>
    <xf numFmtId="0" fontId="57" fillId="25" borderId="4" applyNumberFormat="0" applyAlignment="0" applyProtection="0"/>
    <xf numFmtId="0" fontId="58" fillId="21" borderId="3" applyNumberFormat="0" applyAlignment="0" applyProtection="0"/>
    <xf numFmtId="0" fontId="107" fillId="54" borderId="5" applyNumberFormat="0" applyAlignment="0" applyProtection="0"/>
    <xf numFmtId="0" fontId="6" fillId="5" borderId="6" applyNumberFormat="0" applyAlignment="0" applyProtection="0"/>
    <xf numFmtId="0" fontId="59" fillId="5" borderId="6" applyNumberFormat="0" applyAlignment="0" applyProtection="0"/>
    <xf numFmtId="0" fontId="60" fillId="21" borderId="6" applyNumberFormat="0" applyAlignment="0" applyProtection="0"/>
    <xf numFmtId="0" fontId="59" fillId="5" borderId="6" applyNumberFormat="0" applyAlignment="0" applyProtection="0"/>
    <xf numFmtId="0" fontId="60" fillId="21" borderId="6" applyNumberFormat="0" applyAlignment="0" applyProtection="0"/>
    <xf numFmtId="0" fontId="34" fillId="5" borderId="6" applyNumberFormat="0" applyAlignment="0" applyProtection="0"/>
    <xf numFmtId="0" fontId="59" fillId="5" borderId="6" applyNumberFormat="0" applyAlignment="0" applyProtection="0"/>
    <xf numFmtId="0" fontId="59" fillId="5" borderId="6" applyNumberFormat="0" applyAlignment="0" applyProtection="0"/>
    <xf numFmtId="0" fontId="59" fillId="5" borderId="6" applyNumberFormat="0" applyAlignment="0" applyProtection="0"/>
    <xf numFmtId="0" fontId="34" fillId="5" borderId="6" applyNumberFormat="0" applyAlignment="0" applyProtection="0"/>
    <xf numFmtId="0" fontId="108" fillId="55" borderId="7" applyNumberFormat="0" applyAlignment="0" applyProtection="0"/>
    <xf numFmtId="0" fontId="61" fillId="0" borderId="0" applyFont="0" applyFill="0" applyBorder="0" applyProtection="0">
      <alignment/>
    </xf>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1" fillId="0" borderId="0" applyFont="0" applyFill="0" applyBorder="0" applyProtection="0">
      <alignment/>
    </xf>
    <xf numFmtId="43" fontId="22" fillId="0" borderId="0" applyFont="0" applyFill="0" applyBorder="0" applyAlignment="0" applyProtection="0"/>
    <xf numFmtId="43" fontId="22" fillId="0" borderId="0" applyFont="0" applyFill="0" applyBorder="0" applyAlignment="0" applyProtection="0"/>
    <xf numFmtId="0" fontId="61" fillId="0" borderId="0" applyFont="0" applyFill="0" applyBorder="0" applyProtection="0">
      <alignment/>
    </xf>
    <xf numFmtId="43" fontId="2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1" fillId="0" borderId="0" applyFont="0" applyFill="0" applyBorder="0" applyProtection="0">
      <alignment/>
    </xf>
    <xf numFmtId="0" fontId="61"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3"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62"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9" fontId="33"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1" fillId="0" borderId="0" applyFont="0" applyFill="0" applyBorder="0" applyAlignment="0" applyProtection="0"/>
    <xf numFmtId="3" fontId="0" fillId="0" borderId="0" applyFont="0" applyFill="0" applyBorder="0" applyAlignment="0" applyProtection="0"/>
    <xf numFmtId="0" fontId="64" fillId="0" borderId="0">
      <alignment/>
      <protection/>
    </xf>
    <xf numFmtId="0" fontId="65" fillId="0" borderId="0" applyNumberFormat="0">
      <alignment/>
      <protection/>
    </xf>
    <xf numFmtId="0" fontId="66" fillId="0" borderId="0" applyNumberFormat="0" applyAlignment="0">
      <protection/>
    </xf>
    <xf numFmtId="0" fontId="64" fillId="0" borderId="0">
      <alignment/>
      <protection/>
    </xf>
    <xf numFmtId="0" fontId="64" fillId="0" borderId="0">
      <alignment/>
      <protection/>
    </xf>
    <xf numFmtId="0" fontId="61" fillId="0" borderId="0" applyFont="0" applyFill="0" applyBorder="0" applyProtection="0">
      <alignment/>
    </xf>
    <xf numFmtId="44" fontId="0" fillId="0" borderId="0" applyFont="0" applyFill="0" applyBorder="0" applyAlignment="0" applyProtection="0"/>
    <xf numFmtId="0" fontId="61" fillId="0" borderId="0" applyFont="0" applyFill="0" applyBorder="0" applyProtection="0">
      <alignment/>
    </xf>
    <xf numFmtId="44" fontId="0" fillId="0" borderId="0" applyFont="0" applyFill="0" applyBorder="0" applyAlignment="0" applyProtection="0"/>
    <xf numFmtId="0" fontId="61" fillId="0" borderId="0" applyFont="0" applyFill="0" applyBorder="0" applyProtection="0">
      <alignment/>
    </xf>
    <xf numFmtId="44" fontId="2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22" fillId="0" borderId="0" applyFont="0" applyFill="0" applyBorder="0" applyAlignment="0" applyProtection="0"/>
    <xf numFmtId="0" fontId="61" fillId="0" borderId="0" applyFont="0" applyFill="0" applyBorder="0" applyAlignment="0" applyProtection="0"/>
    <xf numFmtId="0" fontId="61" fillId="0" borderId="8" applyNumberFormat="0" applyFont="0" applyFill="0" applyAlignment="0" applyProtection="0"/>
    <xf numFmtId="170" fontId="0" fillId="0" borderId="0">
      <alignment/>
      <protection/>
    </xf>
    <xf numFmtId="0" fontId="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09" fillId="0" borderId="0" applyNumberFormat="0" applyFill="0" applyBorder="0" applyAlignment="0" applyProtection="0"/>
    <xf numFmtId="2" fontId="70" fillId="0" borderId="0" applyFont="0" applyFill="0" applyBorder="0" applyAlignment="0" applyProtection="0"/>
    <xf numFmtId="0" fontId="64" fillId="0" borderId="0">
      <alignment/>
      <protection/>
    </xf>
    <xf numFmtId="0" fontId="71" fillId="0" borderId="0" applyFill="0" applyBorder="0" applyProtection="0">
      <alignment horizontal="left"/>
    </xf>
    <xf numFmtId="0" fontId="8" fillId="10" borderId="0" applyNumberFormat="0" applyBorder="0" applyAlignment="0" applyProtection="0"/>
    <xf numFmtId="0" fontId="72" fillId="16" borderId="0" applyNumberFormat="0" applyBorder="0" applyAlignment="0" applyProtection="0"/>
    <xf numFmtId="0" fontId="73" fillId="10" borderId="0" applyNumberFormat="0" applyBorder="0" applyAlignment="0" applyProtection="0"/>
    <xf numFmtId="0" fontId="72" fillId="16" borderId="0" applyNumberFormat="0" applyBorder="0" applyAlignment="0" applyProtection="0"/>
    <xf numFmtId="0" fontId="73" fillId="10" borderId="0" applyNumberFormat="0" applyBorder="0" applyAlignment="0" applyProtection="0"/>
    <xf numFmtId="0" fontId="43" fillId="10"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110" fillId="56" borderId="0" applyNumberFormat="0" applyBorder="0" applyAlignment="0" applyProtection="0"/>
    <xf numFmtId="0" fontId="22" fillId="21" borderId="0" applyNumberFormat="0" applyBorder="0" applyAlignment="0" applyProtection="0"/>
    <xf numFmtId="0" fontId="61" fillId="0" borderId="0" applyFont="0" applyFill="0" applyBorder="0" applyProtection="0">
      <alignment/>
    </xf>
    <xf numFmtId="0" fontId="74" fillId="0" borderId="0" applyProtection="0">
      <alignment horizontal="right"/>
    </xf>
    <xf numFmtId="0" fontId="32" fillId="0" borderId="9" applyNumberFormat="0" applyProtection="0">
      <alignment/>
    </xf>
    <xf numFmtId="0" fontId="32" fillId="0" borderId="10">
      <alignment horizontal="left"/>
      <protection/>
    </xf>
    <xf numFmtId="0" fontId="9" fillId="0" borderId="11" applyNumberFormat="0" applyFill="0" applyAlignment="0" applyProtection="0"/>
    <xf numFmtId="0" fontId="75" fillId="0" borderId="12" applyNumberFormat="0" applyFill="0" applyAlignment="0" applyProtection="0"/>
    <xf numFmtId="0" fontId="76" fillId="0" borderId="12" applyNumberFormat="0" applyFill="0" applyAlignment="0" applyProtection="0"/>
    <xf numFmtId="0" fontId="76" fillId="0" borderId="12" applyNumberFormat="0" applyFill="0" applyAlignment="0" applyProtection="0"/>
    <xf numFmtId="0" fontId="9" fillId="0" borderId="11" applyNumberFormat="0" applyFill="0" applyAlignment="0" applyProtection="0"/>
    <xf numFmtId="0" fontId="75" fillId="0" borderId="12" applyNumberFormat="0" applyFill="0" applyAlignment="0" applyProtection="0"/>
    <xf numFmtId="0" fontId="75" fillId="0" borderId="12" applyNumberFormat="0" applyFill="0" applyAlignment="0" applyProtection="0"/>
    <xf numFmtId="0" fontId="75" fillId="0" borderId="12" applyNumberFormat="0" applyFill="0" applyAlignment="0" applyProtection="0"/>
    <xf numFmtId="0" fontId="9" fillId="0" borderId="11" applyNumberFormat="0" applyFill="0" applyAlignment="0" applyProtection="0"/>
    <xf numFmtId="0" fontId="111" fillId="0" borderId="13" applyNumberFormat="0" applyFill="0" applyAlignment="0" applyProtection="0"/>
    <xf numFmtId="0" fontId="10" fillId="0" borderId="14" applyNumberFormat="0" applyFill="0" applyAlignment="0" applyProtection="0"/>
    <xf numFmtId="0" fontId="77" fillId="0" borderId="15" applyNumberFormat="0" applyFill="0" applyAlignment="0" applyProtection="0"/>
    <xf numFmtId="0" fontId="32" fillId="0" borderId="0" applyNumberFormat="0" applyFont="0" applyFill="0" applyAlignment="0" applyProtection="0"/>
    <xf numFmtId="0" fontId="32" fillId="0" borderId="0" applyNumberFormat="0" applyFont="0" applyFill="0" applyAlignment="0" applyProtection="0"/>
    <xf numFmtId="0" fontId="10" fillId="0" borderId="14"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10" fillId="0" borderId="14" applyNumberFormat="0" applyFill="0" applyAlignment="0" applyProtection="0"/>
    <xf numFmtId="0" fontId="112" fillId="0" borderId="16" applyNumberFormat="0" applyFill="0" applyAlignment="0" applyProtection="0"/>
    <xf numFmtId="0" fontId="11" fillId="0" borderId="17" applyNumberFormat="0" applyFill="0" applyAlignment="0" applyProtection="0"/>
    <xf numFmtId="0" fontId="78" fillId="0" borderId="18" applyNumberFormat="0" applyFill="0" applyAlignment="0" applyProtection="0"/>
    <xf numFmtId="0" fontId="79" fillId="0" borderId="18" applyNumberFormat="0" applyFill="0" applyAlignment="0" applyProtection="0"/>
    <xf numFmtId="0" fontId="79" fillId="0" borderId="18" applyNumberFormat="0" applyFill="0" applyAlignment="0" applyProtection="0"/>
    <xf numFmtId="0" fontId="11" fillId="0" borderId="17" applyNumberFormat="0" applyFill="0" applyAlignment="0" applyProtection="0"/>
    <xf numFmtId="0" fontId="78" fillId="0" borderId="18" applyNumberFormat="0" applyFill="0" applyAlignment="0" applyProtection="0"/>
    <xf numFmtId="0" fontId="78" fillId="0" borderId="18" applyNumberFormat="0" applyFill="0" applyAlignment="0" applyProtection="0"/>
    <xf numFmtId="0" fontId="78" fillId="0" borderId="18" applyNumberFormat="0" applyFill="0" applyAlignment="0" applyProtection="0"/>
    <xf numFmtId="0" fontId="11" fillId="0" borderId="17" applyNumberFormat="0" applyFill="0" applyAlignment="0" applyProtection="0"/>
    <xf numFmtId="0" fontId="113" fillId="0" borderId="19" applyNumberFormat="0" applyFill="0" applyAlignment="0" applyProtection="0"/>
    <xf numFmtId="0" fontId="11"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1"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1" fillId="0" borderId="0" applyNumberFormat="0" applyFill="0" applyBorder="0" applyAlignment="0" applyProtection="0"/>
    <xf numFmtId="0" fontId="113" fillId="0" borderId="0" applyNumberFormat="0" applyFill="0" applyBorder="0" applyAlignment="0" applyProtection="0"/>
    <xf numFmtId="38" fontId="45" fillId="0" borderId="0">
      <alignment/>
      <protection/>
    </xf>
    <xf numFmtId="40" fontId="45" fillId="0" borderId="0">
      <alignment/>
      <protection/>
    </xf>
    <xf numFmtId="0" fontId="12" fillId="0" borderId="0" applyNumberFormat="0" applyFill="0" applyBorder="0">
      <alignment/>
      <protection locked="0"/>
    </xf>
    <xf numFmtId="0" fontId="80" fillId="0" borderId="0" applyNumberFormat="0" applyFill="0" applyBorder="0" applyAlignment="0" applyProtection="0"/>
    <xf numFmtId="0" fontId="80" fillId="0" borderId="0" applyNumberFormat="0" applyFill="0" applyBorder="0" applyAlignment="0" applyProtection="0"/>
    <xf numFmtId="0" fontId="114" fillId="0" borderId="0" applyNumberFormat="0" applyFill="0" applyBorder="0" applyAlignment="0" applyProtection="0"/>
    <xf numFmtId="0" fontId="12" fillId="0" borderId="0" applyNumberFormat="0" applyFill="0" applyBorder="0">
      <alignment/>
      <protection locked="0"/>
    </xf>
    <xf numFmtId="0" fontId="12" fillId="0" borderId="0" applyNumberFormat="0" applyFill="0" applyBorder="0">
      <alignment/>
      <protection locked="0"/>
    </xf>
    <xf numFmtId="0" fontId="115" fillId="0" borderId="0" applyNumberFormat="0" applyFill="0" applyBorder="0">
      <alignment/>
      <protection locked="0"/>
    </xf>
    <xf numFmtId="0" fontId="12" fillId="0" borderId="0" applyNumberFormat="0" applyFill="0" applyBorder="0">
      <alignment/>
      <protection locked="0"/>
    </xf>
    <xf numFmtId="0" fontId="12" fillId="0" borderId="0" applyNumberFormat="0" applyFill="0" applyBorder="0">
      <alignment/>
      <protection locked="0"/>
    </xf>
    <xf numFmtId="0" fontId="115" fillId="0" borderId="0" applyNumberFormat="0" applyFill="0" applyBorder="0">
      <alignment/>
      <protection locked="0"/>
    </xf>
    <xf numFmtId="0" fontId="114" fillId="0" borderId="0" applyNumberFormat="0" applyFill="0" applyBorder="0" applyAlignment="0" applyProtection="0"/>
    <xf numFmtId="0" fontId="13" fillId="8" borderId="3" applyNumberFormat="0" applyAlignment="0" applyProtection="0"/>
    <xf numFmtId="0" fontId="22" fillId="57" borderId="20" applyNumberFormat="0" applyBorder="0" applyAlignment="0" applyProtection="0"/>
    <xf numFmtId="0" fontId="81" fillId="8" borderId="4" applyNumberFormat="0" applyAlignment="0" applyProtection="0"/>
    <xf numFmtId="0" fontId="81" fillId="8" borderId="3" applyNumberFormat="0" applyAlignment="0" applyProtection="0"/>
    <xf numFmtId="0" fontId="81" fillId="8" borderId="4" applyNumberFormat="0" applyAlignment="0" applyProtection="0"/>
    <xf numFmtId="0" fontId="81" fillId="8" borderId="3" applyNumberFormat="0" applyAlignment="0" applyProtection="0"/>
    <xf numFmtId="0" fontId="82" fillId="8" borderId="3" applyNumberFormat="0" applyAlignment="0" applyProtection="0"/>
    <xf numFmtId="0" fontId="81" fillId="8" borderId="4" applyNumberFormat="0" applyAlignment="0" applyProtection="0"/>
    <xf numFmtId="0" fontId="81" fillId="8" borderId="4" applyNumberFormat="0" applyAlignment="0" applyProtection="0"/>
    <xf numFmtId="0" fontId="81" fillId="8" borderId="4" applyNumberFormat="0" applyAlignment="0" applyProtection="0"/>
    <xf numFmtId="0" fontId="81" fillId="8" borderId="3" applyNumberFormat="0" applyAlignment="0" applyProtection="0"/>
    <xf numFmtId="0" fontId="81" fillId="8" borderId="3" applyNumberFormat="0" applyAlignment="0" applyProtection="0"/>
    <xf numFmtId="0" fontId="81" fillId="8" borderId="3" applyNumberFormat="0" applyAlignment="0" applyProtection="0"/>
    <xf numFmtId="0" fontId="81" fillId="8" borderId="3" applyNumberFormat="0" applyAlignment="0" applyProtection="0"/>
    <xf numFmtId="0" fontId="81" fillId="8" borderId="3" applyNumberFormat="0" applyAlignment="0" applyProtection="0"/>
    <xf numFmtId="0" fontId="82" fillId="8" borderId="3" applyNumberFormat="0" applyAlignment="0" applyProtection="0"/>
    <xf numFmtId="0" fontId="116" fillId="58" borderId="5" applyNumberFormat="0" applyAlignment="0" applyProtection="0"/>
    <xf numFmtId="41" fontId="53" fillId="2" borderId="21">
      <alignment horizontal="left"/>
      <protection locked="0"/>
    </xf>
    <xf numFmtId="0" fontId="22" fillId="21" borderId="0">
      <alignment/>
      <protection/>
    </xf>
    <xf numFmtId="0" fontId="14"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4" fillId="0" borderId="22" applyNumberFormat="0" applyFill="0" applyAlignment="0" applyProtection="0"/>
    <xf numFmtId="0" fontId="83" fillId="0" borderId="22" applyNumberFormat="0" applyFill="0" applyAlignment="0" applyProtection="0"/>
    <xf numFmtId="0" fontId="83" fillId="0" borderId="22" applyNumberFormat="0" applyFill="0" applyAlignment="0" applyProtection="0"/>
    <xf numFmtId="0" fontId="84" fillId="0" borderId="22" applyNumberFormat="0" applyFill="0" applyAlignment="0" applyProtection="0"/>
    <xf numFmtId="0" fontId="117" fillId="0" borderId="23" applyNumberFormat="0" applyFill="0" applyAlignment="0" applyProtection="0"/>
    <xf numFmtId="0" fontId="33" fillId="0" borderId="24" applyNumberFormat="0" applyFont="0">
      <alignment/>
      <protection/>
    </xf>
    <xf numFmtId="0" fontId="33" fillId="0" borderId="25" applyNumberFormat="0" applyFont="0">
      <alignment/>
      <protection/>
    </xf>
    <xf numFmtId="0" fontId="61" fillId="0" borderId="0" applyFont="0" applyFill="0" applyBorder="0" applyProtection="0">
      <alignment/>
    </xf>
    <xf numFmtId="0" fontId="1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6" fillId="2" borderId="0" applyNumberFormat="0" applyBorder="0" applyAlignment="0" applyProtection="0"/>
    <xf numFmtId="0" fontId="85" fillId="2" borderId="0" applyNumberFormat="0" applyBorder="0" applyAlignment="0" applyProtection="0"/>
    <xf numFmtId="0" fontId="86" fillId="2" borderId="0" applyNumberFormat="0" applyBorder="0" applyAlignment="0" applyProtection="0"/>
    <xf numFmtId="0" fontId="86" fillId="2" borderId="0" applyNumberFormat="0" applyBorder="0" applyAlignment="0" applyProtection="0"/>
    <xf numFmtId="0" fontId="118" fillId="59" borderId="0" applyNumberFormat="0" applyBorder="0" applyAlignment="0" applyProtection="0"/>
    <xf numFmtId="37" fontId="87" fillId="0" borderId="0">
      <alignment/>
      <protection/>
    </xf>
    <xf numFmtId="180" fontId="88"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1" fillId="0" borderId="0">
      <alignment/>
      <protection/>
    </xf>
    <xf numFmtId="0" fontId="51" fillId="0" borderId="0">
      <alignment/>
      <protection/>
    </xf>
    <xf numFmtId="0" fontId="51" fillId="0" borderId="0">
      <alignment/>
      <protection/>
    </xf>
    <xf numFmtId="0" fontId="1"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89" fillId="0" borderId="0">
      <alignment/>
      <protection/>
    </xf>
    <xf numFmtId="0" fontId="22" fillId="0" borderId="0">
      <alignment/>
      <protection/>
    </xf>
    <xf numFmtId="0" fontId="22"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22"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62" fillId="0" borderId="0">
      <alignment/>
      <protection/>
    </xf>
    <xf numFmtId="0" fontId="51" fillId="0" borderId="0">
      <alignment/>
      <protection/>
    </xf>
    <xf numFmtId="0" fontId="51" fillId="0" borderId="0">
      <alignment/>
      <protection/>
    </xf>
    <xf numFmtId="0" fontId="1" fillId="0" borderId="0">
      <alignment/>
      <protection/>
    </xf>
    <xf numFmtId="0" fontId="62" fillId="0" borderId="0">
      <alignment/>
      <protection/>
    </xf>
    <xf numFmtId="0" fontId="1" fillId="0" borderId="0">
      <alignment/>
      <protection/>
    </xf>
    <xf numFmtId="0" fontId="51" fillId="0" borderId="0">
      <alignment/>
      <protection/>
    </xf>
    <xf numFmtId="0" fontId="51" fillId="0" borderId="0">
      <alignment/>
      <protection/>
    </xf>
    <xf numFmtId="0" fontId="1" fillId="0" borderId="0">
      <alignment/>
      <protection/>
    </xf>
    <xf numFmtId="0" fontId="62" fillId="0" borderId="0">
      <alignment/>
      <protection/>
    </xf>
    <xf numFmtId="0" fontId="1" fillId="0" borderId="0">
      <alignment/>
      <protection/>
    </xf>
    <xf numFmtId="0" fontId="50" fillId="0" borderId="0">
      <alignment/>
      <protection/>
    </xf>
    <xf numFmtId="0" fontId="51" fillId="0" borderId="0">
      <alignment/>
      <protection/>
    </xf>
    <xf numFmtId="0" fontId="51" fillId="0" borderId="0">
      <alignment/>
      <protection/>
    </xf>
    <xf numFmtId="0" fontId="51" fillId="0" borderId="0">
      <alignment/>
      <protection/>
    </xf>
    <xf numFmtId="0" fontId="1" fillId="0" borderId="0">
      <alignment/>
      <protection/>
    </xf>
    <xf numFmtId="0" fontId="62" fillId="0" borderId="0">
      <alignment/>
      <protection/>
    </xf>
    <xf numFmtId="0" fontId="51" fillId="0" borderId="0">
      <alignment/>
      <protection/>
    </xf>
    <xf numFmtId="0" fontId="1" fillId="0" borderId="0">
      <alignment/>
      <protection/>
    </xf>
    <xf numFmtId="0" fontId="1" fillId="0" borderId="0">
      <alignment/>
      <protection/>
    </xf>
    <xf numFmtId="0" fontId="0"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26" applyNumberFormat="0" applyFont="0" applyAlignment="0" applyProtection="0"/>
    <xf numFmtId="0" fontId="0" fillId="11" borderId="26" applyNumberFormat="0" applyFont="0" applyAlignment="0" applyProtection="0"/>
    <xf numFmtId="0" fontId="0" fillId="11" borderId="26"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4" applyNumberFormat="0" applyFont="0" applyAlignment="0" applyProtection="0"/>
    <xf numFmtId="0" fontId="0" fillId="11" borderId="26" applyNumberFormat="0" applyFont="0" applyAlignment="0" applyProtection="0"/>
    <xf numFmtId="0" fontId="50" fillId="11" borderId="26" applyNumberFormat="0" applyFont="0" applyAlignment="0" applyProtection="0"/>
    <xf numFmtId="0" fontId="50" fillId="11" borderId="26" applyNumberFormat="0" applyFont="0" applyAlignment="0" applyProtection="0"/>
    <xf numFmtId="0" fontId="50" fillId="60" borderId="27" applyNumberFormat="0" applyFont="0" applyAlignment="0" applyProtection="0"/>
    <xf numFmtId="0" fontId="0" fillId="11" borderId="26" applyNumberFormat="0" applyFont="0" applyAlignment="0" applyProtection="0"/>
    <xf numFmtId="0" fontId="16" fillId="21" borderId="28" applyNumberFormat="0" applyAlignment="0" applyProtection="0"/>
    <xf numFmtId="0" fontId="90" fillId="25" borderId="28" applyNumberFormat="0" applyAlignment="0" applyProtection="0"/>
    <xf numFmtId="0" fontId="90" fillId="5" borderId="28" applyNumberFormat="0" applyAlignment="0" applyProtection="0"/>
    <xf numFmtId="0" fontId="90" fillId="25" borderId="28" applyNumberFormat="0" applyAlignment="0" applyProtection="0"/>
    <xf numFmtId="0" fontId="90" fillId="5" borderId="28" applyNumberFormat="0" applyAlignment="0" applyProtection="0"/>
    <xf numFmtId="0" fontId="91" fillId="21" borderId="28" applyNumberFormat="0" applyAlignment="0" applyProtection="0"/>
    <xf numFmtId="0" fontId="90" fillId="25" borderId="28" applyNumberFormat="0" applyAlignment="0" applyProtection="0"/>
    <xf numFmtId="0" fontId="90" fillId="25" borderId="28" applyNumberFormat="0" applyAlignment="0" applyProtection="0"/>
    <xf numFmtId="0" fontId="90" fillId="25" borderId="28" applyNumberFormat="0" applyAlignment="0" applyProtection="0"/>
    <xf numFmtId="0" fontId="91" fillId="21" borderId="28" applyNumberFormat="0" applyAlignment="0" applyProtection="0"/>
    <xf numFmtId="0" fontId="119" fillId="54" borderId="29" applyNumberFormat="0" applyAlignment="0" applyProtection="0"/>
    <xf numFmtId="1" fontId="92" fillId="0" borderId="0" applyProtection="0">
      <alignment horizontal="right" vertical="center"/>
    </xf>
    <xf numFmtId="0" fontId="64" fillId="0" borderId="0">
      <alignment/>
      <protection/>
    </xf>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ont="0" applyFill="0" applyBorder="0" applyProtection="0">
      <alignment/>
    </xf>
    <xf numFmtId="0" fontId="17" fillId="0" borderId="0" applyNumberFormat="0" applyFont="0" applyFill="0" applyBorder="0" applyProtection="0">
      <alignment/>
    </xf>
    <xf numFmtId="0" fontId="17" fillId="0" borderId="0" applyNumberFormat="0" applyFont="0" applyFill="0" applyBorder="0" applyProtection="0">
      <alignment/>
    </xf>
    <xf numFmtId="15" fontId="17" fillId="0" borderId="0" applyFont="0" applyFill="0" applyBorder="0" applyAlignment="0" applyProtection="0"/>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18" fillId="0" borderId="30">
      <alignment horizontal="center"/>
      <protection/>
    </xf>
    <xf numFmtId="0" fontId="18" fillId="0" borderId="30">
      <alignment horizontal="center"/>
      <protection/>
    </xf>
    <xf numFmtId="0" fontId="18" fillId="0" borderId="30">
      <alignment horizontal="center"/>
      <protection/>
    </xf>
    <xf numFmtId="0" fontId="18" fillId="0" borderId="30">
      <alignment horizontal="center"/>
      <protection/>
    </xf>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0" fontId="17" fillId="61" borderId="0" applyNumberFormat="0" applyFont="0" applyBorder="0" applyAlignment="0" applyProtection="0"/>
    <xf numFmtId="181" fontId="71" fillId="0" borderId="31" applyFont="0" applyFill="0" applyBorder="0" applyAlignment="0" applyProtection="0"/>
    <xf numFmtId="0" fontId="93" fillId="0" borderId="0" applyNumberFormat="0" applyFill="0" applyBorder="0" applyAlignment="0" applyProtection="0"/>
    <xf numFmtId="0" fontId="94" fillId="0" borderId="0" applyNumberFormat="0" applyFill="0" applyBorder="0" applyProtection="0">
      <alignment/>
    </xf>
    <xf numFmtId="182" fontId="0" fillId="0" borderId="0" applyFont="0" applyFill="0">
      <alignment/>
      <protection/>
    </xf>
    <xf numFmtId="0" fontId="95" fillId="21" borderId="0" applyNumberFormat="0" applyFont="0" applyBorder="0" applyAlignment="0" applyProtection="0"/>
    <xf numFmtId="39" fontId="0" fillId="62" borderId="0">
      <alignment/>
      <protection/>
    </xf>
    <xf numFmtId="38" fontId="22" fillId="0" borderId="32">
      <alignment/>
      <protection/>
    </xf>
    <xf numFmtId="38" fontId="45" fillId="0" borderId="33">
      <alignment/>
      <protection/>
    </xf>
    <xf numFmtId="39" fontId="94" fillId="63" borderId="0">
      <alignment/>
      <protection/>
    </xf>
    <xf numFmtId="170" fontId="0" fillId="0" borderId="0">
      <alignment horizontal="left" wrapText="1"/>
      <protection/>
    </xf>
    <xf numFmtId="40" fontId="96" fillId="0" borderId="0" applyBorder="0">
      <alignment horizontal="right"/>
      <protection/>
    </xf>
    <xf numFmtId="0" fontId="97" fillId="0" borderId="0" applyBorder="0" applyProtection="0">
      <alignment vertical="center"/>
    </xf>
    <xf numFmtId="0" fontId="97" fillId="0" borderId="34" applyBorder="0" applyProtection="0">
      <alignment horizontal="right" vertical="center"/>
    </xf>
    <xf numFmtId="0" fontId="98" fillId="20" borderId="0" applyBorder="0" applyProtection="0">
      <alignment horizontal="centerContinuous" vertical="center"/>
    </xf>
    <xf numFmtId="0" fontId="98" fillId="64" borderId="34" applyBorder="0" applyProtection="0">
      <alignment horizontal="centerContinuous" vertical="center"/>
    </xf>
    <xf numFmtId="0" fontId="45" fillId="0" borderId="0" applyBorder="0" applyProtection="0">
      <alignment horizontal="left"/>
    </xf>
    <xf numFmtId="0" fontId="99" fillId="0" borderId="0" applyFill="0" applyBorder="0" applyProtection="0">
      <alignment horizontal="left"/>
    </xf>
    <xf numFmtId="0" fontId="22" fillId="0" borderId="31" applyFill="0" applyBorder="0" applyProtection="0">
      <alignment horizontal="left" vertical="top"/>
    </xf>
    <xf numFmtId="0" fontId="1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9" fillId="0" borderId="0" applyNumberFormat="0" applyFill="0" applyBorder="0" applyAlignment="0" applyProtection="0"/>
    <xf numFmtId="0" fontId="10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9" fillId="0" borderId="0" applyNumberFormat="0" applyFill="0" applyBorder="0" applyAlignment="0" applyProtection="0"/>
    <xf numFmtId="0" fontId="120" fillId="0" borderId="0" applyNumberFormat="0" applyFill="0" applyBorder="0" applyAlignment="0" applyProtection="0"/>
    <xf numFmtId="0" fontId="33" fillId="57" borderId="0">
      <alignment horizontal="left" wrapText="1"/>
      <protection/>
    </xf>
    <xf numFmtId="0" fontId="102" fillId="0" borderId="0">
      <alignment horizontal="left" vertical="center"/>
      <protection/>
    </xf>
    <xf numFmtId="0" fontId="20" fillId="0" borderId="35" applyNumberFormat="0" applyFill="0" applyAlignment="0" applyProtection="0"/>
    <xf numFmtId="0" fontId="60" fillId="0" borderId="36" applyNumberFormat="0" applyFill="0" applyAlignment="0" applyProtection="0"/>
    <xf numFmtId="0" fontId="103" fillId="0" borderId="36" applyNumberFormat="0" applyFill="0" applyAlignment="0" applyProtection="0"/>
    <xf numFmtId="0" fontId="60" fillId="0" borderId="36" applyNumberFormat="0" applyFill="0" applyAlignment="0" applyProtection="0"/>
    <xf numFmtId="0" fontId="103" fillId="0" borderId="36" applyNumberFormat="0" applyFill="0" applyAlignment="0" applyProtection="0"/>
    <xf numFmtId="0" fontId="36" fillId="0" borderId="35" applyNumberFormat="0" applyFill="0" applyAlignment="0" applyProtection="0"/>
    <xf numFmtId="0" fontId="103"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36" fillId="0" borderId="35" applyNumberFormat="0" applyFill="0" applyAlignment="0" applyProtection="0"/>
    <xf numFmtId="0" fontId="121" fillId="0" borderId="37" applyNumberFormat="0" applyFill="0" applyAlignment="0" applyProtection="0"/>
    <xf numFmtId="37" fontId="0" fillId="0" borderId="0">
      <alignment/>
      <protection/>
    </xf>
    <xf numFmtId="0" fontId="21" fillId="0" borderId="0" applyNumberFormat="0" applyFill="0" applyBorder="0" applyAlignment="0" applyProtection="0"/>
    <xf numFmtId="0" fontId="10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37" fillId="0" borderId="0" applyNumberFormat="0" applyFill="0" applyBorder="0" applyAlignment="0" applyProtection="0"/>
    <xf numFmtId="0" fontId="122" fillId="0" borderId="0" applyNumberForma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46" fillId="0" borderId="0">
      <alignment/>
      <protection/>
    </xf>
    <xf numFmtId="43" fontId="146" fillId="0" borderId="0" applyFont="0" applyFill="0" applyBorder="0" applyAlignment="0" applyProtection="0"/>
    <xf numFmtId="0" fontId="146" fillId="0" borderId="0">
      <alignment/>
      <protection/>
    </xf>
    <xf numFmtId="43" fontId="146" fillId="0" borderId="0" applyFont="0" applyFill="0" applyBorder="0" applyAlignment="0" applyProtection="0"/>
    <xf numFmtId="0" fontId="146" fillId="0" borderId="0">
      <alignment/>
      <protection/>
    </xf>
    <xf numFmtId="43" fontId="146"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0" fontId="0" fillId="0" borderId="0">
      <alignment/>
      <protection/>
    </xf>
  </cellStyleXfs>
  <cellXfs count="416">
    <xf numFmtId="0" fontId="0" fillId="0" borderId="0" xfId="0"/>
    <xf numFmtId="0" fontId="29" fillId="0" borderId="0" xfId="0" applyFont="1" applyFill="1" applyBorder="1"/>
    <xf numFmtId="165" fontId="29" fillId="0" borderId="0" xfId="0" applyNumberFormat="1" applyFont="1" applyFill="1" applyBorder="1"/>
    <xf numFmtId="0" fontId="30" fillId="0" borderId="0" xfId="0" applyFont="1" applyFill="1" applyBorder="1"/>
    <xf numFmtId="0" fontId="0" fillId="0" borderId="0" xfId="0" applyFill="1" applyBorder="1"/>
    <xf numFmtId="0" fontId="23" fillId="0" borderId="0" xfId="0" applyFont="1" applyFill="1"/>
    <xf numFmtId="0" fontId="23" fillId="0" borderId="0" xfId="0" applyFont="1" applyFill="1" applyBorder="1"/>
    <xf numFmtId="164" fontId="0" fillId="0" borderId="0" xfId="18" applyNumberFormat="1" applyFont="1"/>
    <xf numFmtId="0" fontId="0" fillId="0" borderId="0" xfId="0" applyFill="1"/>
    <xf numFmtId="9" fontId="0" fillId="0" borderId="0" xfId="0" applyNumberFormat="1"/>
    <xf numFmtId="0" fontId="33" fillId="0" borderId="0" xfId="0" applyFont="1" applyAlignment="1">
      <alignment horizontal="centerContinuous"/>
    </xf>
    <xf numFmtId="0" fontId="0" fillId="0" borderId="0" xfId="0" applyAlignment="1">
      <alignment horizontal="centerContinuous"/>
    </xf>
    <xf numFmtId="0" fontId="33" fillId="0" borderId="0" xfId="0" applyFont="1" applyAlignment="1">
      <alignment horizontal="center"/>
    </xf>
    <xf numFmtId="0" fontId="0" fillId="0" borderId="0" xfId="0" applyAlignment="1">
      <alignment horizontal="center"/>
    </xf>
    <xf numFmtId="0" fontId="0" fillId="0" borderId="0" xfId="0" applyAlignment="1">
      <alignment horizontal="right"/>
    </xf>
    <xf numFmtId="164" fontId="0" fillId="0" borderId="0" xfId="0" applyNumberFormat="1"/>
    <xf numFmtId="10" fontId="0" fillId="0" borderId="0" xfId="15" applyNumberFormat="1" applyFont="1" applyAlignment="1">
      <alignment horizontal="right"/>
    </xf>
    <xf numFmtId="10" fontId="0" fillId="0" borderId="0" xfId="15" applyNumberFormat="1" applyFont="1"/>
    <xf numFmtId="164" fontId="0" fillId="0" borderId="0" xfId="18" applyNumberFormat="1" applyFill="1" applyBorder="1"/>
    <xf numFmtId="166" fontId="0" fillId="0" borderId="0" xfId="15" applyNumberFormat="1" applyFont="1"/>
    <xf numFmtId="164" fontId="0" fillId="0" borderId="0" xfId="18" applyNumberFormat="1" applyFont="1" applyFill="1"/>
    <xf numFmtId="43" fontId="0" fillId="0" borderId="0" xfId="0" applyNumberFormat="1"/>
    <xf numFmtId="0" fontId="33" fillId="0" borderId="0" xfId="0" applyFont="1"/>
    <xf numFmtId="37" fontId="0" fillId="0" borderId="0" xfId="0" applyNumberFormat="1"/>
    <xf numFmtId="37" fontId="41" fillId="0" borderId="0" xfId="0" applyNumberFormat="1" applyFont="1"/>
    <xf numFmtId="167" fontId="0" fillId="0" borderId="0" xfId="15" applyNumberFormat="1"/>
    <xf numFmtId="37" fontId="0" fillId="0" borderId="0" xfId="0" applyNumberFormat="1" applyFill="1"/>
    <xf numFmtId="37" fontId="0" fillId="0" borderId="0" xfId="0" applyNumberFormat="1" applyFont="1"/>
    <xf numFmtId="166" fontId="0" fillId="0" borderId="0" xfId="15" applyNumberFormat="1" applyFont="1"/>
    <xf numFmtId="37" fontId="33" fillId="0" borderId="0" xfId="0" applyNumberFormat="1" applyFont="1" applyAlignment="1" quotePrefix="1">
      <alignment horizontal="center"/>
    </xf>
    <xf numFmtId="0" fontId="0" fillId="0" borderId="0" xfId="0" applyFont="1"/>
    <xf numFmtId="37" fontId="0" fillId="0" borderId="0" xfId="0" applyNumberFormat="1" applyFont="1" applyFill="1"/>
    <xf numFmtId="0" fontId="0" fillId="0" borderId="0" xfId="0" applyFont="1" applyFill="1"/>
    <xf numFmtId="0" fontId="0" fillId="0" borderId="0" xfId="0" applyAlignment="1">
      <alignment horizontal="left"/>
    </xf>
    <xf numFmtId="0" fontId="0" fillId="0" borderId="0" xfId="0" applyBorder="1" applyAlignment="1">
      <alignment horizontal="left"/>
    </xf>
    <xf numFmtId="37" fontId="0" fillId="0" borderId="0" xfId="0" applyNumberFormat="1" applyAlignment="1">
      <alignment horizontal="left"/>
    </xf>
    <xf numFmtId="0" fontId="0" fillId="0" borderId="0" xfId="0" applyFont="1" applyAlignment="1">
      <alignment horizontal="right"/>
    </xf>
    <xf numFmtId="37" fontId="0" fillId="0" borderId="0" xfId="0" applyNumberFormat="1" applyAlignment="1">
      <alignment horizontal="right"/>
    </xf>
    <xf numFmtId="0" fontId="0" fillId="0" borderId="0" xfId="0" applyFont="1"/>
    <xf numFmtId="164" fontId="0" fillId="0" borderId="0" xfId="18" applyNumberFormat="1"/>
    <xf numFmtId="37" fontId="0" fillId="0" borderId="0" xfId="18" applyNumberFormat="1"/>
    <xf numFmtId="0" fontId="0" fillId="0" borderId="0" xfId="0" applyAlignment="1" quotePrefix="1">
      <alignment horizontal="left"/>
    </xf>
    <xf numFmtId="0" fontId="42" fillId="0" borderId="0" xfId="0" applyFont="1" applyFill="1"/>
    <xf numFmtId="37" fontId="33" fillId="0" borderId="0" xfId="0" applyNumberFormat="1" applyFont="1" applyAlignment="1">
      <alignment horizontal="center"/>
    </xf>
    <xf numFmtId="14" fontId="33" fillId="0" borderId="0" xfId="0" applyNumberFormat="1" applyFont="1" applyAlignment="1">
      <alignment horizontal="center"/>
    </xf>
    <xf numFmtId="1" fontId="0" fillId="0" borderId="0" xfId="0" applyNumberFormat="1"/>
    <xf numFmtId="3" fontId="0" fillId="0" borderId="0" xfId="0" applyNumberFormat="1"/>
    <xf numFmtId="10" fontId="0" fillId="0" borderId="0" xfId="0" applyNumberFormat="1"/>
    <xf numFmtId="6" fontId="0" fillId="0" borderId="0" xfId="0" applyNumberFormat="1"/>
    <xf numFmtId="0" fontId="33" fillId="0" borderId="0" xfId="0" applyFont="1"/>
    <xf numFmtId="0" fontId="0" fillId="0" borderId="0" xfId="0" applyAlignment="1" applyProtection="1">
      <alignment horizontal="left"/>
      <protection/>
    </xf>
    <xf numFmtId="0" fontId="0" fillId="0" borderId="0" xfId="0" applyAlignment="1" applyProtection="1">
      <alignment horizontal="right"/>
      <protection/>
    </xf>
    <xf numFmtId="0" fontId="33" fillId="0" borderId="0" xfId="0" applyFont="1" applyAlignment="1" applyProtection="1">
      <alignment horizontal="left"/>
      <protection/>
    </xf>
    <xf numFmtId="14" fontId="33" fillId="0" borderId="0" xfId="0" applyNumberFormat="1" applyFont="1" applyAlignment="1">
      <alignment horizontal="left"/>
    </xf>
    <xf numFmtId="3" fontId="124" fillId="0" borderId="0" xfId="0" applyNumberFormat="1" applyFont="1"/>
    <xf numFmtId="3" fontId="0" fillId="0" borderId="0" xfId="0" applyNumberFormat="1" applyFont="1" applyAlignment="1">
      <alignment/>
    </xf>
    <xf numFmtId="3" fontId="33" fillId="0" borderId="0" xfId="0" applyNumberFormat="1" applyFont="1"/>
    <xf numFmtId="3" fontId="33" fillId="0" borderId="0" xfId="0" applyNumberFormat="1" applyFont="1" applyAlignment="1">
      <alignment horizontal="right"/>
    </xf>
    <xf numFmtId="1" fontId="33" fillId="0" borderId="0" xfId="0" applyNumberFormat="1" applyFont="1" applyAlignment="1">
      <alignment horizontal="center"/>
    </xf>
    <xf numFmtId="3" fontId="33" fillId="0" borderId="0" xfId="0" applyNumberFormat="1" applyFont="1" applyAlignment="1">
      <alignment horizontal="center"/>
    </xf>
    <xf numFmtId="3" fontId="33" fillId="0" borderId="0" xfId="0" applyNumberFormat="1" applyFont="1" applyAlignment="1">
      <alignment horizontal="center"/>
    </xf>
    <xf numFmtId="3" fontId="0" fillId="0" borderId="0" xfId="0" applyNumberFormat="1" applyAlignment="1" quotePrefix="1">
      <alignment horizontal="left"/>
    </xf>
    <xf numFmtId="3" fontId="41" fillId="0" borderId="0" xfId="0" applyNumberFormat="1" applyFont="1"/>
    <xf numFmtId="3" fontId="33" fillId="0" borderId="0" xfId="0" applyNumberFormat="1" applyFont="1"/>
    <xf numFmtId="1" fontId="33" fillId="0" borderId="0" xfId="0" applyNumberFormat="1" applyFont="1" applyAlignment="1">
      <alignment horizontal="left"/>
    </xf>
    <xf numFmtId="3" fontId="0" fillId="0" borderId="0" xfId="0" applyNumberFormat="1" applyFont="1"/>
    <xf numFmtId="3" fontId="0" fillId="0" borderId="0" xfId="0" applyNumberFormat="1" applyBorder="1"/>
    <xf numFmtId="38" fontId="0" fillId="0" borderId="0" xfId="0" applyNumberFormat="1"/>
    <xf numFmtId="3" fontId="123" fillId="0" borderId="0" xfId="0" applyNumberFormat="1" applyFont="1" applyAlignment="1" applyProtection="1">
      <alignment horizontal="center"/>
      <protection/>
    </xf>
    <xf numFmtId="3" fontId="123" fillId="0" borderId="0" xfId="0" applyNumberFormat="1" applyFont="1"/>
    <xf numFmtId="3" fontId="0" fillId="0" borderId="0" xfId="0" applyNumberFormat="1" applyProtection="1">
      <protection/>
    </xf>
    <xf numFmtId="3" fontId="0" fillId="0" borderId="0" xfId="0" applyNumberFormat="1" applyAlignment="1">
      <alignment horizontal="center"/>
    </xf>
    <xf numFmtId="3" fontId="0" fillId="0" borderId="0" xfId="0" applyNumberFormat="1" quotePrefix="1"/>
    <xf numFmtId="0" fontId="31" fillId="0" borderId="0" xfId="0" applyFont="1" applyFill="1" applyAlignment="1">
      <alignment/>
    </xf>
    <xf numFmtId="0" fontId="24" fillId="0" borderId="0" xfId="0" applyFont="1" applyFill="1"/>
    <xf numFmtId="0" fontId="24" fillId="0" borderId="0" xfId="0" applyFont="1" applyFill="1" applyAlignment="1">
      <alignment/>
    </xf>
    <xf numFmtId="0" fontId="25" fillId="0" borderId="0" xfId="0" applyFont="1" applyFill="1" applyAlignment="1">
      <alignment/>
    </xf>
    <xf numFmtId="0" fontId="26" fillId="0" borderId="0" xfId="0" applyFont="1" applyFill="1" applyBorder="1" applyAlignment="1">
      <alignment horizontal="center"/>
    </xf>
    <xf numFmtId="0" fontId="27" fillId="0" borderId="38" xfId="0" applyFont="1" applyFill="1" applyBorder="1"/>
    <xf numFmtId="1" fontId="26" fillId="0" borderId="0" xfId="0" applyNumberFormat="1" applyFont="1" applyFill="1" applyBorder="1" applyAlignment="1">
      <alignment horizontal="center"/>
    </xf>
    <xf numFmtId="0" fontId="27" fillId="0" borderId="39" xfId="0" applyFont="1" applyFill="1" applyBorder="1"/>
    <xf numFmtId="0" fontId="28" fillId="0" borderId="40" xfId="0" applyFont="1" applyFill="1" applyBorder="1"/>
    <xf numFmtId="0" fontId="29" fillId="0" borderId="40" xfId="0" applyFont="1" applyFill="1" applyBorder="1"/>
    <xf numFmtId="0" fontId="28" fillId="0" borderId="0" xfId="0" applyFont="1" applyFill="1" applyBorder="1"/>
    <xf numFmtId="164" fontId="29" fillId="0" borderId="0" xfId="18" applyNumberFormat="1" applyFont="1" applyFill="1" applyBorder="1"/>
    <xf numFmtId="164" fontId="27" fillId="0" borderId="38" xfId="18" applyNumberFormat="1" applyFont="1" applyFill="1" applyBorder="1"/>
    <xf numFmtId="164" fontId="28" fillId="0" borderId="0" xfId="18" applyNumberFormat="1" applyFont="1" applyFill="1" applyBorder="1"/>
    <xf numFmtId="164" fontId="29" fillId="0" borderId="0" xfId="18" applyNumberFormat="1" applyFont="1" applyFill="1" applyBorder="1" applyAlignment="1">
      <alignment horizontal="left"/>
    </xf>
    <xf numFmtId="0" fontId="22" fillId="0" borderId="0" xfId="0" applyFont="1" applyFill="1"/>
    <xf numFmtId="0" fontId="27" fillId="0" borderId="0" xfId="0" applyFont="1" applyFill="1" applyBorder="1"/>
    <xf numFmtId="0" fontId="26" fillId="0" borderId="0" xfId="0" applyFont="1" applyFill="1" applyBorder="1"/>
    <xf numFmtId="0" fontId="33" fillId="0" borderId="0" xfId="0" applyFont="1" applyAlignment="1">
      <alignment horizontal="center"/>
    </xf>
    <xf numFmtId="0" fontId="33" fillId="0" borderId="0" xfId="0" applyFont="1" applyAlignment="1" quotePrefix="1">
      <alignment horizontal="left"/>
    </xf>
    <xf numFmtId="9" fontId="0" fillId="0" borderId="0" xfId="15" applyFont="1"/>
    <xf numFmtId="0" fontId="33" fillId="0" borderId="0" xfId="0" applyFont="1" applyAlignment="1">
      <alignment horizontal="left"/>
    </xf>
    <xf numFmtId="0" fontId="0" fillId="0" borderId="0" xfId="0" applyBorder="1"/>
    <xf numFmtId="37" fontId="0" fillId="0" borderId="0" xfId="0" applyNumberFormat="1" applyFont="1"/>
    <xf numFmtId="164" fontId="0" fillId="0" borderId="0" xfId="358" applyNumberFormat="1"/>
    <xf numFmtId="164" fontId="0" fillId="0" borderId="0" xfId="358" applyNumberFormat="1" applyFont="1"/>
    <xf numFmtId="10" fontId="0" fillId="0" borderId="0" xfId="1127" applyNumberFormat="1"/>
    <xf numFmtId="164" fontId="33" fillId="0" borderId="0" xfId="358" applyNumberFormat="1" applyFont="1"/>
    <xf numFmtId="37" fontId="0" fillId="0" borderId="0" xfId="358" applyNumberFormat="1"/>
    <xf numFmtId="37" fontId="33" fillId="0" borderId="0" xfId="358" applyNumberFormat="1" applyFont="1"/>
    <xf numFmtId="0" fontId="33" fillId="0" borderId="0" xfId="0" applyFont="1" applyAlignment="1">
      <alignment horizontal="center"/>
    </xf>
    <xf numFmtId="0" fontId="0" fillId="65" borderId="0" xfId="0" applyFill="1"/>
    <xf numFmtId="164" fontId="0" fillId="0" borderId="0" xfId="18" applyNumberFormat="1" applyFont="1"/>
    <xf numFmtId="37" fontId="0" fillId="0" borderId="0" xfId="18" applyNumberFormat="1" applyFont="1"/>
    <xf numFmtId="10" fontId="0" fillId="0" borderId="0" xfId="1127" applyNumberFormat="1" applyFont="1"/>
    <xf numFmtId="37" fontId="0" fillId="0" borderId="0" xfId="358" applyNumberFormat="1" applyFont="1"/>
    <xf numFmtId="0" fontId="0" fillId="0" borderId="0" xfId="0" applyFont="1" applyAlignment="1" quotePrefix="1">
      <alignment horizontal="left"/>
    </xf>
    <xf numFmtId="164" fontId="26" fillId="0" borderId="0" xfId="18" applyNumberFormat="1" applyFont="1" applyFill="1" applyBorder="1"/>
    <xf numFmtId="164" fontId="0" fillId="0" borderId="0" xfId="18" applyNumberFormat="1" applyFont="1" applyAlignment="1">
      <alignment horizontal="right"/>
    </xf>
    <xf numFmtId="0" fontId="33" fillId="0" borderId="0" xfId="0" applyFont="1" applyAlignment="1">
      <alignment horizontal="center"/>
    </xf>
    <xf numFmtId="164" fontId="0" fillId="0" borderId="0" xfId="358" applyNumberFormat="1" applyFill="1"/>
    <xf numFmtId="0" fontId="0" fillId="0" borderId="0" xfId="0" applyFill="1" applyAlignment="1">
      <alignment horizontal="left"/>
    </xf>
    <xf numFmtId="164" fontId="0" fillId="0" borderId="0" xfId="18" applyNumberFormat="1" applyFill="1"/>
    <xf numFmtId="0" fontId="33" fillId="0" borderId="0" xfId="0" applyFont="1" applyFill="1"/>
    <xf numFmtId="164" fontId="33" fillId="0" borderId="0" xfId="18" applyNumberFormat="1" applyFont="1" applyFill="1"/>
    <xf numFmtId="185" fontId="0" fillId="0" borderId="0" xfId="0" applyNumberFormat="1"/>
    <xf numFmtId="185" fontId="0" fillId="0" borderId="0" xfId="18" applyNumberFormat="1" applyFont="1"/>
    <xf numFmtId="0" fontId="125" fillId="0" borderId="0" xfId="0" applyFont="1" applyFill="1"/>
    <xf numFmtId="187" fontId="125" fillId="0" borderId="0" xfId="0" applyNumberFormat="1" applyFont="1" applyFill="1" applyAlignment="1" applyProtection="1">
      <alignment vertical="top" wrapText="1" readingOrder="1"/>
      <protection locked="0"/>
    </xf>
    <xf numFmtId="0" fontId="126" fillId="0" borderId="41" xfId="0" applyFont="1" applyFill="1" applyBorder="1" applyAlignment="1" applyProtection="1">
      <alignment horizontal="right" vertical="top" wrapText="1" readingOrder="1"/>
      <protection locked="0"/>
    </xf>
    <xf numFmtId="164" fontId="125" fillId="0" borderId="0" xfId="18" applyNumberFormat="1" applyFont="1" applyFill="1"/>
    <xf numFmtId="164" fontId="125" fillId="0" borderId="0" xfId="18" applyNumberFormat="1" applyFont="1" applyFill="1" applyAlignment="1" applyProtection="1">
      <alignment vertical="top" wrapText="1" readingOrder="1"/>
      <protection locked="0"/>
    </xf>
    <xf numFmtId="164" fontId="126" fillId="0" borderId="41" xfId="18" applyNumberFormat="1" applyFont="1" applyFill="1" applyBorder="1" applyAlignment="1" applyProtection="1">
      <alignment horizontal="right" vertical="top" wrapText="1" readingOrder="1"/>
      <protection locked="0"/>
    </xf>
    <xf numFmtId="0" fontId="0" fillId="0" borderId="0" xfId="18" applyNumberFormat="1" applyFont="1"/>
    <xf numFmtId="9" fontId="0" fillId="0" borderId="0" xfId="15" applyFont="1"/>
    <xf numFmtId="0" fontId="127" fillId="66" borderId="0" xfId="0" applyFont="1" applyFill="1"/>
    <xf numFmtId="0" fontId="128" fillId="66" borderId="0" xfId="0" applyFont="1" applyFill="1"/>
    <xf numFmtId="4" fontId="0" fillId="0" borderId="0" xfId="0" applyNumberFormat="1"/>
    <xf numFmtId="0" fontId="0" fillId="66" borderId="0" xfId="0" applyFill="1"/>
    <xf numFmtId="0" fontId="121" fillId="66" borderId="0" xfId="0" applyFont="1" applyFill="1"/>
    <xf numFmtId="0" fontId="125" fillId="0" borderId="0" xfId="0" applyFont="1" applyFill="1"/>
    <xf numFmtId="0" fontId="125" fillId="0" borderId="0" xfId="0" applyFont="1" applyFill="1" applyAlignment="1">
      <alignment horizontal="right"/>
    </xf>
    <xf numFmtId="0" fontId="126" fillId="0" borderId="42" xfId="0" applyFont="1" applyFill="1" applyBorder="1" applyAlignment="1" applyProtection="1">
      <alignment horizontal="right" wrapText="1" readingOrder="1"/>
      <protection locked="0"/>
    </xf>
    <xf numFmtId="0" fontId="125" fillId="0" borderId="0" xfId="0" applyFont="1" applyFill="1" applyAlignment="1" applyProtection="1">
      <alignment horizontal="right" vertical="top" wrapText="1" readingOrder="1"/>
      <protection locked="0"/>
    </xf>
    <xf numFmtId="0" fontId="0" fillId="0" borderId="0" xfId="0" applyAlignment="1">
      <alignment horizontal="right" indent="1"/>
    </xf>
    <xf numFmtId="14" fontId="0" fillId="0" borderId="0" xfId="0" applyNumberFormat="1" applyAlignment="1">
      <alignment horizontal="right" indent="1"/>
    </xf>
    <xf numFmtId="0" fontId="127" fillId="26" borderId="0" xfId="0" applyFont="1" applyFill="1" applyBorder="1"/>
    <xf numFmtId="164" fontId="0" fillId="26" borderId="0" xfId="18" applyNumberFormat="1" applyFont="1" applyFill="1" applyBorder="1"/>
    <xf numFmtId="164" fontId="0" fillId="0" borderId="0" xfId="18" applyNumberFormat="1" applyFont="1" applyBorder="1"/>
    <xf numFmtId="0" fontId="121" fillId="26" borderId="0" xfId="0" applyFont="1" applyFill="1" applyBorder="1"/>
    <xf numFmtId="164" fontId="121" fillId="26" borderId="0" xfId="18" applyNumberFormat="1" applyFont="1" applyFill="1" applyBorder="1"/>
    <xf numFmtId="0" fontId="121" fillId="66" borderId="0" xfId="0" applyFont="1" applyFill="1" applyBorder="1"/>
    <xf numFmtId="164" fontId="121" fillId="66" borderId="0" xfId="18" applyNumberFormat="1" applyFont="1" applyFill="1" applyBorder="1"/>
    <xf numFmtId="164" fontId="121" fillId="0" borderId="0" xfId="18" applyNumberFormat="1" applyFont="1" applyFill="1" applyBorder="1"/>
    <xf numFmtId="164" fontId="0" fillId="0" borderId="0" xfId="18" applyNumberFormat="1" applyFont="1" applyFill="1" applyBorder="1"/>
    <xf numFmtId="0" fontId="121" fillId="26" borderId="0" xfId="18" applyNumberFormat="1" applyFont="1" applyFill="1" applyBorder="1" applyAlignment="1">
      <alignment horizontal="center"/>
    </xf>
    <xf numFmtId="0" fontId="0" fillId="0" borderId="0" xfId="0" applyNumberFormat="1"/>
    <xf numFmtId="164" fontId="121" fillId="66" borderId="0" xfId="18" applyNumberFormat="1" applyFont="1" applyFill="1"/>
    <xf numFmtId="164" fontId="130" fillId="0" borderId="0" xfId="18" applyNumberFormat="1" applyFont="1" applyAlignment="1">
      <alignment horizontal="left" vertical="center"/>
    </xf>
    <xf numFmtId="164" fontId="24" fillId="0" borderId="0" xfId="18" applyNumberFormat="1" applyFont="1" applyFill="1" applyAlignment="1">
      <alignment/>
    </xf>
    <xf numFmtId="164" fontId="25" fillId="0" borderId="0" xfId="18" applyNumberFormat="1" applyFont="1" applyFill="1" applyAlignment="1">
      <alignment/>
    </xf>
    <xf numFmtId="164" fontId="24" fillId="0" borderId="0" xfId="18" applyNumberFormat="1" applyFont="1" applyFill="1"/>
    <xf numFmtId="164" fontId="27" fillId="0" borderId="0" xfId="18" applyNumberFormat="1" applyFont="1" applyFill="1" applyBorder="1" applyAlignment="1">
      <alignment horizontal="center"/>
    </xf>
    <xf numFmtId="185" fontId="0" fillId="0" borderId="0" xfId="0" applyNumberFormat="1" applyFill="1"/>
    <xf numFmtId="185" fontId="0" fillId="0" borderId="0" xfId="18" applyNumberFormat="1" applyFont="1" applyFill="1"/>
    <xf numFmtId="188" fontId="0" fillId="0" borderId="0" xfId="18" applyNumberFormat="1" applyFont="1"/>
    <xf numFmtId="188" fontId="0" fillId="0" borderId="0" xfId="18" applyNumberFormat="1" applyFont="1" applyAlignment="1" applyProtection="1">
      <alignment horizontal="right"/>
      <protection/>
    </xf>
    <xf numFmtId="0" fontId="0" fillId="0" borderId="0" xfId="0" applyAlignment="1">
      <alignment horizontal="center" wrapText="1"/>
    </xf>
    <xf numFmtId="164" fontId="0" fillId="0" borderId="0" xfId="18" applyNumberFormat="1" applyFont="1" applyAlignment="1">
      <alignment horizontal="center" wrapText="1"/>
    </xf>
    <xf numFmtId="0" fontId="33" fillId="0" borderId="0" xfId="18" applyNumberFormat="1" applyFont="1" applyAlignment="1">
      <alignment horizontal="left"/>
    </xf>
    <xf numFmtId="0" fontId="0" fillId="0" borderId="0" xfId="0" applyFont="1" applyAlignment="1">
      <alignment horizontal="right"/>
    </xf>
    <xf numFmtId="164" fontId="33" fillId="0" borderId="0" xfId="18" applyNumberFormat="1" applyFont="1" applyAlignment="1">
      <alignment horizontal="center" wrapText="1"/>
    </xf>
    <xf numFmtId="37" fontId="132" fillId="0" borderId="0" xfId="0" applyNumberFormat="1" applyFont="1" applyAlignment="1">
      <alignment horizontal="center"/>
    </xf>
    <xf numFmtId="37" fontId="132" fillId="0" borderId="0" xfId="0" applyNumberFormat="1" applyFont="1"/>
    <xf numFmtId="37" fontId="132" fillId="0" borderId="0" xfId="0" applyNumberFormat="1" applyFont="1" applyAlignment="1">
      <alignment horizontal="centerContinuous"/>
    </xf>
    <xf numFmtId="37" fontId="133" fillId="0" borderId="0" xfId="0" applyNumberFormat="1" applyFont="1" applyAlignment="1">
      <alignment horizontal="centerContinuous"/>
    </xf>
    <xf numFmtId="37" fontId="133" fillId="0" borderId="0" xfId="0" applyNumberFormat="1" applyFont="1"/>
    <xf numFmtId="37" fontId="133" fillId="0" borderId="0" xfId="0" applyNumberFormat="1" applyFont="1" applyAlignment="1" applyProtection="1">
      <alignment horizontal="left"/>
      <protection/>
    </xf>
    <xf numFmtId="37" fontId="132" fillId="0" borderId="0" xfId="0" applyNumberFormat="1" applyFont="1" applyProtection="1">
      <protection/>
    </xf>
    <xf numFmtId="37" fontId="132" fillId="0" borderId="0" xfId="18" applyNumberFormat="1" applyFont="1" applyProtection="1">
      <protection/>
    </xf>
    <xf numFmtId="189" fontId="133" fillId="0" borderId="0" xfId="0" applyNumberFormat="1" applyFont="1" applyAlignment="1" applyProtection="1">
      <alignment horizontal="center"/>
      <protection/>
    </xf>
    <xf numFmtId="37" fontId="132" fillId="0" borderId="0" xfId="0" applyNumberFormat="1" applyFont="1" applyAlignment="1" applyProtection="1">
      <alignment/>
      <protection/>
    </xf>
    <xf numFmtId="189" fontId="132" fillId="0" borderId="0" xfId="0" applyNumberFormat="1" applyFont="1"/>
    <xf numFmtId="189" fontId="133" fillId="0" borderId="0" xfId="0" applyNumberFormat="1" applyFont="1" applyAlignment="1">
      <alignment horizontal="center"/>
    </xf>
    <xf numFmtId="189" fontId="133" fillId="0" borderId="0" xfId="0" applyNumberFormat="1" applyFont="1" applyAlignment="1" applyProtection="1">
      <alignment horizontal="left"/>
      <protection/>
    </xf>
    <xf numFmtId="37" fontId="132" fillId="0" borderId="0" xfId="0" applyNumberFormat="1" applyFont="1" applyAlignment="1" applyProtection="1">
      <alignment horizontal="left"/>
      <protection/>
    </xf>
    <xf numFmtId="164" fontId="0" fillId="0" borderId="0" xfId="18" applyNumberFormat="1" applyFont="1"/>
    <xf numFmtId="164" fontId="132" fillId="0" borderId="0" xfId="18" applyNumberFormat="1" applyFont="1" applyAlignment="1">
      <alignment readingOrder="1"/>
    </xf>
    <xf numFmtId="164" fontId="132" fillId="0" borderId="0" xfId="18" applyNumberFormat="1" applyFont="1"/>
    <xf numFmtId="164" fontId="132" fillId="0" borderId="0" xfId="18" applyNumberFormat="1" applyFont="1" applyAlignment="1">
      <alignment horizontal="centerContinuous"/>
    </xf>
    <xf numFmtId="164" fontId="133" fillId="0" borderId="0" xfId="18" applyNumberFormat="1" applyFont="1" applyAlignment="1">
      <alignment horizontal="centerContinuous"/>
    </xf>
    <xf numFmtId="164" fontId="133" fillId="0" borderId="0" xfId="18" applyNumberFormat="1" applyFont="1"/>
    <xf numFmtId="164" fontId="133" fillId="0" borderId="0" xfId="18" applyNumberFormat="1" applyFont="1" applyAlignment="1" applyProtection="1">
      <alignment horizontal="center"/>
      <protection/>
    </xf>
    <xf numFmtId="164" fontId="132" fillId="0" borderId="0" xfId="18" applyNumberFormat="1" applyFont="1" applyProtection="1">
      <protection/>
    </xf>
    <xf numFmtId="164" fontId="133" fillId="0" borderId="0" xfId="18" applyNumberFormat="1" applyFont="1" applyAlignment="1" applyProtection="1">
      <alignment horizontal="left"/>
      <protection/>
    </xf>
    <xf numFmtId="164" fontId="132" fillId="0" borderId="0" xfId="18" applyNumberFormat="1" applyFont="1" applyFill="1" applyAlignment="1" applyProtection="1">
      <alignment horizontal="right" vertical="top" wrapText="1" readingOrder="1"/>
      <protection locked="0"/>
    </xf>
    <xf numFmtId="37" fontId="132" fillId="65" borderId="0" xfId="0" applyNumberFormat="1" applyFont="1" applyFill="1" applyProtection="1">
      <protection/>
    </xf>
    <xf numFmtId="37" fontId="132" fillId="0" borderId="0" xfId="0" applyNumberFormat="1" applyFont="1" applyFill="1" applyProtection="1">
      <protection/>
    </xf>
    <xf numFmtId="3" fontId="38" fillId="0" borderId="0" xfId="18" applyNumberFormat="1" applyFont="1" applyAlignment="1" applyProtection="1">
      <alignment horizontal="left" vertical="center"/>
      <protection/>
    </xf>
    <xf numFmtId="3" fontId="38" fillId="0" borderId="0" xfId="18" applyNumberFormat="1" applyFont="1" applyAlignment="1" applyProtection="1">
      <alignment vertical="center"/>
      <protection/>
    </xf>
    <xf numFmtId="3" fontId="0" fillId="0" borderId="0" xfId="0" applyNumberFormat="1" applyFont="1"/>
    <xf numFmtId="3" fontId="0" fillId="0" borderId="0" xfId="0" applyNumberFormat="1" applyFont="1" applyBorder="1"/>
    <xf numFmtId="164" fontId="0" fillId="0" borderId="0" xfId="18" applyNumberFormat="1" applyFont="1" applyAlignment="1">
      <alignment horizontal="right"/>
    </xf>
    <xf numFmtId="164" fontId="0" fillId="0" borderId="0" xfId="18" applyNumberFormat="1" applyFont="1" applyAlignment="1">
      <alignment horizontal="right" vertical="center"/>
    </xf>
    <xf numFmtId="164" fontId="0" fillId="0" borderId="0" xfId="18" applyNumberFormat="1" applyFont="1" applyAlignment="1">
      <alignment horizontal="right"/>
    </xf>
    <xf numFmtId="164" fontId="0" fillId="0" borderId="0" xfId="18" applyNumberFormat="1" applyFont="1" quotePrefix="1"/>
    <xf numFmtId="0" fontId="134" fillId="0" borderId="0" xfId="0" applyFont="1" applyAlignment="1">
      <alignment horizontal="center"/>
    </xf>
    <xf numFmtId="0" fontId="40" fillId="0" borderId="0" xfId="0" applyFont="1" applyAlignment="1">
      <alignment horizontal="center"/>
    </xf>
    <xf numFmtId="0" fontId="40" fillId="0" borderId="0" xfId="0" applyFont="1"/>
    <xf numFmtId="164" fontId="125" fillId="0" borderId="0" xfId="18" applyNumberFormat="1" applyFont="1" applyFill="1" applyAlignment="1">
      <alignment horizontal="right"/>
    </xf>
    <xf numFmtId="186" fontId="135" fillId="0" borderId="0" xfId="0" applyNumberFormat="1" applyFont="1" applyFill="1" applyAlignment="1" applyProtection="1">
      <alignment horizontal="right" vertical="top" wrapText="1" readingOrder="1"/>
      <protection locked="0"/>
    </xf>
    <xf numFmtId="0" fontId="136" fillId="65" borderId="0" xfId="0" applyFont="1" applyFill="1"/>
    <xf numFmtId="164" fontId="0" fillId="0" borderId="0" xfId="0" applyNumberFormat="1" applyFill="1"/>
    <xf numFmtId="186" fontId="0" fillId="0" borderId="0" xfId="0" applyNumberFormat="1"/>
    <xf numFmtId="0" fontId="131" fillId="0" borderId="0" xfId="0" applyFont="1" applyFill="1" applyBorder="1"/>
    <xf numFmtId="164" fontId="29" fillId="0" borderId="0" xfId="0" applyNumberFormat="1" applyFont="1" applyFill="1" applyBorder="1" applyAlignment="1">
      <alignment horizontal="left" indent="1"/>
    </xf>
    <xf numFmtId="37" fontId="133" fillId="0" borderId="0" xfId="0" applyNumberFormat="1" applyFont="1" applyFill="1" applyAlignment="1" applyProtection="1">
      <alignment horizontal="center"/>
      <protection/>
    </xf>
    <xf numFmtId="37" fontId="133" fillId="0" borderId="0" xfId="0" applyNumberFormat="1" applyFont="1" applyFill="1"/>
    <xf numFmtId="164" fontId="133" fillId="0" borderId="0" xfId="18" applyNumberFormat="1" applyFont="1" applyFill="1" applyAlignment="1" applyProtection="1">
      <alignment horizontal="center"/>
      <protection/>
    </xf>
    <xf numFmtId="37" fontId="133" fillId="0" borderId="0" xfId="0" applyNumberFormat="1" applyFont="1" applyAlignment="1" applyProtection="1">
      <alignment horizontal="center"/>
      <protection/>
    </xf>
    <xf numFmtId="0" fontId="133" fillId="0" borderId="0" xfId="0" applyFont="1" applyAlignment="1">
      <alignment horizontal="center"/>
    </xf>
    <xf numFmtId="0" fontId="132" fillId="0" borderId="0" xfId="0" applyFont="1"/>
    <xf numFmtId="37" fontId="133" fillId="0" borderId="0" xfId="0" applyNumberFormat="1" applyFont="1" applyAlignment="1">
      <alignment horizontal="left"/>
    </xf>
    <xf numFmtId="37" fontId="133" fillId="0" borderId="0" xfId="0" applyNumberFormat="1" applyFont="1" applyAlignment="1">
      <alignment horizontal="center"/>
    </xf>
    <xf numFmtId="0" fontId="132" fillId="0" borderId="0" xfId="0" applyFont="1" applyAlignment="1">
      <alignment horizontal="center"/>
    </xf>
    <xf numFmtId="0" fontId="132" fillId="0" borderId="0" xfId="0" applyFont="1" applyFill="1"/>
    <xf numFmtId="37" fontId="132" fillId="0" borderId="0" xfId="0" applyNumberFormat="1" applyFont="1" applyFill="1"/>
    <xf numFmtId="0" fontId="132" fillId="0" borderId="0" xfId="0" applyFont="1" applyAlignment="1">
      <alignment horizontal="right"/>
    </xf>
    <xf numFmtId="37" fontId="132" fillId="0" borderId="0" xfId="0" applyNumberFormat="1" applyFont="1" applyAlignment="1">
      <alignment/>
    </xf>
    <xf numFmtId="0" fontId="133" fillId="0" borderId="0" xfId="0" applyFont="1" applyAlignment="1">
      <alignment/>
    </xf>
    <xf numFmtId="0" fontId="133" fillId="0" borderId="0" xfId="0" applyFont="1"/>
    <xf numFmtId="39" fontId="132" fillId="0" borderId="0" xfId="0" applyNumberFormat="1" applyFont="1"/>
    <xf numFmtId="3" fontId="132" fillId="0" borderId="0" xfId="0" applyNumberFormat="1" applyFont="1"/>
    <xf numFmtId="37" fontId="132" fillId="0" borderId="0" xfId="0" applyNumberFormat="1" applyFont="1" applyAlignment="1">
      <alignment horizontal="right"/>
    </xf>
    <xf numFmtId="164" fontId="132" fillId="0" borderId="0" xfId="18" applyNumberFormat="1" applyFont="1" applyFill="1" applyAlignment="1">
      <alignment readingOrder="1"/>
    </xf>
    <xf numFmtId="164" fontId="132" fillId="0" borderId="0" xfId="18" applyNumberFormat="1" applyFont="1" applyFill="1" applyProtection="1">
      <protection/>
    </xf>
    <xf numFmtId="190" fontId="40" fillId="0" borderId="0" xfId="16" applyNumberFormat="1" applyFont="1" applyFill="1" applyAlignment="1">
      <alignment horizontal="right"/>
    </xf>
    <xf numFmtId="190" fontId="40" fillId="0" borderId="0" xfId="16" applyNumberFormat="1" applyFont="1" applyAlignment="1">
      <alignment horizontal="right"/>
    </xf>
    <xf numFmtId="164" fontId="138" fillId="0" borderId="0" xfId="18" applyNumberFormat="1" applyFont="1" applyFill="1" applyAlignment="1">
      <alignment horizontal="right"/>
    </xf>
    <xf numFmtId="164" fontId="138" fillId="0" borderId="0" xfId="18" applyNumberFormat="1" applyFont="1" applyAlignment="1">
      <alignment horizontal="right"/>
    </xf>
    <xf numFmtId="164" fontId="0" fillId="65" borderId="0" xfId="18" applyNumberFormat="1" applyFont="1" applyFill="1"/>
    <xf numFmtId="0" fontId="0" fillId="67" borderId="0" xfId="0" applyFill="1"/>
    <xf numFmtId="164" fontId="0" fillId="67" borderId="0" xfId="18" applyNumberFormat="1" applyFont="1" applyFill="1" applyAlignment="1">
      <alignment horizontal="right"/>
    </xf>
    <xf numFmtId="164" fontId="0" fillId="67" borderId="0" xfId="358" applyNumberFormat="1" applyFill="1"/>
    <xf numFmtId="0" fontId="0" fillId="67" borderId="0" xfId="0" applyFont="1" applyFill="1"/>
    <xf numFmtId="0" fontId="0" fillId="67" borderId="0" xfId="0" applyFill="1" applyAlignment="1" quotePrefix="1">
      <alignment horizontal="left"/>
    </xf>
    <xf numFmtId="37" fontId="0" fillId="67" borderId="0" xfId="0" applyNumberFormat="1" applyFill="1"/>
    <xf numFmtId="164" fontId="0" fillId="67" borderId="0" xfId="358" applyNumberFormat="1" applyFont="1" applyFill="1"/>
    <xf numFmtId="0" fontId="0" fillId="67" borderId="0" xfId="0" applyFont="1" applyFill="1" applyAlignment="1" quotePrefix="1">
      <alignment horizontal="left"/>
    </xf>
    <xf numFmtId="37" fontId="0" fillId="67" borderId="0" xfId="0" applyNumberFormat="1" applyFont="1" applyFill="1"/>
    <xf numFmtId="37" fontId="0" fillId="0" borderId="0" xfId="0" applyNumberFormat="1" applyFill="1" applyAlignment="1" quotePrefix="1">
      <alignment horizontal="right"/>
    </xf>
    <xf numFmtId="164" fontId="0" fillId="0" borderId="0" xfId="0" applyNumberFormat="1" applyFont="1" applyFill="1"/>
    <xf numFmtId="0" fontId="0" fillId="65" borderId="0" xfId="0" applyFont="1" applyFill="1"/>
    <xf numFmtId="43" fontId="0" fillId="0" borderId="0" xfId="18" applyFont="1"/>
    <xf numFmtId="164" fontId="0" fillId="0" borderId="0" xfId="0" applyNumberFormat="1" applyFont="1"/>
    <xf numFmtId="0" fontId="0" fillId="65" borderId="0" xfId="0" applyFill="1" applyBorder="1"/>
    <xf numFmtId="0" fontId="0" fillId="65" borderId="34" xfId="0" applyFont="1" applyFill="1" applyBorder="1"/>
    <xf numFmtId="0" fontId="121" fillId="66" borderId="34" xfId="0" applyFont="1" applyFill="1" applyBorder="1"/>
    <xf numFmtId="164" fontId="0" fillId="0" borderId="0" xfId="18" applyNumberFormat="1" applyFont="1" applyFill="1"/>
    <xf numFmtId="0" fontId="0" fillId="0" borderId="0" xfId="0" applyFont="1" applyFill="1"/>
    <xf numFmtId="10" fontId="0" fillId="0" borderId="0" xfId="0" applyNumberFormat="1" applyFill="1"/>
    <xf numFmtId="0" fontId="136" fillId="0" borderId="0" xfId="0" applyFont="1" applyFill="1"/>
    <xf numFmtId="164" fontId="121" fillId="65" borderId="0" xfId="18" applyNumberFormat="1" applyFont="1" applyFill="1"/>
    <xf numFmtId="164" fontId="0" fillId="65" borderId="0" xfId="0" applyNumberFormat="1" applyFill="1"/>
    <xf numFmtId="4" fontId="0" fillId="65" borderId="0" xfId="0" applyNumberFormat="1" applyFill="1"/>
    <xf numFmtId="4" fontId="0" fillId="66" borderId="0" xfId="0" applyNumberFormat="1" applyFill="1"/>
    <xf numFmtId="10" fontId="0" fillId="66" borderId="0" xfId="15" applyNumberFormat="1" applyFont="1" applyFill="1"/>
    <xf numFmtId="0" fontId="140" fillId="0" borderId="0" xfId="0" applyFont="1" applyFill="1" applyBorder="1"/>
    <xf numFmtId="0" fontId="137" fillId="0" borderId="0" xfId="0" applyFont="1" applyFill="1" applyBorder="1"/>
    <xf numFmtId="164" fontId="137" fillId="0" borderId="0" xfId="18" applyNumberFormat="1" applyFont="1" applyFill="1" applyBorder="1"/>
    <xf numFmtId="164" fontId="137" fillId="0" borderId="0" xfId="18" applyNumberFormat="1" applyFont="1" applyFill="1" applyBorder="1" applyAlignment="1">
      <alignment horizontal="left"/>
    </xf>
    <xf numFmtId="0" fontId="33" fillId="0" borderId="0" xfId="0" applyFont="1" applyFill="1" applyBorder="1" applyAlignment="1">
      <alignment horizontal="center"/>
    </xf>
    <xf numFmtId="166" fontId="0" fillId="0" borderId="0" xfId="15" applyNumberFormat="1" applyFont="1" applyFill="1"/>
    <xf numFmtId="0" fontId="129" fillId="0" borderId="0" xfId="0" applyFont="1" applyFill="1"/>
    <xf numFmtId="37" fontId="132" fillId="0" borderId="0" xfId="0" applyNumberFormat="1" applyFont="1" applyFill="1" applyAlignment="1">
      <alignment/>
    </xf>
    <xf numFmtId="164" fontId="132" fillId="0" borderId="0" xfId="18" applyNumberFormat="1" applyFont="1" applyFill="1"/>
    <xf numFmtId="164" fontId="0" fillId="0" borderId="0" xfId="18" applyNumberFormat="1" applyFont="1" applyFill="1"/>
    <xf numFmtId="0" fontId="0" fillId="0" borderId="0" xfId="0" applyFont="1" applyFill="1" applyAlignment="1">
      <alignment horizontal="right"/>
    </xf>
    <xf numFmtId="164" fontId="0" fillId="0" borderId="0" xfId="18" applyNumberFormat="1" applyFont="1" applyFill="1" applyAlignment="1">
      <alignment horizontal="right"/>
    </xf>
    <xf numFmtId="164" fontId="136" fillId="0" borderId="0" xfId="18" applyNumberFormat="1" applyFont="1" applyFill="1"/>
    <xf numFmtId="0" fontId="142" fillId="0" borderId="0" xfId="0" applyFont="1" applyFill="1"/>
    <xf numFmtId="37" fontId="144" fillId="0" borderId="0" xfId="0" applyNumberFormat="1" applyFont="1"/>
    <xf numFmtId="0" fontId="139" fillId="0" borderId="0" xfId="0" applyFont="1"/>
    <xf numFmtId="164" fontId="145" fillId="0" borderId="0" xfId="18" applyNumberFormat="1" applyFont="1" applyFill="1" applyAlignment="1" applyProtection="1">
      <alignment horizontal="left" vertical="top" readingOrder="1"/>
      <protection locked="0"/>
    </xf>
    <xf numFmtId="1" fontId="33" fillId="0" borderId="0" xfId="0" applyNumberFormat="1" applyFont="1" applyBorder="1" applyAlignment="1">
      <alignment horizontal="center"/>
    </xf>
    <xf numFmtId="0" fontId="33" fillId="0" borderId="0" xfId="0" applyFont="1" applyBorder="1" applyAlignment="1" quotePrefix="1">
      <alignment horizontal="center"/>
    </xf>
    <xf numFmtId="3" fontId="33" fillId="0" borderId="0" xfId="0" applyNumberFormat="1" applyFont="1" applyBorder="1" applyAlignment="1">
      <alignment horizontal="center"/>
    </xf>
    <xf numFmtId="1" fontId="33" fillId="0" borderId="0" xfId="0" applyNumberFormat="1" applyFont="1" applyFill="1" applyBorder="1" applyAlignment="1">
      <alignment horizontal="center"/>
    </xf>
    <xf numFmtId="0" fontId="133" fillId="0" borderId="0" xfId="0" applyFont="1" applyAlignment="1">
      <alignment horizontal="center"/>
    </xf>
    <xf numFmtId="164" fontId="141" fillId="18" borderId="0" xfId="18" applyNumberFormat="1" applyFont="1" applyFill="1" applyAlignment="1">
      <alignment horizontal="left" vertical="center"/>
    </xf>
    <xf numFmtId="0" fontId="0" fillId="18" borderId="0" xfId="0" applyFill="1"/>
    <xf numFmtId="164" fontId="130" fillId="18" borderId="0" xfId="18" applyNumberFormat="1" applyFont="1" applyFill="1" applyAlignment="1">
      <alignment horizontal="left" vertical="center"/>
    </xf>
    <xf numFmtId="0" fontId="33" fillId="18" borderId="0" xfId="0" applyFont="1" applyFill="1"/>
    <xf numFmtId="164" fontId="141" fillId="12" borderId="0" xfId="18" applyNumberFormat="1" applyFont="1" applyFill="1" applyAlignment="1">
      <alignment horizontal="left" vertical="center"/>
    </xf>
    <xf numFmtId="0" fontId="0" fillId="12" borderId="0" xfId="0" applyFill="1"/>
    <xf numFmtId="164" fontId="130" fillId="12" borderId="0" xfId="18" applyNumberFormat="1" applyFont="1" applyFill="1" applyAlignment="1">
      <alignment horizontal="left" vertical="center"/>
    </xf>
    <xf numFmtId="0" fontId="33" fillId="12" borderId="0" xfId="0" applyFont="1" applyFill="1"/>
    <xf numFmtId="0" fontId="33" fillId="0" borderId="0" xfId="0" applyFont="1" applyAlignment="1">
      <alignment horizontal="center"/>
    </xf>
    <xf numFmtId="0" fontId="0" fillId="0" borderId="0" xfId="0" applyFont="1" applyAlignment="1">
      <alignment horizontal="right" wrapText="1"/>
    </xf>
    <xf numFmtId="0" fontId="0" fillId="0" borderId="0" xfId="0" applyFont="1" applyAlignment="1">
      <alignment horizontal="right" vertical="center"/>
    </xf>
    <xf numFmtId="164" fontId="130" fillId="30" borderId="0" xfId="18" applyNumberFormat="1" applyFont="1" applyFill="1" applyAlignment="1">
      <alignment horizontal="left" vertical="center"/>
    </xf>
    <xf numFmtId="0" fontId="0" fillId="30" borderId="0" xfId="0" applyFill="1"/>
    <xf numFmtId="0" fontId="33" fillId="30" borderId="0" xfId="0" applyFont="1" applyFill="1"/>
    <xf numFmtId="164" fontId="130" fillId="26" borderId="0" xfId="18" applyNumberFormat="1" applyFont="1" applyFill="1" applyAlignment="1">
      <alignment horizontal="left" vertical="center"/>
    </xf>
    <xf numFmtId="0" fontId="0" fillId="26" borderId="0" xfId="0" applyFill="1"/>
    <xf numFmtId="0" fontId="33" fillId="26" borderId="0" xfId="0" applyFont="1" applyFill="1"/>
    <xf numFmtId="164" fontId="0" fillId="18" borderId="0" xfId="18" applyNumberFormat="1" applyFont="1" applyFill="1"/>
    <xf numFmtId="164" fontId="0" fillId="12" borderId="0" xfId="18" applyNumberFormat="1" applyFont="1" applyFill="1"/>
    <xf numFmtId="164" fontId="0" fillId="12" borderId="0" xfId="0" applyNumberFormat="1" applyFill="1"/>
    <xf numFmtId="0" fontId="27" fillId="65" borderId="38" xfId="0" applyFont="1" applyFill="1" applyBorder="1"/>
    <xf numFmtId="0" fontId="28" fillId="65" borderId="0" xfId="0" applyFont="1" applyFill="1" applyBorder="1"/>
    <xf numFmtId="0" fontId="29" fillId="65" borderId="0" xfId="0" applyFont="1" applyFill="1" applyBorder="1"/>
    <xf numFmtId="164" fontId="0" fillId="26" borderId="0" xfId="0" applyNumberFormat="1" applyFill="1"/>
    <xf numFmtId="164" fontId="125" fillId="0" borderId="0" xfId="18" applyNumberFormat="1" applyFont="1" applyFill="1" applyAlignment="1" applyProtection="1">
      <alignment horizontal="right" vertical="top" wrapText="1" readingOrder="1"/>
      <protection locked="0"/>
    </xf>
    <xf numFmtId="164" fontId="143" fillId="0" borderId="0" xfId="18" applyNumberFormat="1" applyFont="1" applyFill="1" applyBorder="1"/>
    <xf numFmtId="164" fontId="125" fillId="0" borderId="0" xfId="0" applyNumberFormat="1" applyFont="1" applyFill="1" applyAlignment="1" applyProtection="1">
      <alignment horizontal="right" vertical="top" wrapText="1" readingOrder="1"/>
      <protection locked="0"/>
    </xf>
    <xf numFmtId="187" fontId="143" fillId="0" borderId="0" xfId="1501" applyNumberFormat="1" applyFont="1" applyFill="1" applyBorder="1">
      <alignment/>
      <protection/>
    </xf>
    <xf numFmtId="164" fontId="147" fillId="0" borderId="0" xfId="1492" applyNumberFormat="1" applyFont="1" applyFill="1"/>
    <xf numFmtId="0" fontId="148" fillId="0" borderId="0" xfId="1491" applyFont="1" applyFill="1">
      <alignment/>
      <protection/>
    </xf>
    <xf numFmtId="164" fontId="148" fillId="0" borderId="0" xfId="1491" applyNumberFormat="1" applyFont="1" applyFill="1">
      <alignment/>
      <protection/>
    </xf>
    <xf numFmtId="0" fontId="148" fillId="0" borderId="0" xfId="1491" applyFont="1" applyFill="1" applyAlignment="1">
      <alignment horizontal="center"/>
      <protection/>
    </xf>
    <xf numFmtId="0" fontId="149" fillId="0" borderId="0" xfId="1491" applyNumberFormat="1" applyFont="1" applyFill="1" applyAlignment="1">
      <alignment horizontal="left"/>
      <protection/>
    </xf>
    <xf numFmtId="0" fontId="148" fillId="0" borderId="0" xfId="1491" applyNumberFormat="1" applyFont="1" applyFill="1" applyAlignment="1">
      <alignment horizontal="center"/>
      <protection/>
    </xf>
    <xf numFmtId="164" fontId="148" fillId="0" borderId="0" xfId="18" applyNumberFormat="1" applyFont="1" applyFill="1" applyAlignment="1">
      <alignment horizontal="right"/>
    </xf>
    <xf numFmtId="164" fontId="148" fillId="0" borderId="0" xfId="18" applyNumberFormat="1" applyFont="1" applyFill="1"/>
    <xf numFmtId="164" fontId="148" fillId="0" borderId="0" xfId="18" applyNumberFormat="1" applyFont="1" applyAlignment="1">
      <alignment horizontal="right"/>
    </xf>
    <xf numFmtId="0" fontId="148" fillId="0" borderId="0" xfId="1491" applyFont="1">
      <alignment/>
      <protection/>
    </xf>
    <xf numFmtId="0" fontId="149" fillId="0" borderId="0" xfId="1491" applyFont="1">
      <alignment/>
      <protection/>
    </xf>
    <xf numFmtId="164" fontId="147" fillId="0" borderId="0" xfId="18" applyNumberFormat="1" applyFont="1" applyFill="1" applyAlignment="1">
      <alignment horizontal="right"/>
    </xf>
    <xf numFmtId="164" fontId="148" fillId="0" borderId="0" xfId="18" applyNumberFormat="1" applyFont="1"/>
    <xf numFmtId="164" fontId="150" fillId="0" borderId="0" xfId="18" applyNumberFormat="1" applyFont="1" applyFill="1"/>
    <xf numFmtId="164" fontId="151" fillId="0" borderId="0" xfId="18" applyNumberFormat="1" applyFont="1"/>
    <xf numFmtId="164" fontId="151" fillId="0" borderId="0" xfId="18" applyNumberFormat="1" applyFont="1" applyFill="1"/>
    <xf numFmtId="0" fontId="152" fillId="0" borderId="0" xfId="1491" applyFont="1" applyFill="1">
      <alignment/>
      <protection/>
    </xf>
    <xf numFmtId="10" fontId="148" fillId="0" borderId="0" xfId="15" applyNumberFormat="1" applyFont="1"/>
    <xf numFmtId="10" fontId="153" fillId="0" borderId="0" xfId="15" applyNumberFormat="1" applyFont="1" applyFill="1"/>
    <xf numFmtId="0" fontId="148" fillId="0" borderId="0" xfId="1491" applyFont="1" applyAlignment="1">
      <alignment horizontal="right"/>
      <protection/>
    </xf>
    <xf numFmtId="0" fontId="148" fillId="0" borderId="0" xfId="1500" applyFont="1">
      <alignment/>
      <protection/>
    </xf>
    <xf numFmtId="191" fontId="0" fillId="0" borderId="0" xfId="0" applyNumberFormat="1"/>
    <xf numFmtId="187" fontId="143" fillId="65" borderId="0" xfId="1501" applyNumberFormat="1" applyFont="1" applyFill="1" applyBorder="1">
      <alignment/>
      <protection/>
    </xf>
    <xf numFmtId="164" fontId="121" fillId="66" borderId="34" xfId="18" applyNumberFormat="1" applyFont="1" applyFill="1" applyBorder="1"/>
    <xf numFmtId="164" fontId="121" fillId="26" borderId="43" xfId="18" applyNumberFormat="1" applyFont="1" applyFill="1" applyBorder="1"/>
    <xf numFmtId="37" fontId="144" fillId="0" borderId="0" xfId="0" applyNumberFormat="1" applyFont="1" applyFill="1"/>
    <xf numFmtId="164" fontId="32" fillId="0" borderId="0" xfId="18" applyNumberFormat="1" applyFont="1" applyFill="1" applyAlignment="1">
      <alignment horizontal="right"/>
    </xf>
    <xf numFmtId="164" fontId="149" fillId="0" borderId="0" xfId="18" applyNumberFormat="1" applyFont="1" applyAlignment="1">
      <alignment horizontal="right"/>
    </xf>
    <xf numFmtId="164" fontId="148" fillId="0" borderId="0" xfId="1491" applyNumberFormat="1" applyFont="1" applyFill="1" applyAlignment="1">
      <alignment horizontal="center"/>
      <protection/>
    </xf>
    <xf numFmtId="10" fontId="152" fillId="0" borderId="0" xfId="15" applyNumberFormat="1" applyFont="1"/>
    <xf numFmtId="0" fontId="137" fillId="35" borderId="0" xfId="0" applyFont="1" applyFill="1" applyBorder="1"/>
    <xf numFmtId="164" fontId="139" fillId="0" borderId="0" xfId="18" applyNumberFormat="1" applyFont="1"/>
    <xf numFmtId="37" fontId="133" fillId="0" borderId="0" xfId="0" applyNumberFormat="1" applyFont="1" applyAlignment="1" applyProtection="1">
      <alignment horizontal="center"/>
      <protection/>
    </xf>
    <xf numFmtId="164" fontId="133" fillId="0" borderId="0" xfId="18" applyNumberFormat="1" applyFont="1" applyAlignment="1">
      <alignment horizontal="center"/>
    </xf>
    <xf numFmtId="164" fontId="148" fillId="60" borderId="0" xfId="18" applyNumberFormat="1" applyFont="1" applyFill="1"/>
    <xf numFmtId="164" fontId="151" fillId="60" borderId="0" xfId="18" applyNumberFormat="1" applyFont="1" applyFill="1"/>
    <xf numFmtId="164" fontId="148" fillId="60" borderId="0" xfId="1491" applyNumberFormat="1" applyFont="1" applyFill="1">
      <alignment/>
      <protection/>
    </xf>
    <xf numFmtId="0" fontId="153" fillId="0" borderId="0" xfId="1491" applyNumberFormat="1" applyFont="1" applyFill="1" applyAlignment="1">
      <alignment horizontal="center"/>
      <protection/>
    </xf>
    <xf numFmtId="43" fontId="132" fillId="0" borderId="0" xfId="18" applyNumberFormat="1" applyFont="1"/>
    <xf numFmtId="37" fontId="132" fillId="0" borderId="0" xfId="0" applyNumberFormat="1" applyFont="1" applyProtection="1" quotePrefix="1">
      <protection/>
    </xf>
    <xf numFmtId="0" fontId="0" fillId="0" borderId="0" xfId="0" applyFont="1" applyAlignment="1">
      <alignment wrapText="1"/>
    </xf>
    <xf numFmtId="164" fontId="0" fillId="12" borderId="0" xfId="18" applyNumberFormat="1" applyFont="1" applyFill="1"/>
    <xf numFmtId="164" fontId="0" fillId="18" borderId="0" xfId="0" applyNumberFormat="1" applyFill="1"/>
    <xf numFmtId="164" fontId="1" fillId="0" borderId="0" xfId="18" applyNumberFormat="1" applyFont="1" applyFill="1" applyBorder="1"/>
    <xf numFmtId="188" fontId="0" fillId="0" borderId="0" xfId="18" applyNumberFormat="1" applyFont="1"/>
    <xf numFmtId="192" fontId="0" fillId="0" borderId="0" xfId="0" applyNumberFormat="1"/>
    <xf numFmtId="193" fontId="132" fillId="0" borderId="0" xfId="0" applyNumberFormat="1" applyFont="1"/>
    <xf numFmtId="164" fontId="154" fillId="18" borderId="0" xfId="18" applyNumberFormat="1" applyFont="1" applyFill="1" applyAlignment="1">
      <alignment horizontal="left" vertical="center"/>
    </xf>
    <xf numFmtId="0" fontId="155" fillId="0" borderId="0" xfId="0" applyFont="1"/>
    <xf numFmtId="164" fontId="121" fillId="17" borderId="0" xfId="0" applyNumberFormat="1" applyFont="1" applyFill="1" applyBorder="1" applyAlignment="1">
      <alignment horizontal="center"/>
    </xf>
    <xf numFmtId="164" fontId="29" fillId="65" borderId="0" xfId="18" applyNumberFormat="1" applyFont="1" applyFill="1" applyBorder="1"/>
    <xf numFmtId="164" fontId="0" fillId="0" borderId="0" xfId="358" applyNumberFormat="1" applyFont="1" quotePrefix="1"/>
    <xf numFmtId="164" fontId="0" fillId="0" borderId="0" xfId="18" applyNumberFormat="1" applyFont="1" applyAlignment="1">
      <alignment horizontal="center"/>
    </xf>
    <xf numFmtId="0" fontId="33" fillId="0" borderId="0" xfId="0" applyFont="1" applyBorder="1" applyAlignment="1">
      <alignment horizontal="center"/>
    </xf>
    <xf numFmtId="0" fontId="33" fillId="0" borderId="0" xfId="0" applyFont="1" applyAlignment="1" quotePrefix="1">
      <alignment horizontal="center"/>
    </xf>
    <xf numFmtId="37" fontId="0" fillId="0" borderId="0" xfId="18" applyNumberFormat="1" applyFont="1"/>
    <xf numFmtId="37" fontId="0" fillId="0" borderId="0" xfId="0" applyNumberFormat="1" applyFont="1" applyFill="1"/>
    <xf numFmtId="37" fontId="0" fillId="0" borderId="0" xfId="18" applyNumberFormat="1" applyFont="1" applyFill="1"/>
    <xf numFmtId="3" fontId="0" fillId="0" borderId="0" xfId="18" applyNumberFormat="1" applyFont="1"/>
    <xf numFmtId="3" fontId="0" fillId="0" borderId="0" xfId="0" applyNumberFormat="1" applyFont="1" applyFill="1"/>
    <xf numFmtId="37" fontId="0" fillId="0" borderId="0" xfId="0" applyNumberFormat="1" applyFont="1" applyFill="1" quotePrefix="1"/>
    <xf numFmtId="37" fontId="41" fillId="0" borderId="0" xfId="0" applyNumberFormat="1" applyFont="1" applyFill="1"/>
    <xf numFmtId="0" fontId="0" fillId="0" borderId="0" xfId="0" applyFont="1" applyAlignment="1">
      <alignment horizontal="center"/>
    </xf>
    <xf numFmtId="0" fontId="33" fillId="0" borderId="0" xfId="0" applyFont="1" applyBorder="1" applyAlignment="1">
      <alignment/>
    </xf>
    <xf numFmtId="0" fontId="0" fillId="0" borderId="0" xfId="0" applyFont="1" applyAlignment="1">
      <alignment horizontal="center" vertical="center"/>
    </xf>
    <xf numFmtId="37" fontId="132" fillId="0" borderId="0" xfId="0" applyNumberFormat="1" applyFont="1" applyAlignment="1">
      <alignment horizontal="center" vertical="center"/>
    </xf>
    <xf numFmtId="41" fontId="0" fillId="0" borderId="44" xfId="0" applyNumberFormat="1" applyFont="1" applyBorder="1"/>
    <xf numFmtId="41" fontId="0" fillId="68" borderId="44" xfId="0" applyNumberFormat="1" applyFont="1" applyFill="1" applyBorder="1"/>
    <xf numFmtId="0" fontId="134" fillId="0" borderId="0" xfId="0" applyFont="1" applyFill="1" applyBorder="1" applyAlignment="1" quotePrefix="1">
      <alignment horizontal="center"/>
    </xf>
    <xf numFmtId="3" fontId="134" fillId="0" borderId="0" xfId="0" applyNumberFormat="1" applyFont="1" applyFill="1" applyBorder="1" applyAlignment="1" quotePrefix="1">
      <alignment horizontal="center"/>
    </xf>
    <xf numFmtId="0" fontId="40" fillId="0" borderId="0" xfId="0" applyFont="1" applyBorder="1"/>
    <xf numFmtId="0" fontId="40" fillId="0" borderId="0" xfId="0" applyFont="1" applyBorder="1" applyAlignment="1">
      <alignment horizontal="center"/>
    </xf>
    <xf numFmtId="3" fontId="40" fillId="0" borderId="0" xfId="0" applyNumberFormat="1" applyFont="1" applyBorder="1"/>
    <xf numFmtId="3" fontId="134" fillId="0" borderId="0" xfId="0" applyNumberFormat="1" applyFont="1" applyFill="1" applyBorder="1" applyAlignment="1">
      <alignment horizontal="center"/>
    </xf>
    <xf numFmtId="0" fontId="156" fillId="0" borderId="0" xfId="0" applyFont="1" applyBorder="1" applyAlignment="1">
      <alignment horizontal="center"/>
    </xf>
    <xf numFmtId="3" fontId="40" fillId="0" borderId="0" xfId="0" applyNumberFormat="1" applyFont="1" applyFill="1" applyBorder="1"/>
    <xf numFmtId="3" fontId="40" fillId="0" borderId="0" xfId="0" applyNumberFormat="1" applyFont="1" applyFill="1" applyBorder="1" applyAlignment="1">
      <alignment horizontal="center"/>
    </xf>
    <xf numFmtId="0" fontId="156" fillId="0" borderId="0" xfId="0" applyFont="1" applyBorder="1" applyAlignment="1">
      <alignment horizontal="left"/>
    </xf>
    <xf numFmtId="164" fontId="40" fillId="0" borderId="0" xfId="18" applyNumberFormat="1" applyFont="1" applyFill="1" applyBorder="1"/>
    <xf numFmtId="164" fontId="40" fillId="0" borderId="0" xfId="0" applyNumberFormat="1" applyFont="1"/>
    <xf numFmtId="3" fontId="40" fillId="0" borderId="0" xfId="0" applyNumberFormat="1" applyFont="1" applyBorder="1" applyProtection="1">
      <protection/>
    </xf>
    <xf numFmtId="164" fontId="40" fillId="0" borderId="0" xfId="18" applyNumberFormat="1" applyFont="1"/>
    <xf numFmtId="164" fontId="40" fillId="0" borderId="0" xfId="18" applyNumberFormat="1" applyFont="1" applyBorder="1"/>
    <xf numFmtId="3" fontId="40" fillId="0" borderId="0" xfId="0" applyNumberFormat="1" applyFont="1" applyBorder="1" applyAlignment="1" applyProtection="1">
      <alignment horizontal="center" vertical="center"/>
      <protection/>
    </xf>
    <xf numFmtId="0" fontId="134" fillId="0" borderId="0" xfId="0" applyFont="1" applyBorder="1" applyAlignment="1">
      <alignment horizontal="center"/>
    </xf>
    <xf numFmtId="0" fontId="40" fillId="0" borderId="0" xfId="0" applyFont="1" applyBorder="1" applyAlignment="1">
      <alignment horizontal="left" wrapText="1"/>
    </xf>
    <xf numFmtId="0" fontId="33" fillId="0" borderId="0" xfId="0" applyFont="1" applyAlignment="1">
      <alignment horizontal="center"/>
    </xf>
    <xf numFmtId="0" fontId="133" fillId="0" borderId="0" xfId="0" applyFont="1" applyAlignment="1">
      <alignment horizontal="center"/>
    </xf>
    <xf numFmtId="37" fontId="132" fillId="0" borderId="0" xfId="0" applyNumberFormat="1" applyFont="1" applyAlignment="1" applyProtection="1">
      <alignment horizontal="left" wrapText="1"/>
      <protection/>
    </xf>
    <xf numFmtId="37" fontId="133" fillId="0" borderId="0" xfId="0" applyNumberFormat="1" applyFont="1" applyAlignment="1" applyProtection="1">
      <alignment horizontal="center"/>
      <protection/>
    </xf>
    <xf numFmtId="37" fontId="133" fillId="0" borderId="0" xfId="0" applyNumberFormat="1" applyFont="1" applyAlignment="1" applyProtection="1" quotePrefix="1">
      <alignment horizontal="center"/>
      <protection/>
    </xf>
    <xf numFmtId="0" fontId="134" fillId="0" borderId="0" xfId="0" applyFont="1" applyBorder="1" applyAlignment="1">
      <alignment horizontal="center"/>
    </xf>
    <xf numFmtId="0" fontId="40" fillId="0" borderId="0" xfId="0" applyFont="1" applyBorder="1" applyAlignment="1">
      <alignment horizontal="left" wrapText="1"/>
    </xf>
    <xf numFmtId="0" fontId="0" fillId="0" borderId="0" xfId="0" applyFont="1" applyAlignment="1">
      <alignment horizontal="left" wrapText="1"/>
    </xf>
    <xf numFmtId="0" fontId="33" fillId="0" borderId="0" xfId="0" applyFont="1" applyBorder="1" applyAlignment="1">
      <alignment horizontal="center"/>
    </xf>
    <xf numFmtId="0" fontId="33" fillId="0" borderId="0" xfId="0" applyFont="1" applyAlignment="1">
      <alignment horizontal="center"/>
    </xf>
    <xf numFmtId="0" fontId="33" fillId="0" borderId="0" xfId="0" applyFont="1" applyAlignment="1" quotePrefix="1">
      <alignment horizontal="center"/>
    </xf>
    <xf numFmtId="164" fontId="0" fillId="0" borderId="0" xfId="358" applyNumberFormat="1" applyFont="1"/>
    <xf numFmtId="10" fontId="0" fillId="0" borderId="0" xfId="1127" applyNumberFormat="1" applyFont="1"/>
    <xf numFmtId="37" fontId="0" fillId="0" borderId="0" xfId="358" applyNumberFormat="1" applyFont="1"/>
    <xf numFmtId="164" fontId="0" fillId="67" borderId="0" xfId="358" applyNumberFormat="1" applyFont="1" applyFill="1"/>
    <xf numFmtId="37" fontId="0" fillId="67" borderId="0" xfId="0" applyNumberFormat="1" applyFont="1" applyFill="1"/>
    <xf numFmtId="164" fontId="40" fillId="0" borderId="0" xfId="1502" applyNumberFormat="1" applyFont="1" applyFill="1" applyBorder="1"/>
    <xf numFmtId="164" fontId="132" fillId="0" borderId="0" xfId="1503" applyNumberFormat="1" applyFont="1" applyFill="1" applyBorder="1">
      <alignment/>
      <protection/>
    </xf>
    <xf numFmtId="164" fontId="0" fillId="0" borderId="0" xfId="18" applyNumberFormat="1" applyFont="1" applyFill="1" applyBorder="1"/>
    <xf numFmtId="0" fontId="0" fillId="0" borderId="0" xfId="0" applyFont="1" applyFill="1" applyBorder="1"/>
  </cellXfs>
  <cellStyles count="1490">
    <cellStyle name="Normal" xfId="0"/>
    <cellStyle name="Percent" xfId="15"/>
    <cellStyle name="Currency" xfId="16"/>
    <cellStyle name="Currency [0]" xfId="17"/>
    <cellStyle name="Comma" xfId="18"/>
    <cellStyle name="Comma [0]" xfId="19"/>
    <cellStyle name="_%(SignOnly)" xfId="20"/>
    <cellStyle name="_%(SignSpaceOnly)" xfId="21"/>
    <cellStyle name="_Chelan Debt Forecast 12.19.05" xfId="22"/>
    <cellStyle name="_Comma" xfId="23"/>
    <cellStyle name="_Costs not in AURORA 06GRC" xfId="24"/>
    <cellStyle name="_Costs not in KWI3000 '06Budget" xfId="25"/>
    <cellStyle name="_Currency" xfId="26"/>
    <cellStyle name="_CurrencySpace" xfId="27"/>
    <cellStyle name="_Euro" xfId="28"/>
    <cellStyle name="_Fuel Prices 4-14" xfId="29"/>
    <cellStyle name="_Heading" xfId="30"/>
    <cellStyle name="_Highlight" xfId="31"/>
    <cellStyle name="_Multiple" xfId="32"/>
    <cellStyle name="_MultipleSpace" xfId="33"/>
    <cellStyle name="_Power Cost Value Copy 11.30.05 gas 1.09.06 AURORA at 1.10.06" xfId="34"/>
    <cellStyle name="_Recon to Darrin's 5.11.05 proforma" xfId="35"/>
    <cellStyle name="_SubHeading" xfId="36"/>
    <cellStyle name="_Table" xfId="37"/>
    <cellStyle name="_Table_QC" xfId="38"/>
    <cellStyle name="_TableHead" xfId="39"/>
    <cellStyle name="_TableHead_QC" xfId="40"/>
    <cellStyle name="_TableRowHead" xfId="41"/>
    <cellStyle name="_TableSuperHead" xfId="42"/>
    <cellStyle name="_Value Copy 11 30 05 gas 12 09 05 AURORA at 12 14 05" xfId="43"/>
    <cellStyle name="20% - Accent1" xfId="44"/>
    <cellStyle name="20% - Accent1 2" xfId="45"/>
    <cellStyle name="20% - Accent1 2 2" xfId="46"/>
    <cellStyle name="20% - Accent1 2 2 2" xfId="47"/>
    <cellStyle name="20% - Accent1 2 2 3" xfId="48"/>
    <cellStyle name="20% - Accent1 2 2 4" xfId="49"/>
    <cellStyle name="20% - Accent1 2 3" xfId="50"/>
    <cellStyle name="20% - Accent1 2 4" xfId="51"/>
    <cellStyle name="20% - Accent1 2 5" xfId="52"/>
    <cellStyle name="20% - Accent1 2_QC Sheet" xfId="53"/>
    <cellStyle name="20% - Accent1 3" xfId="54"/>
    <cellStyle name="20% - Accent1 4" xfId="55"/>
    <cellStyle name="20% - Accent2" xfId="56"/>
    <cellStyle name="20% - Accent2 2" xfId="57"/>
    <cellStyle name="20% - Accent2 2 2" xfId="58"/>
    <cellStyle name="20% - Accent2 2 2 2" xfId="59"/>
    <cellStyle name="20% - Accent2 2 2 3" xfId="60"/>
    <cellStyle name="20% - Accent2 2 2 4" xfId="61"/>
    <cellStyle name="20% - Accent2 2 3" xfId="62"/>
    <cellStyle name="20% - Accent2 2 4" xfId="63"/>
    <cellStyle name="20% - Accent2 2 5" xfId="64"/>
    <cellStyle name="20% - Accent2 2_QC Sheet" xfId="65"/>
    <cellStyle name="20% - Accent2 3" xfId="66"/>
    <cellStyle name="20% - Accent2 4" xfId="67"/>
    <cellStyle name="20% - Accent3" xfId="68"/>
    <cellStyle name="20% - Accent3 2" xfId="69"/>
    <cellStyle name="20% - Accent3 2 2" xfId="70"/>
    <cellStyle name="20% - Accent3 2 2 2" xfId="71"/>
    <cellStyle name="20% - Accent3 2 2 3" xfId="72"/>
    <cellStyle name="20% - Accent3 2 2 4" xfId="73"/>
    <cellStyle name="20% - Accent3 2 3" xfId="74"/>
    <cellStyle name="20% - Accent3 2 4" xfId="75"/>
    <cellStyle name="20% - Accent3 2 5" xfId="76"/>
    <cellStyle name="20% - Accent3 2_QC Sheet" xfId="77"/>
    <cellStyle name="20% - Accent3 3" xfId="78"/>
    <cellStyle name="20% - Accent3 4" xfId="79"/>
    <cellStyle name="20% - Accent4" xfId="80"/>
    <cellStyle name="20% - Accent4 2" xfId="81"/>
    <cellStyle name="20% - Accent4 2 2" xfId="82"/>
    <cellStyle name="20% - Accent4 2 2 2" xfId="83"/>
    <cellStyle name="20% - Accent4 2 2 3" xfId="84"/>
    <cellStyle name="20% - Accent4 2 2 4" xfId="85"/>
    <cellStyle name="20% - Accent4 2 3" xfId="86"/>
    <cellStyle name="20% - Accent4 2 4" xfId="87"/>
    <cellStyle name="20% - Accent4 2 5" xfId="88"/>
    <cellStyle name="20% - Accent4 2_QC Sheet" xfId="89"/>
    <cellStyle name="20% - Accent4 3" xfId="90"/>
    <cellStyle name="20% - Accent4 4" xfId="91"/>
    <cellStyle name="20% - Accent5" xfId="92"/>
    <cellStyle name="20% - Accent5 2" xfId="93"/>
    <cellStyle name="20% - Accent5 2 2" xfId="94"/>
    <cellStyle name="20% - Accent5 2 2 2" xfId="95"/>
    <cellStyle name="20% - Accent5 2 2 3" xfId="96"/>
    <cellStyle name="20% - Accent5 2 2 4" xfId="97"/>
    <cellStyle name="20% - Accent5 2 3" xfId="98"/>
    <cellStyle name="20% - Accent5 2 4" xfId="99"/>
    <cellStyle name="20% - Accent5 2 5" xfId="100"/>
    <cellStyle name="20% - Accent5 2_QC Sheet" xfId="101"/>
    <cellStyle name="20% - Accent5 3" xfId="102"/>
    <cellStyle name="20% - Accent5 4" xfId="103"/>
    <cellStyle name="20% - Accent6" xfId="104"/>
    <cellStyle name="20% - Accent6 2" xfId="105"/>
    <cellStyle name="20% - Accent6 2 2" xfId="106"/>
    <cellStyle name="20% - Accent6 2 2 2" xfId="107"/>
    <cellStyle name="20% - Accent6 2 2 3" xfId="108"/>
    <cellStyle name="20% - Accent6 2 2 4" xfId="109"/>
    <cellStyle name="20% - Accent6 2 3" xfId="110"/>
    <cellStyle name="20% - Accent6 2 4" xfId="111"/>
    <cellStyle name="20% - Accent6 2 5" xfId="112"/>
    <cellStyle name="20% - Accent6 2_QC Sheet" xfId="113"/>
    <cellStyle name="20% - Accent6 3" xfId="114"/>
    <cellStyle name="20% - Accent6 4" xfId="115"/>
    <cellStyle name="40% - Accent1" xfId="116"/>
    <cellStyle name="40% - Accent1 2" xfId="117"/>
    <cellStyle name="40% - Accent1 2 2" xfId="118"/>
    <cellStyle name="40% - Accent1 2 2 2" xfId="119"/>
    <cellStyle name="40% - Accent1 2 2 3" xfId="120"/>
    <cellStyle name="40% - Accent1 2 2 4" xfId="121"/>
    <cellStyle name="40% - Accent1 2 3" xfId="122"/>
    <cellStyle name="40% - Accent1 2 4" xfId="123"/>
    <cellStyle name="40% - Accent1 2 5" xfId="124"/>
    <cellStyle name="40% - Accent1 2_QC Sheet" xfId="125"/>
    <cellStyle name="40% - Accent1 3" xfId="126"/>
    <cellStyle name="40% - Accent1 4" xfId="127"/>
    <cellStyle name="40% - Accent2" xfId="128"/>
    <cellStyle name="40% - Accent2 2" xfId="129"/>
    <cellStyle name="40% - Accent2 2 2" xfId="130"/>
    <cellStyle name="40% - Accent2 2 2 2" xfId="131"/>
    <cellStyle name="40% - Accent2 2 2 3" xfId="132"/>
    <cellStyle name="40% - Accent2 2 2 4" xfId="133"/>
    <cellStyle name="40% - Accent2 2 3" xfId="134"/>
    <cellStyle name="40% - Accent2 2 4" xfId="135"/>
    <cellStyle name="40% - Accent2 2 5" xfId="136"/>
    <cellStyle name="40% - Accent2 2_QC Sheet" xfId="137"/>
    <cellStyle name="40% - Accent2 3" xfId="138"/>
    <cellStyle name="40% - Accent2 4" xfId="139"/>
    <cellStyle name="40% - Accent3" xfId="140"/>
    <cellStyle name="40% - Accent3 2" xfId="141"/>
    <cellStyle name="40% - Accent3 2 2" xfId="142"/>
    <cellStyle name="40% - Accent3 2 2 2" xfId="143"/>
    <cellStyle name="40% - Accent3 2 2 3" xfId="144"/>
    <cellStyle name="40% - Accent3 2 2 4" xfId="145"/>
    <cellStyle name="40% - Accent3 2 3" xfId="146"/>
    <cellStyle name="40% - Accent3 2 4" xfId="147"/>
    <cellStyle name="40% - Accent3 2 5" xfId="148"/>
    <cellStyle name="40% - Accent3 2_QC Sheet" xfId="149"/>
    <cellStyle name="40% - Accent3 3" xfId="150"/>
    <cellStyle name="40% - Accent3 4" xfId="151"/>
    <cellStyle name="40% - Accent4" xfId="152"/>
    <cellStyle name="40% - Accent4 2" xfId="153"/>
    <cellStyle name="40% - Accent4 2 2" xfId="154"/>
    <cellStyle name="40% - Accent4 2 2 2" xfId="155"/>
    <cellStyle name="40% - Accent4 2 2 3" xfId="156"/>
    <cellStyle name="40% - Accent4 2 2 4" xfId="157"/>
    <cellStyle name="40% - Accent4 2 3" xfId="158"/>
    <cellStyle name="40% - Accent4 2 4" xfId="159"/>
    <cellStyle name="40% - Accent4 2 5" xfId="160"/>
    <cellStyle name="40% - Accent4 2_QC Sheet" xfId="161"/>
    <cellStyle name="40% - Accent4 3" xfId="162"/>
    <cellStyle name="40% - Accent4 4" xfId="163"/>
    <cellStyle name="40% - Accent5" xfId="164"/>
    <cellStyle name="40% - Accent5 2" xfId="165"/>
    <cellStyle name="40% - Accent5 2 2" xfId="166"/>
    <cellStyle name="40% - Accent5 2 2 2" xfId="167"/>
    <cellStyle name="40% - Accent5 2 2 3" xfId="168"/>
    <cellStyle name="40% - Accent5 2 2 4" xfId="169"/>
    <cellStyle name="40% - Accent5 2 3" xfId="170"/>
    <cellStyle name="40% - Accent5 2 4" xfId="171"/>
    <cellStyle name="40% - Accent5 2 5" xfId="172"/>
    <cellStyle name="40% - Accent5 2_QC Sheet" xfId="173"/>
    <cellStyle name="40% - Accent5 3" xfId="174"/>
    <cellStyle name="40% - Accent5 4" xfId="175"/>
    <cellStyle name="40% - Accent6" xfId="176"/>
    <cellStyle name="40% - Accent6 2" xfId="177"/>
    <cellStyle name="40% - Accent6 2 2" xfId="178"/>
    <cellStyle name="40% - Accent6 2 2 2" xfId="179"/>
    <cellStyle name="40% - Accent6 2 2 3" xfId="180"/>
    <cellStyle name="40% - Accent6 2 2 4" xfId="181"/>
    <cellStyle name="40% - Accent6 2 3" xfId="182"/>
    <cellStyle name="40% - Accent6 2 4" xfId="183"/>
    <cellStyle name="40% - Accent6 2 5" xfId="184"/>
    <cellStyle name="40% - Accent6 2_QC Sheet" xfId="185"/>
    <cellStyle name="40% - Accent6 3" xfId="186"/>
    <cellStyle name="40% - Accent6 4" xfId="187"/>
    <cellStyle name="60% - Accent1" xfId="188"/>
    <cellStyle name="60% - Accent1 2" xfId="189"/>
    <cellStyle name="60% - Accent1 2 2" xfId="190"/>
    <cellStyle name="60% - Accent1 2 2 2" xfId="191"/>
    <cellStyle name="60% - Accent1 2 2 3" xfId="192"/>
    <cellStyle name="60% - Accent1 2 2 4" xfId="193"/>
    <cellStyle name="60% - Accent1 2 3" xfId="194"/>
    <cellStyle name="60% - Accent1 2 4" xfId="195"/>
    <cellStyle name="60% - Accent1 2_QC Sheet" xfId="196"/>
    <cellStyle name="60% - Accent1 3" xfId="197"/>
    <cellStyle name="60% - Accent1 4" xfId="198"/>
    <cellStyle name="60% - Accent2" xfId="199"/>
    <cellStyle name="60% - Accent2 2" xfId="200"/>
    <cellStyle name="60% - Accent2 2 2" xfId="201"/>
    <cellStyle name="60% - Accent2 2 2 2" xfId="202"/>
    <cellStyle name="60% - Accent2 2 2 3" xfId="203"/>
    <cellStyle name="60% - Accent2 2 2 4" xfId="204"/>
    <cellStyle name="60% - Accent2 2 3" xfId="205"/>
    <cellStyle name="60% - Accent2 2 4" xfId="206"/>
    <cellStyle name="60% - Accent2 2_QC Sheet" xfId="207"/>
    <cellStyle name="60% - Accent2 3" xfId="208"/>
    <cellStyle name="60% - Accent2 4" xfId="209"/>
    <cellStyle name="60% - Accent3" xfId="210"/>
    <cellStyle name="60% - Accent3 2" xfId="211"/>
    <cellStyle name="60% - Accent3 2 2" xfId="212"/>
    <cellStyle name="60% - Accent3 2 2 2" xfId="213"/>
    <cellStyle name="60% - Accent3 2 2 3" xfId="214"/>
    <cellStyle name="60% - Accent3 2 2 4" xfId="215"/>
    <cellStyle name="60% - Accent3 2 3" xfId="216"/>
    <cellStyle name="60% - Accent3 2 4" xfId="217"/>
    <cellStyle name="60% - Accent3 2_QC Sheet" xfId="218"/>
    <cellStyle name="60% - Accent3 3" xfId="219"/>
    <cellStyle name="60% - Accent3 4" xfId="220"/>
    <cellStyle name="60% - Accent4" xfId="221"/>
    <cellStyle name="60% - Accent4 2" xfId="222"/>
    <cellStyle name="60% - Accent4 2 2" xfId="223"/>
    <cellStyle name="60% - Accent4 2 2 2" xfId="224"/>
    <cellStyle name="60% - Accent4 2 2 3" xfId="225"/>
    <cellStyle name="60% - Accent4 2 2 4" xfId="226"/>
    <cellStyle name="60% - Accent4 2 3" xfId="227"/>
    <cellStyle name="60% - Accent4 2 4" xfId="228"/>
    <cellStyle name="60% - Accent4 2_QC Sheet" xfId="229"/>
    <cellStyle name="60% - Accent4 3" xfId="230"/>
    <cellStyle name="60% - Accent4 4" xfId="231"/>
    <cellStyle name="60% - Accent5" xfId="232"/>
    <cellStyle name="60% - Accent5 2" xfId="233"/>
    <cellStyle name="60% - Accent5 2 2" xfId="234"/>
    <cellStyle name="60% - Accent5 2 2 2" xfId="235"/>
    <cellStyle name="60% - Accent5 2 2 3" xfId="236"/>
    <cellStyle name="60% - Accent5 2 2 4" xfId="237"/>
    <cellStyle name="60% - Accent5 2 3" xfId="238"/>
    <cellStyle name="60% - Accent5 2 4" xfId="239"/>
    <cellStyle name="60% - Accent5 2_QC Sheet" xfId="240"/>
    <cellStyle name="60% - Accent5 3" xfId="241"/>
    <cellStyle name="60% - Accent5 4" xfId="242"/>
    <cellStyle name="60% - Accent6" xfId="243"/>
    <cellStyle name="60% - Accent6 2" xfId="244"/>
    <cellStyle name="60% - Accent6 2 2" xfId="245"/>
    <cellStyle name="60% - Accent6 2 2 2" xfId="246"/>
    <cellStyle name="60% - Accent6 2 2 3" xfId="247"/>
    <cellStyle name="60% - Accent6 2 2 4" xfId="248"/>
    <cellStyle name="60% - Accent6 2 3" xfId="249"/>
    <cellStyle name="60% - Accent6 2 4" xfId="250"/>
    <cellStyle name="60% - Accent6 2_QC Sheet" xfId="251"/>
    <cellStyle name="60% - Accent6 3" xfId="252"/>
    <cellStyle name="60% - Accent6 4" xfId="253"/>
    <cellStyle name="Accent1" xfId="254"/>
    <cellStyle name="Accent1 2" xfId="255"/>
    <cellStyle name="Accent1 2 2" xfId="256"/>
    <cellStyle name="Accent1 2 2 2" xfId="257"/>
    <cellStyle name="Accent1 2 2 3" xfId="258"/>
    <cellStyle name="Accent1 2 2 4" xfId="259"/>
    <cellStyle name="Accent1 2 3" xfId="260"/>
    <cellStyle name="Accent1 2 4" xfId="261"/>
    <cellStyle name="Accent1 2_QC Sheet" xfId="262"/>
    <cellStyle name="Accent1 3" xfId="263"/>
    <cellStyle name="Accent1 4" xfId="264"/>
    <cellStyle name="Accent2" xfId="265"/>
    <cellStyle name="Accent2 2" xfId="266"/>
    <cellStyle name="Accent2 2 2" xfId="267"/>
    <cellStyle name="Accent2 2 2 2" xfId="268"/>
    <cellStyle name="Accent2 2 2 3" xfId="269"/>
    <cellStyle name="Accent2 2 2 4" xfId="270"/>
    <cellStyle name="Accent2 2 3" xfId="271"/>
    <cellStyle name="Accent2 2 4" xfId="272"/>
    <cellStyle name="Accent2 2_QC Sheet" xfId="273"/>
    <cellStyle name="Accent2 3" xfId="274"/>
    <cellStyle name="Accent2 4" xfId="275"/>
    <cellStyle name="Accent3" xfId="276"/>
    <cellStyle name="Accent3 2" xfId="277"/>
    <cellStyle name="Accent3 2 2" xfId="278"/>
    <cellStyle name="Accent3 2 2 2" xfId="279"/>
    <cellStyle name="Accent3 2 2 3" xfId="280"/>
    <cellStyle name="Accent3 2 2 4" xfId="281"/>
    <cellStyle name="Accent3 2 3" xfId="282"/>
    <cellStyle name="Accent3 2 4" xfId="283"/>
    <cellStyle name="Accent3 2_QC Sheet" xfId="284"/>
    <cellStyle name="Accent3 3" xfId="285"/>
    <cellStyle name="Accent3 4" xfId="286"/>
    <cellStyle name="Accent4" xfId="287"/>
    <cellStyle name="Accent4 2" xfId="288"/>
    <cellStyle name="Accent4 2 2" xfId="289"/>
    <cellStyle name="Accent4 2 2 2" xfId="290"/>
    <cellStyle name="Accent4 2 2 3" xfId="291"/>
    <cellStyle name="Accent4 2 2 4" xfId="292"/>
    <cellStyle name="Accent4 2 3" xfId="293"/>
    <cellStyle name="Accent4 2 4" xfId="294"/>
    <cellStyle name="Accent4 2_QC Sheet" xfId="295"/>
    <cellStyle name="Accent4 3" xfId="296"/>
    <cellStyle name="Accent4 4" xfId="297"/>
    <cellStyle name="Accent5" xfId="298"/>
    <cellStyle name="Accent5 2" xfId="299"/>
    <cellStyle name="Accent5 2 2" xfId="300"/>
    <cellStyle name="Accent5 2 2 2" xfId="301"/>
    <cellStyle name="Accent5 2 2 3" xfId="302"/>
    <cellStyle name="Accent5 2 2 4" xfId="303"/>
    <cellStyle name="Accent5 2 3" xfId="304"/>
    <cellStyle name="Accent5 2 4" xfId="305"/>
    <cellStyle name="Accent5 2_QC Sheet" xfId="306"/>
    <cellStyle name="Accent5 3" xfId="307"/>
    <cellStyle name="Accent5 4" xfId="308"/>
    <cellStyle name="Accent6" xfId="309"/>
    <cellStyle name="Accent6 2" xfId="310"/>
    <cellStyle name="Accent6 2 2" xfId="311"/>
    <cellStyle name="Accent6 2 2 2" xfId="312"/>
    <cellStyle name="Accent6 2 2 3" xfId="313"/>
    <cellStyle name="Accent6 2 2 4" xfId="314"/>
    <cellStyle name="Accent6 2 3" xfId="315"/>
    <cellStyle name="Accent6 2 4" xfId="316"/>
    <cellStyle name="Accent6 2_QC Sheet" xfId="317"/>
    <cellStyle name="Accent6 3" xfId="318"/>
    <cellStyle name="Accent6 4" xfId="319"/>
    <cellStyle name="Adjustable" xfId="320"/>
    <cellStyle name="Bad" xfId="321"/>
    <cellStyle name="Bad 2" xfId="322"/>
    <cellStyle name="Bad 2 2" xfId="323"/>
    <cellStyle name="Bad 2 2 2" xfId="324"/>
    <cellStyle name="Bad 2 2 3" xfId="325"/>
    <cellStyle name="Bad 2 2 4" xfId="326"/>
    <cellStyle name="Bad 2 3" xfId="327"/>
    <cellStyle name="Bad 2 4" xfId="328"/>
    <cellStyle name="Bad 2_QC Sheet" xfId="329"/>
    <cellStyle name="Bad 3" xfId="330"/>
    <cellStyle name="Bad 4" xfId="331"/>
    <cellStyle name="Calc Currency (0)" xfId="332"/>
    <cellStyle name="Calculation" xfId="333"/>
    <cellStyle name="Calculation 2" xfId="334"/>
    <cellStyle name="Calculation 2 2" xfId="335"/>
    <cellStyle name="Calculation 2 2 2" xfId="336"/>
    <cellStyle name="Calculation 2 2 3" xfId="337"/>
    <cellStyle name="Calculation 2 2 4" xfId="338"/>
    <cellStyle name="Calculation 2 3" xfId="339"/>
    <cellStyle name="Calculation 2 4" xfId="340"/>
    <cellStyle name="Calculation 2_QC" xfId="341"/>
    <cellStyle name="Calculation 3" xfId="342"/>
    <cellStyle name="Calculation 4" xfId="343"/>
    <cellStyle name="Check Cell" xfId="344"/>
    <cellStyle name="Check Cell 2" xfId="345"/>
    <cellStyle name="Check Cell 2 2" xfId="346"/>
    <cellStyle name="Check Cell 2 2 2" xfId="347"/>
    <cellStyle name="Check Cell 2 2 3" xfId="348"/>
    <cellStyle name="Check Cell 2 2 4" xfId="349"/>
    <cellStyle name="Check Cell 2 3" xfId="350"/>
    <cellStyle name="Check Cell 2 4" xfId="351"/>
    <cellStyle name="Check Cell 2_QC" xfId="352"/>
    <cellStyle name="Check Cell 3" xfId="353"/>
    <cellStyle name="Check Cell 4" xfId="354"/>
    <cellStyle name="Comma 0" xfId="355"/>
    <cellStyle name="Comma 10" xfId="356"/>
    <cellStyle name="Comma 10 2" xfId="357"/>
    <cellStyle name="Comma 10 2 2" xfId="358"/>
    <cellStyle name="Comma 10 3" xfId="359"/>
    <cellStyle name="Comma 10 4" xfId="360"/>
    <cellStyle name="Comma 11" xfId="361"/>
    <cellStyle name="Comma 11 2" xfId="362"/>
    <cellStyle name="Comma 11 3" xfId="363"/>
    <cellStyle name="Comma 11 3 2" xfId="364"/>
    <cellStyle name="Comma 11 3 3" xfId="365"/>
    <cellStyle name="Comma 12" xfId="366"/>
    <cellStyle name="Comma 13" xfId="367"/>
    <cellStyle name="Comma 13 2" xfId="368"/>
    <cellStyle name="Comma 13 3" xfId="369"/>
    <cellStyle name="Comma 14" xfId="370"/>
    <cellStyle name="Comma 15" xfId="371"/>
    <cellStyle name="Comma 15 2" xfId="372"/>
    <cellStyle name="Comma 16" xfId="373"/>
    <cellStyle name="Comma 16 2" xfId="374"/>
    <cellStyle name="Comma 16 3" xfId="375"/>
    <cellStyle name="Comma 17" xfId="376"/>
    <cellStyle name="Comma 18" xfId="377"/>
    <cellStyle name="Comma 2" xfId="378"/>
    <cellStyle name="Comma 2 2" xfId="379"/>
    <cellStyle name="Comma 2 2 2" xfId="380"/>
    <cellStyle name="Comma 2 2 2 2" xfId="381"/>
    <cellStyle name="Comma 2 2 2 3" xfId="382"/>
    <cellStyle name="Comma 2 3" xfId="383"/>
    <cellStyle name="Comma 2 4" xfId="384"/>
    <cellStyle name="Comma 2 4 2" xfId="385"/>
    <cellStyle name="Comma 2 4 3" xfId="386"/>
    <cellStyle name="Comma 2 5" xfId="387"/>
    <cellStyle name="Comma 2 6" xfId="388"/>
    <cellStyle name="Comma 2_BP-14 Preliminary Capital Forecast NonBudget System_5 2 13" xfId="389"/>
    <cellStyle name="Comma 3" xfId="390"/>
    <cellStyle name="Comma 3 10" xfId="391"/>
    <cellStyle name="Comma 3 11" xfId="392"/>
    <cellStyle name="Comma 3 12" xfId="393"/>
    <cellStyle name="Comma 3 12 2" xfId="394"/>
    <cellStyle name="Comma 3 2" xfId="395"/>
    <cellStyle name="Comma 3 2 2" xfId="396"/>
    <cellStyle name="Comma 3 2 2 2" xfId="397"/>
    <cellStyle name="Comma 3 2 2 2 2" xfId="398"/>
    <cellStyle name="Comma 3 2 2 2 3" xfId="399"/>
    <cellStyle name="Comma 3 2 2 3" xfId="400"/>
    <cellStyle name="Comma 3 2 2 3 2" xfId="401"/>
    <cellStyle name="Comma 3 2 2 3 3" xfId="402"/>
    <cellStyle name="Comma 3 2 2 3 3 2" xfId="403"/>
    <cellStyle name="Comma 3 2 2 3 3 3" xfId="404"/>
    <cellStyle name="Comma 3 2 2 4" xfId="405"/>
    <cellStyle name="Comma 3 2 2 5" xfId="406"/>
    <cellStyle name="Comma 3 2 2 5 2" xfId="407"/>
    <cellStyle name="Comma 3 2 2 5 3" xfId="408"/>
    <cellStyle name="Comma 3 2 2 6" xfId="409"/>
    <cellStyle name="Comma 3 2 2 7" xfId="410"/>
    <cellStyle name="Comma 3 2 2 8" xfId="411"/>
    <cellStyle name="Comma 3 2 3" xfId="412"/>
    <cellStyle name="Comma 3 2 3 2" xfId="413"/>
    <cellStyle name="Comma 3 2 3 3" xfId="414"/>
    <cellStyle name="Comma 3 2 3 4" xfId="415"/>
    <cellStyle name="Comma 3 2 4" xfId="416"/>
    <cellStyle name="Comma 3 2 4 2" xfId="417"/>
    <cellStyle name="Comma 3 2 5" xfId="418"/>
    <cellStyle name="Comma 3 2 5 2" xfId="419"/>
    <cellStyle name="Comma 3 2 5 3" xfId="420"/>
    <cellStyle name="Comma 3 2 5 3 2" xfId="421"/>
    <cellStyle name="Comma 3 2 5 3 3" xfId="422"/>
    <cellStyle name="Comma 3 2 6" xfId="423"/>
    <cellStyle name="Comma 3 2 7" xfId="424"/>
    <cellStyle name="Comma 3 2 8" xfId="425"/>
    <cellStyle name="Comma 3 2 9" xfId="426"/>
    <cellStyle name="Comma 3 3" xfId="427"/>
    <cellStyle name="Comma 3 3 2" xfId="428"/>
    <cellStyle name="Comma 3 3 3" xfId="429"/>
    <cellStyle name="Comma 3 3 4" xfId="430"/>
    <cellStyle name="Comma 3 4" xfId="431"/>
    <cellStyle name="Comma 3 4 2" xfId="432"/>
    <cellStyle name="Comma 3 4 2 2" xfId="433"/>
    <cellStyle name="Comma 3 4 2 3" xfId="434"/>
    <cellStyle name="Comma 3 4 2 3 2" xfId="435"/>
    <cellStyle name="Comma 3 4 2 3 3" xfId="436"/>
    <cellStyle name="Comma 3 4 3" xfId="437"/>
    <cellStyle name="Comma 3 4 3 2" xfId="438"/>
    <cellStyle name="Comma 3 4 3 3" xfId="439"/>
    <cellStyle name="Comma 3 4 4" xfId="440"/>
    <cellStyle name="Comma 3 4 5" xfId="441"/>
    <cellStyle name="Comma 3 5" xfId="442"/>
    <cellStyle name="Comma 3 5 2" xfId="443"/>
    <cellStyle name="Comma 3 5 2 2" xfId="444"/>
    <cellStyle name="Comma 3 5 2 3" xfId="445"/>
    <cellStyle name="Comma 3 5 2 3 2" xfId="446"/>
    <cellStyle name="Comma 3 5 2 3 3" xfId="447"/>
    <cellStyle name="Comma 3 5 3" xfId="448"/>
    <cellStyle name="Comma 3 5 3 2" xfId="449"/>
    <cellStyle name="Comma 3 5 3 3" xfId="450"/>
    <cellStyle name="Comma 3 5 4" xfId="451"/>
    <cellStyle name="Comma 3 5 5" xfId="452"/>
    <cellStyle name="Comma 3 6" xfId="453"/>
    <cellStyle name="Comma 3 6 2" xfId="454"/>
    <cellStyle name="Comma 3 6 2 2" xfId="455"/>
    <cellStyle name="Comma 3 6 2 3" xfId="456"/>
    <cellStyle name="Comma 3 7" xfId="457"/>
    <cellStyle name="Comma 3 8" xfId="458"/>
    <cellStyle name="Comma 3 8 2" xfId="459"/>
    <cellStyle name="Comma 3 9" xfId="460"/>
    <cellStyle name="Comma 3 9 2" xfId="461"/>
    <cellStyle name="Comma 3 9 3" xfId="462"/>
    <cellStyle name="Comma 3 9 3 2" xfId="463"/>
    <cellStyle name="Comma 3 9 3 3" xfId="464"/>
    <cellStyle name="Comma 4" xfId="465"/>
    <cellStyle name="Comma 4 2" xfId="466"/>
    <cellStyle name="Comma 4 2 2" xfId="467"/>
    <cellStyle name="Comma 4 2 2 2" xfId="468"/>
    <cellStyle name="Comma 4 2 2 3" xfId="469"/>
    <cellStyle name="Comma 4 2 3" xfId="470"/>
    <cellStyle name="Comma 4 2 4" xfId="471"/>
    <cellStyle name="Comma 4 2 4 2" xfId="472"/>
    <cellStyle name="Comma 4 2 4 3" xfId="473"/>
    <cellStyle name="Comma 4 2 4 3 2" xfId="474"/>
    <cellStyle name="Comma 4 2 4 3 3" xfId="475"/>
    <cellStyle name="Comma 4 2 5" xfId="476"/>
    <cellStyle name="Comma 4 2 5 2" xfId="477"/>
    <cellStyle name="Comma 4 2 5 3" xfId="478"/>
    <cellStyle name="Comma 4 2 6" xfId="479"/>
    <cellStyle name="Comma 4 2 7" xfId="480"/>
    <cellStyle name="Comma 4 2 8" xfId="481"/>
    <cellStyle name="Comma 5" xfId="482"/>
    <cellStyle name="Comma 5 2" xfId="483"/>
    <cellStyle name="Comma 5 3" xfId="484"/>
    <cellStyle name="Comma 5 4" xfId="485"/>
    <cellStyle name="Comma 6" xfId="486"/>
    <cellStyle name="Comma 6 2" xfId="487"/>
    <cellStyle name="Comma 6 2 2" xfId="488"/>
    <cellStyle name="Comma 6 2 3" xfId="489"/>
    <cellStyle name="Comma 6 2 4" xfId="490"/>
    <cellStyle name="Comma 6 3" xfId="491"/>
    <cellStyle name="Comma 6 3 2" xfId="492"/>
    <cellStyle name="Comma 6 4" xfId="493"/>
    <cellStyle name="Comma 6 4 2" xfId="494"/>
    <cellStyle name="Comma 6 5" xfId="495"/>
    <cellStyle name="Comma 6 6" xfId="496"/>
    <cellStyle name="Comma 6 6 2" xfId="497"/>
    <cellStyle name="Comma 6 6 3" xfId="498"/>
    <cellStyle name="Comma 6 6 3 2" xfId="499"/>
    <cellStyle name="Comma 6 6 3 3" xfId="500"/>
    <cellStyle name="Comma 6 7" xfId="501"/>
    <cellStyle name="Comma 6 7 2" xfId="502"/>
    <cellStyle name="Comma 6 7 3" xfId="503"/>
    <cellStyle name="Comma 6 8" xfId="504"/>
    <cellStyle name="Comma 7" xfId="505"/>
    <cellStyle name="Comma 7 2" xfId="506"/>
    <cellStyle name="Comma 7 3" xfId="507"/>
    <cellStyle name="Comma 7 4" xfId="508"/>
    <cellStyle name="Comma 7 5" xfId="509"/>
    <cellStyle name="Comma 8" xfId="510"/>
    <cellStyle name="Comma 8 2" xfId="511"/>
    <cellStyle name="Comma 8 3" xfId="512"/>
    <cellStyle name="Comma 8 4" xfId="513"/>
    <cellStyle name="Comma 8 5" xfId="514"/>
    <cellStyle name="Comma 9" xfId="515"/>
    <cellStyle name="Comma 9 2" xfId="516"/>
    <cellStyle name="Comma 9 3" xfId="517"/>
    <cellStyle name="Comma0" xfId="518"/>
    <cellStyle name="Comma0 - Style4" xfId="519"/>
    <cellStyle name="Copied" xfId="520"/>
    <cellStyle name="COST1" xfId="521"/>
    <cellStyle name="Curren - Style1" xfId="522"/>
    <cellStyle name="Curren - Style5" xfId="523"/>
    <cellStyle name="Currency 0" xfId="524"/>
    <cellStyle name="Currency 2" xfId="525"/>
    <cellStyle name="Currency 2 2" xfId="526"/>
    <cellStyle name="Currency 2 3" xfId="527"/>
    <cellStyle name="Currency 2 4" xfId="528"/>
    <cellStyle name="Currency 3" xfId="529"/>
    <cellStyle name="Currency 4" xfId="530"/>
    <cellStyle name="Currency 4 2" xfId="531"/>
    <cellStyle name="Currency 4 3" xfId="532"/>
    <cellStyle name="Currency 5" xfId="533"/>
    <cellStyle name="Currency 6" xfId="534"/>
    <cellStyle name="Currency 7" xfId="535"/>
    <cellStyle name="Currency 8" xfId="536"/>
    <cellStyle name="Currency 9" xfId="537"/>
    <cellStyle name="Currency0" xfId="538"/>
    <cellStyle name="Date" xfId="539"/>
    <cellStyle name="Date Aligned" xfId="540"/>
    <cellStyle name="Dotted Line" xfId="541"/>
    <cellStyle name="Entered" xfId="542"/>
    <cellStyle name="Explanatory Text" xfId="543"/>
    <cellStyle name="Explanatory Text 2" xfId="544"/>
    <cellStyle name="Explanatory Text 2 2" xfId="545"/>
    <cellStyle name="Explanatory Text 2 2 2" xfId="546"/>
    <cellStyle name="Explanatory Text 2 2 3" xfId="547"/>
    <cellStyle name="Explanatory Text 2 2 4" xfId="548"/>
    <cellStyle name="Explanatory Text 2 3" xfId="549"/>
    <cellStyle name="Explanatory Text 2 4" xfId="550"/>
    <cellStyle name="Explanatory Text 2_QC Sheet" xfId="551"/>
    <cellStyle name="Explanatory Text 3" xfId="552"/>
    <cellStyle name="Explanatory Text 4" xfId="553"/>
    <cellStyle name="Fixed" xfId="554"/>
    <cellStyle name="Fixed3 - Style3" xfId="555"/>
    <cellStyle name="Footnote" xfId="556"/>
    <cellStyle name="Good" xfId="557"/>
    <cellStyle name="Good 2" xfId="558"/>
    <cellStyle name="Good 2 2" xfId="559"/>
    <cellStyle name="Good 2 2 2" xfId="560"/>
    <cellStyle name="Good 2 2 3" xfId="561"/>
    <cellStyle name="Good 2 2 4" xfId="562"/>
    <cellStyle name="Good 2 3" xfId="563"/>
    <cellStyle name="Good 2 4" xfId="564"/>
    <cellStyle name="Good 2_QC Sheet" xfId="565"/>
    <cellStyle name="Good 3" xfId="566"/>
    <cellStyle name="Good 4" xfId="567"/>
    <cellStyle name="Grey" xfId="568"/>
    <cellStyle name="Hard Percent" xfId="569"/>
    <cellStyle name="Header" xfId="570"/>
    <cellStyle name="Header1" xfId="571"/>
    <cellStyle name="Header2" xfId="572"/>
    <cellStyle name="Heading 1" xfId="573"/>
    <cellStyle name="Heading 1 2" xfId="574"/>
    <cellStyle name="Heading 1 2 2" xfId="575"/>
    <cellStyle name="Heading 1 2 2 2" xfId="576"/>
    <cellStyle name="Heading 1 2 2 3" xfId="577"/>
    <cellStyle name="Heading 1 2 3" xfId="578"/>
    <cellStyle name="Heading 1 2 4" xfId="579"/>
    <cellStyle name="Heading 1 2_QC" xfId="580"/>
    <cellStyle name="Heading 1 3" xfId="581"/>
    <cellStyle name="Heading 1 4" xfId="582"/>
    <cellStyle name="Heading 2" xfId="583"/>
    <cellStyle name="Heading 2 2" xfId="584"/>
    <cellStyle name="Heading 2 2 2" xfId="585"/>
    <cellStyle name="Heading 2 2 2 2" xfId="586"/>
    <cellStyle name="Heading 2 2 2 3" xfId="587"/>
    <cellStyle name="Heading 2 2 3" xfId="588"/>
    <cellStyle name="Heading 2 2 4" xfId="589"/>
    <cellStyle name="Heading 2 2_QC" xfId="590"/>
    <cellStyle name="Heading 2 3" xfId="591"/>
    <cellStyle name="Heading 2 4" xfId="592"/>
    <cellStyle name="Heading 3" xfId="593"/>
    <cellStyle name="Heading 3 2" xfId="594"/>
    <cellStyle name="Heading 3 2 2" xfId="595"/>
    <cellStyle name="Heading 3 2 2 2" xfId="596"/>
    <cellStyle name="Heading 3 2 2 3" xfId="597"/>
    <cellStyle name="Heading 3 2 3" xfId="598"/>
    <cellStyle name="Heading 3 2 4" xfId="599"/>
    <cellStyle name="Heading 3 2_QC" xfId="600"/>
    <cellStyle name="Heading 3 3" xfId="601"/>
    <cellStyle name="Heading 3 4" xfId="602"/>
    <cellStyle name="Heading 4" xfId="603"/>
    <cellStyle name="Heading 4 2" xfId="604"/>
    <cellStyle name="Heading 4 2 2" xfId="605"/>
    <cellStyle name="Heading 4 2 2 2" xfId="606"/>
    <cellStyle name="Heading 4 2 2 3" xfId="607"/>
    <cellStyle name="Heading 4 2 3" xfId="608"/>
    <cellStyle name="Heading 4 2 4" xfId="609"/>
    <cellStyle name="Heading 4 3" xfId="610"/>
    <cellStyle name="Heading 4 4" xfId="611"/>
    <cellStyle name="Heading1" xfId="612"/>
    <cellStyle name="Heading2" xfId="613"/>
    <cellStyle name="Hyperlink 2" xfId="614"/>
    <cellStyle name="Hyperlink 3" xfId="615"/>
    <cellStyle name="Hyperlink 3 2" xfId="616"/>
    <cellStyle name="Hyperlink 3 3" xfId="617"/>
    <cellStyle name="Hyperlink 4" xfId="618"/>
    <cellStyle name="Hyperlink 4 2" xfId="619"/>
    <cellStyle name="Hyperlink 4 3" xfId="620"/>
    <cellStyle name="Hyperlink 5" xfId="621"/>
    <cellStyle name="Hyperlink 5 2" xfId="622"/>
    <cellStyle name="Hyperlink 5 3" xfId="623"/>
    <cellStyle name="Hyperlink 6" xfId="624"/>
    <cellStyle name="Input" xfId="625"/>
    <cellStyle name="Input [yellow]" xfId="626"/>
    <cellStyle name="Input 2" xfId="627"/>
    <cellStyle name="Input 2 2" xfId="628"/>
    <cellStyle name="Input 2 2 2" xfId="629"/>
    <cellStyle name="Input 2 2 3" xfId="630"/>
    <cellStyle name="Input 2 2 4" xfId="631"/>
    <cellStyle name="Input 2 3" xfId="632"/>
    <cellStyle name="Input 2 4" xfId="633"/>
    <cellStyle name="Input 2_QC" xfId="634"/>
    <cellStyle name="Input 3" xfId="635"/>
    <cellStyle name="Input 4" xfId="636"/>
    <cellStyle name="Input 5" xfId="637"/>
    <cellStyle name="Input 6" xfId="638"/>
    <cellStyle name="Input 7" xfId="639"/>
    <cellStyle name="Input 8" xfId="640"/>
    <cellStyle name="Input 9" xfId="641"/>
    <cellStyle name="Input Cells" xfId="642"/>
    <cellStyle name="Lines" xfId="643"/>
    <cellStyle name="Linked Cell" xfId="644"/>
    <cellStyle name="Linked Cell 2" xfId="645"/>
    <cellStyle name="Linked Cell 2 2" xfId="646"/>
    <cellStyle name="Linked Cell 2 2 2" xfId="647"/>
    <cellStyle name="Linked Cell 2 2 3" xfId="648"/>
    <cellStyle name="Linked Cell 2 3" xfId="649"/>
    <cellStyle name="Linked Cell 2_QC" xfId="650"/>
    <cellStyle name="Linked Cell 3" xfId="651"/>
    <cellStyle name="Linked Cell 4" xfId="652"/>
    <cellStyle name="modified border" xfId="653"/>
    <cellStyle name="modified border1" xfId="654"/>
    <cellStyle name="Multiple" xfId="655"/>
    <cellStyle name="Neutral" xfId="656"/>
    <cellStyle name="Neutral 2" xfId="657"/>
    <cellStyle name="Neutral 2 2" xfId="658"/>
    <cellStyle name="Neutral 2 2 2" xfId="659"/>
    <cellStyle name="Neutral 2 2 3" xfId="660"/>
    <cellStyle name="Neutral 2 3" xfId="661"/>
    <cellStyle name="Neutral 2_QC Sheet" xfId="662"/>
    <cellStyle name="Neutral 3" xfId="663"/>
    <cellStyle name="Neutral 4" xfId="664"/>
    <cellStyle name="no dec" xfId="665"/>
    <cellStyle name="Normal - Style1" xfId="666"/>
    <cellStyle name="Normal 10" xfId="667"/>
    <cellStyle name="Normal 10 2" xfId="668"/>
    <cellStyle name="Normal 10 3" xfId="669"/>
    <cellStyle name="Normal 100" xfId="670"/>
    <cellStyle name="Normal 101" xfId="671"/>
    <cellStyle name="Normal 102" xfId="672"/>
    <cellStyle name="Normal 103" xfId="673"/>
    <cellStyle name="Normal 104" xfId="674"/>
    <cellStyle name="Normal 105" xfId="675"/>
    <cellStyle name="Normal 106" xfId="676"/>
    <cellStyle name="Normal 107" xfId="677"/>
    <cellStyle name="Normal 108" xfId="678"/>
    <cellStyle name="Normal 109" xfId="679"/>
    <cellStyle name="Normal 109 2" xfId="680"/>
    <cellStyle name="Normal 11" xfId="681"/>
    <cellStyle name="Normal 11 2" xfId="682"/>
    <cellStyle name="Normal 11 3" xfId="683"/>
    <cellStyle name="Normal 11 3 2" xfId="684"/>
    <cellStyle name="Normal 11 3 3" xfId="685"/>
    <cellStyle name="Normal 110" xfId="686"/>
    <cellStyle name="Normal 110 2" xfId="687"/>
    <cellStyle name="Normal 111" xfId="688"/>
    <cellStyle name="Normal 111 2" xfId="689"/>
    <cellStyle name="Normal 112" xfId="690"/>
    <cellStyle name="Normal 112 2" xfId="691"/>
    <cellStyle name="Normal 113" xfId="692"/>
    <cellStyle name="Normal 113 2" xfId="693"/>
    <cellStyle name="Normal 114" xfId="694"/>
    <cellStyle name="Normal 114 2" xfId="695"/>
    <cellStyle name="Normal 115" xfId="696"/>
    <cellStyle name="Normal 115 2" xfId="697"/>
    <cellStyle name="Normal 116" xfId="698"/>
    <cellStyle name="Normal 117" xfId="699"/>
    <cellStyle name="Normal 118" xfId="700"/>
    <cellStyle name="Normal 119" xfId="701"/>
    <cellStyle name="Normal 12" xfId="702"/>
    <cellStyle name="Normal 120" xfId="703"/>
    <cellStyle name="Normal 121" xfId="704"/>
    <cellStyle name="Normal 122" xfId="705"/>
    <cellStyle name="Normal 123" xfId="706"/>
    <cellStyle name="Normal 124" xfId="707"/>
    <cellStyle name="Normal 125" xfId="708"/>
    <cellStyle name="Normal 126" xfId="709"/>
    <cellStyle name="Normal 127" xfId="710"/>
    <cellStyle name="Normal 128" xfId="711"/>
    <cellStyle name="Normal 129" xfId="712"/>
    <cellStyle name="Normal 13" xfId="713"/>
    <cellStyle name="Normal 13 2" xfId="714"/>
    <cellStyle name="Normal 130" xfId="715"/>
    <cellStyle name="Normal 131" xfId="716"/>
    <cellStyle name="Normal 132" xfId="717"/>
    <cellStyle name="Normal 132 2" xfId="718"/>
    <cellStyle name="Normal 133" xfId="719"/>
    <cellStyle name="Normal 133 2" xfId="720"/>
    <cellStyle name="Normal 134" xfId="721"/>
    <cellStyle name="Normal 134 2" xfId="722"/>
    <cellStyle name="Normal 135" xfId="723"/>
    <cellStyle name="Normal 135 2" xfId="724"/>
    <cellStyle name="Normal 136" xfId="725"/>
    <cellStyle name="Normal 136 2" xfId="726"/>
    <cellStyle name="Normal 137" xfId="727"/>
    <cellStyle name="Normal 137 2" xfId="728"/>
    <cellStyle name="Normal 138" xfId="729"/>
    <cellStyle name="Normal 138 2" xfId="730"/>
    <cellStyle name="Normal 139" xfId="731"/>
    <cellStyle name="Normal 139 2" xfId="732"/>
    <cellStyle name="Normal 14" xfId="733"/>
    <cellStyle name="Normal 140" xfId="734"/>
    <cellStyle name="Normal 140 2" xfId="735"/>
    <cellStyle name="Normal 141" xfId="736"/>
    <cellStyle name="Normal 141 2" xfId="737"/>
    <cellStyle name="Normal 142" xfId="738"/>
    <cellStyle name="Normal 142 2" xfId="739"/>
    <cellStyle name="Normal 143" xfId="740"/>
    <cellStyle name="Normal 143 2" xfId="741"/>
    <cellStyle name="Normal 144" xfId="742"/>
    <cellStyle name="Normal 145" xfId="743"/>
    <cellStyle name="Normal 146" xfId="744"/>
    <cellStyle name="Normal 147" xfId="745"/>
    <cellStyle name="Normal 148" xfId="746"/>
    <cellStyle name="Normal 149" xfId="747"/>
    <cellStyle name="Normal 15" xfId="748"/>
    <cellStyle name="Normal 150" xfId="749"/>
    <cellStyle name="Normal 151" xfId="750"/>
    <cellStyle name="Normal 152" xfId="751"/>
    <cellStyle name="Normal 153" xfId="752"/>
    <cellStyle name="Normal 154" xfId="753"/>
    <cellStyle name="Normal 155" xfId="754"/>
    <cellStyle name="Normal 156" xfId="755"/>
    <cellStyle name="Normal 157" xfId="756"/>
    <cellStyle name="Normal 158" xfId="757"/>
    <cellStyle name="Normal 159" xfId="758"/>
    <cellStyle name="Normal 16" xfId="759"/>
    <cellStyle name="Normal 160" xfId="760"/>
    <cellStyle name="Normal 161" xfId="761"/>
    <cellStyle name="Normal 162" xfId="762"/>
    <cellStyle name="Normal 163" xfId="763"/>
    <cellStyle name="Normal 164" xfId="764"/>
    <cellStyle name="Normal 165" xfId="765"/>
    <cellStyle name="Normal 166" xfId="766"/>
    <cellStyle name="Normal 167" xfId="767"/>
    <cellStyle name="Normal 168" xfId="768"/>
    <cellStyle name="Normal 168 2" xfId="769"/>
    <cellStyle name="Normal 169" xfId="770"/>
    <cellStyle name="Normal 169 2" xfId="771"/>
    <cellStyle name="Normal 17" xfId="772"/>
    <cellStyle name="Normal 170" xfId="773"/>
    <cellStyle name="Normal 170 2" xfId="774"/>
    <cellStyle name="Normal 171" xfId="775"/>
    <cellStyle name="Normal 171 2" xfId="776"/>
    <cellStyle name="Normal 172" xfId="777"/>
    <cellStyle name="Normal 173" xfId="778"/>
    <cellStyle name="Normal 174" xfId="779"/>
    <cellStyle name="Normal 175" xfId="780"/>
    <cellStyle name="Normal 176" xfId="781"/>
    <cellStyle name="Normal 177" xfId="782"/>
    <cellStyle name="Normal 178" xfId="783"/>
    <cellStyle name="Normal 179" xfId="784"/>
    <cellStyle name="Normal 18" xfId="785"/>
    <cellStyle name="Normal 18 2" xfId="786"/>
    <cellStyle name="Normal 18 3" xfId="787"/>
    <cellStyle name="Normal 18 3 2" xfId="788"/>
    <cellStyle name="Normal 18 3 3" xfId="789"/>
    <cellStyle name="Normal 180" xfId="790"/>
    <cellStyle name="Normal 181" xfId="791"/>
    <cellStyle name="Normal 182" xfId="792"/>
    <cellStyle name="Normal 182 2" xfId="793"/>
    <cellStyle name="Normal 182 3" xfId="794"/>
    <cellStyle name="Normal 183" xfId="795"/>
    <cellStyle name="Normal 183 2" xfId="796"/>
    <cellStyle name="Normal 183 3" xfId="797"/>
    <cellStyle name="Normal 184" xfId="798"/>
    <cellStyle name="Normal 184 2" xfId="799"/>
    <cellStyle name="Normal 184 3" xfId="800"/>
    <cellStyle name="Normal 185" xfId="801"/>
    <cellStyle name="Normal 185 2" xfId="802"/>
    <cellStyle name="Normal 185 2 2" xfId="803"/>
    <cellStyle name="Normal 185 2 3" xfId="804"/>
    <cellStyle name="Normal 185 3" xfId="805"/>
    <cellStyle name="Normal 186" xfId="806"/>
    <cellStyle name="Normal 187" xfId="807"/>
    <cellStyle name="Normal 188" xfId="808"/>
    <cellStyle name="Normal 189" xfId="809"/>
    <cellStyle name="Normal 19" xfId="810"/>
    <cellStyle name="Normal 190" xfId="811"/>
    <cellStyle name="Normal 191" xfId="812"/>
    <cellStyle name="Normal 192" xfId="813"/>
    <cellStyle name="Normal 193" xfId="814"/>
    <cellStyle name="Normal 194" xfId="815"/>
    <cellStyle name="Normal 195" xfId="816"/>
    <cellStyle name="Normal 196" xfId="817"/>
    <cellStyle name="Normal 197" xfId="818"/>
    <cellStyle name="Normal 198" xfId="819"/>
    <cellStyle name="Normal 199" xfId="820"/>
    <cellStyle name="Normal 199 2" xfId="821"/>
    <cellStyle name="Normal 199 3" xfId="822"/>
    <cellStyle name="Normal 2" xfId="823"/>
    <cellStyle name="Normal 2 2" xfId="824"/>
    <cellStyle name="Normal 2 3" xfId="825"/>
    <cellStyle name="Normal 2_Federal Interest Calculation Su" xfId="826"/>
    <cellStyle name="Normal 20" xfId="827"/>
    <cellStyle name="Normal 20 2" xfId="828"/>
    <cellStyle name="Normal 20 3" xfId="829"/>
    <cellStyle name="Normal 20 3 2" xfId="830"/>
    <cellStyle name="Normal 20 3 3" xfId="831"/>
    <cellStyle name="Normal 200" xfId="832"/>
    <cellStyle name="Normal 201" xfId="833"/>
    <cellStyle name="Normal 202" xfId="834"/>
    <cellStyle name="Normal 203" xfId="835"/>
    <cellStyle name="Normal 204" xfId="836"/>
    <cellStyle name="Normal 205" xfId="837"/>
    <cellStyle name="Normal 206" xfId="838"/>
    <cellStyle name="Normal 207" xfId="839"/>
    <cellStyle name="Normal 208" xfId="840"/>
    <cellStyle name="Normal 208 2" xfId="841"/>
    <cellStyle name="Normal 209" xfId="842"/>
    <cellStyle name="Normal 209 2" xfId="843"/>
    <cellStyle name="Normal 21" xfId="844"/>
    <cellStyle name="Normal 210" xfId="845"/>
    <cellStyle name="Normal 211" xfId="846"/>
    <cellStyle name="Normal 211 2" xfId="847"/>
    <cellStyle name="Normal 211 3" xfId="848"/>
    <cellStyle name="Normal 212" xfId="849"/>
    <cellStyle name="Normal 212 2" xfId="850"/>
    <cellStyle name="Normal 212 3" xfId="851"/>
    <cellStyle name="Normal 213" xfId="852"/>
    <cellStyle name="Normal 213 2" xfId="853"/>
    <cellStyle name="Normal 213 3" xfId="854"/>
    <cellStyle name="Normal 214" xfId="855"/>
    <cellStyle name="Normal 214 2" xfId="856"/>
    <cellStyle name="Normal 214 3" xfId="857"/>
    <cellStyle name="Normal 215" xfId="858"/>
    <cellStyle name="Normal 215 2" xfId="859"/>
    <cellStyle name="Normal 215 3" xfId="860"/>
    <cellStyle name="Normal 216" xfId="861"/>
    <cellStyle name="Normal 216 2" xfId="862"/>
    <cellStyle name="Normal 217" xfId="863"/>
    <cellStyle name="Normal 217 2" xfId="864"/>
    <cellStyle name="Normal 218" xfId="865"/>
    <cellStyle name="Normal 218 2" xfId="866"/>
    <cellStyle name="Normal 219" xfId="867"/>
    <cellStyle name="Normal 219 2" xfId="868"/>
    <cellStyle name="Normal 22" xfId="869"/>
    <cellStyle name="Normal 220" xfId="870"/>
    <cellStyle name="Normal 221" xfId="871"/>
    <cellStyle name="Normal 221 2" xfId="872"/>
    <cellStyle name="Normal 222" xfId="873"/>
    <cellStyle name="Normal 222 2" xfId="874"/>
    <cellStyle name="Normal 223" xfId="875"/>
    <cellStyle name="Normal 224" xfId="876"/>
    <cellStyle name="Normal 225" xfId="877"/>
    <cellStyle name="Normal 226" xfId="878"/>
    <cellStyle name="Normal 227" xfId="879"/>
    <cellStyle name="Normal 228" xfId="880"/>
    <cellStyle name="Normal 229" xfId="881"/>
    <cellStyle name="Normal 23" xfId="882"/>
    <cellStyle name="Normal 230" xfId="883"/>
    <cellStyle name="Normal 231" xfId="884"/>
    <cellStyle name="Normal 232" xfId="885"/>
    <cellStyle name="Normal 233" xfId="886"/>
    <cellStyle name="Normal 234" xfId="887"/>
    <cellStyle name="Normal 235" xfId="888"/>
    <cellStyle name="Normal 236" xfId="889"/>
    <cellStyle name="Normal 237" xfId="890"/>
    <cellStyle name="Normal 238" xfId="891"/>
    <cellStyle name="Normal 239" xfId="892"/>
    <cellStyle name="Normal 24" xfId="893"/>
    <cellStyle name="Normal 240" xfId="894"/>
    <cellStyle name="Normal 241" xfId="895"/>
    <cellStyle name="Normal 242" xfId="896"/>
    <cellStyle name="Normal 243" xfId="897"/>
    <cellStyle name="Normal 244" xfId="898"/>
    <cellStyle name="Normal 245" xfId="899"/>
    <cellStyle name="Normal 246" xfId="900"/>
    <cellStyle name="Normal 247" xfId="901"/>
    <cellStyle name="Normal 248" xfId="902"/>
    <cellStyle name="Normal 249" xfId="903"/>
    <cellStyle name="Normal 25" xfId="904"/>
    <cellStyle name="Normal 250" xfId="905"/>
    <cellStyle name="Normal 251" xfId="906"/>
    <cellStyle name="Normal 252" xfId="907"/>
    <cellStyle name="Normal 253" xfId="908"/>
    <cellStyle name="Normal 254" xfId="909"/>
    <cellStyle name="Normal 255" xfId="910"/>
    <cellStyle name="Normal 256" xfId="911"/>
    <cellStyle name="Normal 257" xfId="912"/>
    <cellStyle name="Normal 258" xfId="913"/>
    <cellStyle name="Normal 259" xfId="914"/>
    <cellStyle name="Normal 26" xfId="915"/>
    <cellStyle name="Normal 260" xfId="916"/>
    <cellStyle name="Normal 261" xfId="917"/>
    <cellStyle name="Normal 262" xfId="918"/>
    <cellStyle name="Normal 263" xfId="919"/>
    <cellStyle name="Normal 264" xfId="920"/>
    <cellStyle name="Normal 265" xfId="921"/>
    <cellStyle name="Normal 266" xfId="922"/>
    <cellStyle name="Normal 267" xfId="923"/>
    <cellStyle name="Normal 268" xfId="924"/>
    <cellStyle name="Normal 269" xfId="925"/>
    <cellStyle name="Normal 27" xfId="926"/>
    <cellStyle name="Normal 270" xfId="927"/>
    <cellStyle name="Normal 271" xfId="928"/>
    <cellStyle name="Normal 272" xfId="929"/>
    <cellStyle name="Normal 273" xfId="930"/>
    <cellStyle name="Normal 274" xfId="931"/>
    <cellStyle name="Normal 275" xfId="932"/>
    <cellStyle name="Normal 276" xfId="933"/>
    <cellStyle name="Normal 277" xfId="934"/>
    <cellStyle name="Normal 278" xfId="935"/>
    <cellStyle name="Normal 28" xfId="936"/>
    <cellStyle name="Normal 29" xfId="937"/>
    <cellStyle name="Normal 3" xfId="938"/>
    <cellStyle name="Normal 3 2" xfId="939"/>
    <cellStyle name="Normal 3 2 2" xfId="940"/>
    <cellStyle name="Normal 3 2 3" xfId="941"/>
    <cellStyle name="Normal 3 2 4" xfId="942"/>
    <cellStyle name="Normal 3 3" xfId="943"/>
    <cellStyle name="Normal 3 3 2" xfId="944"/>
    <cellStyle name="Normal 3 3 2 2" xfId="945"/>
    <cellStyle name="Normal 3 3 2 3" xfId="946"/>
    <cellStyle name="Normal 3 3 3" xfId="947"/>
    <cellStyle name="Normal 3 3 4" xfId="948"/>
    <cellStyle name="Normal 3_710 CFS; full sustain + full expand (static-like)" xfId="949"/>
    <cellStyle name="Normal 30" xfId="950"/>
    <cellStyle name="Normal 31" xfId="951"/>
    <cellStyle name="Normal 32" xfId="952"/>
    <cellStyle name="Normal 33" xfId="953"/>
    <cellStyle name="Normal 34" xfId="954"/>
    <cellStyle name="Normal 35" xfId="955"/>
    <cellStyle name="Normal 36" xfId="956"/>
    <cellStyle name="Normal 37" xfId="957"/>
    <cellStyle name="Normal 38" xfId="958"/>
    <cellStyle name="Normal 39" xfId="959"/>
    <cellStyle name="Normal 4" xfId="960"/>
    <cellStyle name="Normal 4 10" xfId="961"/>
    <cellStyle name="Normal 4 2" xfId="962"/>
    <cellStyle name="Normal 4 2 2" xfId="963"/>
    <cellStyle name="Normal 4 2 2 2" xfId="964"/>
    <cellStyle name="Normal 4 2 2 2 2" xfId="965"/>
    <cellStyle name="Normal 4 2 2 2 3" xfId="966"/>
    <cellStyle name="Normal 4 2 2 3" xfId="967"/>
    <cellStyle name="Normal 4 2 2 4" xfId="968"/>
    <cellStyle name="Normal 4 2 3" xfId="969"/>
    <cellStyle name="Normal 4 2 3 2" xfId="970"/>
    <cellStyle name="Normal 4 2 3 3" xfId="971"/>
    <cellStyle name="Normal 4 2 4" xfId="972"/>
    <cellStyle name="Normal 4 2 5" xfId="973"/>
    <cellStyle name="Normal 4 2_Federal Interest Calculation Su" xfId="974"/>
    <cellStyle name="Normal 4 3" xfId="975"/>
    <cellStyle name="Normal 4 3 2" xfId="976"/>
    <cellStyle name="Normal 4 3 2 2" xfId="977"/>
    <cellStyle name="Normal 4 3 2 3" xfId="978"/>
    <cellStyle name="Normal 4 3 3" xfId="979"/>
    <cellStyle name="Normal 4 3 4" xfId="980"/>
    <cellStyle name="Normal 4 3 5" xfId="981"/>
    <cellStyle name="Normal 4 3 6" xfId="982"/>
    <cellStyle name="Normal 4 4" xfId="983"/>
    <cellStyle name="Normal 4 4 2" xfId="984"/>
    <cellStyle name="Normal 4 4 2 2" xfId="985"/>
    <cellStyle name="Normal 4 4 2 3" xfId="986"/>
    <cellStyle name="Normal 4 4 3" xfId="987"/>
    <cellStyle name="Normal 4 4 4" xfId="988"/>
    <cellStyle name="Normal 4 5" xfId="989"/>
    <cellStyle name="Normal 4 6" xfId="990"/>
    <cellStyle name="Normal 4 7" xfId="991"/>
    <cellStyle name="Normal 4 8" xfId="992"/>
    <cellStyle name="Normal 4 9" xfId="993"/>
    <cellStyle name="Normal 4_710 CFS; full sustain + full expand (static-like)" xfId="994"/>
    <cellStyle name="Normal 40" xfId="995"/>
    <cellStyle name="Normal 41" xfId="996"/>
    <cellStyle name="Normal 42" xfId="997"/>
    <cellStyle name="Normal 43" xfId="998"/>
    <cellStyle name="Normal 44" xfId="999"/>
    <cellStyle name="Normal 45" xfId="1000"/>
    <cellStyle name="Normal 46" xfId="1001"/>
    <cellStyle name="Normal 47" xfId="1002"/>
    <cellStyle name="Normal 48" xfId="1003"/>
    <cellStyle name="Normal 49" xfId="1004"/>
    <cellStyle name="Normal 49 2" xfId="1005"/>
    <cellStyle name="Normal 49 3" xfId="1006"/>
    <cellStyle name="Normal 49 3 2" xfId="1007"/>
    <cellStyle name="Normal 49 3 3" xfId="1008"/>
    <cellStyle name="Normal 5" xfId="1009"/>
    <cellStyle name="Normal 5 2" xfId="1010"/>
    <cellStyle name="Normal 5 2 2" xfId="1011"/>
    <cellStyle name="Normal 5 2 3" xfId="1012"/>
    <cellStyle name="Normal 5 3" xfId="1013"/>
    <cellStyle name="Normal 5 4" xfId="1014"/>
    <cellStyle name="Normal 50" xfId="1015"/>
    <cellStyle name="Normal 50 2" xfId="1016"/>
    <cellStyle name="Normal 50 3" xfId="1017"/>
    <cellStyle name="Normal 51" xfId="1018"/>
    <cellStyle name="Normal 51 2" xfId="1019"/>
    <cellStyle name="Normal 52" xfId="1020"/>
    <cellStyle name="Normal 52 2" xfId="1021"/>
    <cellStyle name="Normal 53" xfId="1022"/>
    <cellStyle name="Normal 53 2" xfId="1023"/>
    <cellStyle name="Normal 54" xfId="1024"/>
    <cellStyle name="Normal 55" xfId="1025"/>
    <cellStyle name="Normal 55 2" xfId="1026"/>
    <cellStyle name="Normal 56" xfId="1027"/>
    <cellStyle name="Normal 57" xfId="1028"/>
    <cellStyle name="Normal 58" xfId="1029"/>
    <cellStyle name="Normal 59" xfId="1030"/>
    <cellStyle name="Normal 6" xfId="1031"/>
    <cellStyle name="Normal 6 2" xfId="1032"/>
    <cellStyle name="Normal 6 2 2" xfId="1033"/>
    <cellStyle name="Normal 6 2 3" xfId="1034"/>
    <cellStyle name="Normal 6 3" xfId="1035"/>
    <cellStyle name="Normal 6 4" xfId="1036"/>
    <cellStyle name="Normal 60" xfId="1037"/>
    <cellStyle name="Normal 60 2" xfId="1038"/>
    <cellStyle name="Normal 61" xfId="1039"/>
    <cellStyle name="Normal 62" xfId="1040"/>
    <cellStyle name="Normal 63" xfId="1041"/>
    <cellStyle name="Normal 64" xfId="1042"/>
    <cellStyle name="Normal 65" xfId="1043"/>
    <cellStyle name="Normal 66" xfId="1044"/>
    <cellStyle name="Normal 67" xfId="1045"/>
    <cellStyle name="Normal 68" xfId="1046"/>
    <cellStyle name="Normal 69" xfId="1047"/>
    <cellStyle name="Normal 7" xfId="1048"/>
    <cellStyle name="Normal 7 2" xfId="1049"/>
    <cellStyle name="Normal 7 2 2" xfId="1050"/>
    <cellStyle name="Normal 7 2 3" xfId="1051"/>
    <cellStyle name="Normal 7 3" xfId="1052"/>
    <cellStyle name="Normal 7 4" xfId="1053"/>
    <cellStyle name="Normal 70" xfId="1054"/>
    <cellStyle name="Normal 71" xfId="1055"/>
    <cellStyle name="Normal 72" xfId="1056"/>
    <cellStyle name="Normal 73" xfId="1057"/>
    <cellStyle name="Normal 73 2" xfId="1058"/>
    <cellStyle name="Normal 74" xfId="1059"/>
    <cellStyle name="Normal 74 2" xfId="1060"/>
    <cellStyle name="Normal 75" xfId="1061"/>
    <cellStyle name="Normal 75 2" xfId="1062"/>
    <cellStyle name="Normal 75 3" xfId="1063"/>
    <cellStyle name="Normal 76" xfId="1064"/>
    <cellStyle name="Normal 76 2" xfId="1065"/>
    <cellStyle name="Normal 76 3" xfId="1066"/>
    <cellStyle name="Normal 77" xfId="1067"/>
    <cellStyle name="Normal 77 2" xfId="1068"/>
    <cellStyle name="Normal 77 3" xfId="1069"/>
    <cellStyle name="Normal 78" xfId="1070"/>
    <cellStyle name="Normal 78 2" xfId="1071"/>
    <cellStyle name="Normal 79" xfId="1072"/>
    <cellStyle name="Normal 8" xfId="1073"/>
    <cellStyle name="Normal 8 2" xfId="1074"/>
    <cellStyle name="Normal 8 2 2" xfId="1075"/>
    <cellStyle name="Normal 8 2 3" xfId="1076"/>
    <cellStyle name="Normal 8 3" xfId="1077"/>
    <cellStyle name="Normal 8 4" xfId="1078"/>
    <cellStyle name="Normal 80" xfId="1079"/>
    <cellStyle name="Normal 81" xfId="1080"/>
    <cellStyle name="Normal 82" xfId="1081"/>
    <cellStyle name="Normal 83" xfId="1082"/>
    <cellStyle name="Normal 84" xfId="1083"/>
    <cellStyle name="Normal 85" xfId="1084"/>
    <cellStyle name="Normal 86" xfId="1085"/>
    <cellStyle name="Normal 87" xfId="1086"/>
    <cellStyle name="Normal 88" xfId="1087"/>
    <cellStyle name="Normal 89" xfId="1088"/>
    <cellStyle name="Normal 9" xfId="1089"/>
    <cellStyle name="Normal 9 2" xfId="1090"/>
    <cellStyle name="Normal 9 3" xfId="1091"/>
    <cellStyle name="Normal 90" xfId="1092"/>
    <cellStyle name="Normal 91" xfId="1093"/>
    <cellStyle name="Normal 92" xfId="1094"/>
    <cellStyle name="Normal 93" xfId="1095"/>
    <cellStyle name="Normal 94" xfId="1096"/>
    <cellStyle name="Normal 95" xfId="1097"/>
    <cellStyle name="Normal 96" xfId="1098"/>
    <cellStyle name="Normal 97" xfId="1099"/>
    <cellStyle name="Normal 98" xfId="1100"/>
    <cellStyle name="Normal 99" xfId="1101"/>
    <cellStyle name="Note" xfId="1102"/>
    <cellStyle name="Note 2" xfId="1103"/>
    <cellStyle name="Note 2 2" xfId="1104"/>
    <cellStyle name="Note 2 3" xfId="1105"/>
    <cellStyle name="Note 2 4" xfId="1106"/>
    <cellStyle name="Note 2_QC" xfId="1107"/>
    <cellStyle name="Note 3" xfId="1108"/>
    <cellStyle name="Note 3 2" xfId="1109"/>
    <cellStyle name="Note 3 2 2" xfId="1110"/>
    <cellStyle name="Note 3 2 3" xfId="1111"/>
    <cellStyle name="Note 4" xfId="1112"/>
    <cellStyle name="Output" xfId="1113"/>
    <cellStyle name="Output 2" xfId="1114"/>
    <cellStyle name="Output 2 2" xfId="1115"/>
    <cellStyle name="Output 2 2 2" xfId="1116"/>
    <cellStyle name="Output 2 2 3" xfId="1117"/>
    <cellStyle name="Output 2 2 4" xfId="1118"/>
    <cellStyle name="Output 2 3" xfId="1119"/>
    <cellStyle name="Output 2 4" xfId="1120"/>
    <cellStyle name="Output 2_QC" xfId="1121"/>
    <cellStyle name="Output 3" xfId="1122"/>
    <cellStyle name="Output 4" xfId="1123"/>
    <cellStyle name="Page Number" xfId="1124"/>
    <cellStyle name="Percen - Style2" xfId="1125"/>
    <cellStyle name="Percent [2]" xfId="1126"/>
    <cellStyle name="Percent 10" xfId="1127"/>
    <cellStyle name="Percent 10 2" xfId="1128"/>
    <cellStyle name="Percent 10 3" xfId="1129"/>
    <cellStyle name="Percent 100" xfId="1130"/>
    <cellStyle name="Percent 100 2" xfId="1131"/>
    <cellStyle name="Percent 101" xfId="1132"/>
    <cellStyle name="Percent 101 2" xfId="1133"/>
    <cellStyle name="Percent 102" xfId="1134"/>
    <cellStyle name="Percent 102 2" xfId="1135"/>
    <cellStyle name="Percent 103" xfId="1136"/>
    <cellStyle name="Percent 103 2" xfId="1137"/>
    <cellStyle name="Percent 104" xfId="1138"/>
    <cellStyle name="Percent 104 2" xfId="1139"/>
    <cellStyle name="Percent 105" xfId="1140"/>
    <cellStyle name="Percent 105 2" xfId="1141"/>
    <cellStyle name="Percent 106" xfId="1142"/>
    <cellStyle name="Percent 107" xfId="1143"/>
    <cellStyle name="Percent 108" xfId="1144"/>
    <cellStyle name="Percent 109" xfId="1145"/>
    <cellStyle name="Percent 11" xfId="1146"/>
    <cellStyle name="Percent 11 2" xfId="1147"/>
    <cellStyle name="Percent 11 3" xfId="1148"/>
    <cellStyle name="Percent 110" xfId="1149"/>
    <cellStyle name="Percent 111" xfId="1150"/>
    <cellStyle name="Percent 112" xfId="1151"/>
    <cellStyle name="Percent 113" xfId="1152"/>
    <cellStyle name="Percent 114" xfId="1153"/>
    <cellStyle name="Percent 115" xfId="1154"/>
    <cellStyle name="Percent 116" xfId="1155"/>
    <cellStyle name="Percent 117" xfId="1156"/>
    <cellStyle name="Percent 118" xfId="1157"/>
    <cellStyle name="Percent 119" xfId="1158"/>
    <cellStyle name="Percent 12" xfId="1159"/>
    <cellStyle name="Percent 120" xfId="1160"/>
    <cellStyle name="Percent 121" xfId="1161"/>
    <cellStyle name="Percent 122" xfId="1162"/>
    <cellStyle name="Percent 123" xfId="1163"/>
    <cellStyle name="Percent 124" xfId="1164"/>
    <cellStyle name="Percent 125" xfId="1165"/>
    <cellStyle name="Percent 126" xfId="1166"/>
    <cellStyle name="Percent 127" xfId="1167"/>
    <cellStyle name="Percent 128" xfId="1168"/>
    <cellStyle name="Percent 129" xfId="1169"/>
    <cellStyle name="Percent 13" xfId="1170"/>
    <cellStyle name="Percent 13 2" xfId="1171"/>
    <cellStyle name="Percent 130" xfId="1172"/>
    <cellStyle name="Percent 131" xfId="1173"/>
    <cellStyle name="Percent 132" xfId="1174"/>
    <cellStyle name="Percent 132 2" xfId="1175"/>
    <cellStyle name="Percent 133" xfId="1176"/>
    <cellStyle name="Percent 133 2" xfId="1177"/>
    <cellStyle name="Percent 134" xfId="1178"/>
    <cellStyle name="Percent 134 2" xfId="1179"/>
    <cellStyle name="Percent 135" xfId="1180"/>
    <cellStyle name="Percent 135 2" xfId="1181"/>
    <cellStyle name="Percent 135 3" xfId="1182"/>
    <cellStyle name="Percent 135 3 2" xfId="1183"/>
    <cellStyle name="Percent 135 3 3" xfId="1184"/>
    <cellStyle name="Percent 136" xfId="1185"/>
    <cellStyle name="Percent 137" xfId="1186"/>
    <cellStyle name="Percent 138" xfId="1187"/>
    <cellStyle name="Percent 139" xfId="1188"/>
    <cellStyle name="Percent 14" xfId="1189"/>
    <cellStyle name="Percent 140" xfId="1190"/>
    <cellStyle name="Percent 141" xfId="1191"/>
    <cellStyle name="Percent 142" xfId="1192"/>
    <cellStyle name="Percent 143" xfId="1193"/>
    <cellStyle name="Percent 144" xfId="1194"/>
    <cellStyle name="Percent 145" xfId="1195"/>
    <cellStyle name="Percent 145 2" xfId="1196"/>
    <cellStyle name="Percent 145 2 2" xfId="1197"/>
    <cellStyle name="Percent 145 3" xfId="1198"/>
    <cellStyle name="Percent 145 4" xfId="1199"/>
    <cellStyle name="Percent 145 4 2" xfId="1200"/>
    <cellStyle name="Percent 145 4 3" xfId="1201"/>
    <cellStyle name="Percent 146" xfId="1202"/>
    <cellStyle name="Percent 147" xfId="1203"/>
    <cellStyle name="Percent 147 2" xfId="1204"/>
    <cellStyle name="Percent 148" xfId="1205"/>
    <cellStyle name="Percent 148 2" xfId="1206"/>
    <cellStyle name="Percent 149" xfId="1207"/>
    <cellStyle name="Percent 149 2" xfId="1208"/>
    <cellStyle name="Percent 15" xfId="1209"/>
    <cellStyle name="Percent 150" xfId="1210"/>
    <cellStyle name="Percent 150 2" xfId="1211"/>
    <cellStyle name="Percent 151" xfId="1212"/>
    <cellStyle name="Percent 152" xfId="1213"/>
    <cellStyle name="Percent 153" xfId="1214"/>
    <cellStyle name="Percent 154" xfId="1215"/>
    <cellStyle name="Percent 155" xfId="1216"/>
    <cellStyle name="Percent 156" xfId="1217"/>
    <cellStyle name="Percent 157" xfId="1218"/>
    <cellStyle name="Percent 158" xfId="1219"/>
    <cellStyle name="Percent 159" xfId="1220"/>
    <cellStyle name="Percent 16" xfId="1221"/>
    <cellStyle name="Percent 160" xfId="1222"/>
    <cellStyle name="Percent 161" xfId="1223"/>
    <cellStyle name="Percent 162" xfId="1224"/>
    <cellStyle name="Percent 163" xfId="1225"/>
    <cellStyle name="Percent 164" xfId="1226"/>
    <cellStyle name="Percent 165" xfId="1227"/>
    <cellStyle name="Percent 166" xfId="1228"/>
    <cellStyle name="Percent 166 2" xfId="1229"/>
    <cellStyle name="Percent 167" xfId="1230"/>
    <cellStyle name="Percent 168" xfId="1231"/>
    <cellStyle name="Percent 168 2" xfId="1232"/>
    <cellStyle name="Percent 169" xfId="1233"/>
    <cellStyle name="Percent 169 2" xfId="1234"/>
    <cellStyle name="Percent 17" xfId="1235"/>
    <cellStyle name="Percent 170" xfId="1236"/>
    <cellStyle name="Percent 171" xfId="1237"/>
    <cellStyle name="Percent 172" xfId="1238"/>
    <cellStyle name="Percent 173" xfId="1239"/>
    <cellStyle name="Percent 174" xfId="1240"/>
    <cellStyle name="Percent 175" xfId="1241"/>
    <cellStyle name="Percent 176" xfId="1242"/>
    <cellStyle name="Percent 177" xfId="1243"/>
    <cellStyle name="Percent 178" xfId="1244"/>
    <cellStyle name="Percent 179" xfId="1245"/>
    <cellStyle name="Percent 18" xfId="1246"/>
    <cellStyle name="Percent 18 2" xfId="1247"/>
    <cellStyle name="Percent 18 3" xfId="1248"/>
    <cellStyle name="Percent 18 3 2" xfId="1249"/>
    <cellStyle name="Percent 18 3 3" xfId="1250"/>
    <cellStyle name="Percent 18 3 3 2" xfId="1251"/>
    <cellStyle name="Percent 18 3 3 3" xfId="1252"/>
    <cellStyle name="Percent 180" xfId="1253"/>
    <cellStyle name="Percent 181" xfId="1254"/>
    <cellStyle name="Percent 182" xfId="1255"/>
    <cellStyle name="Percent 183" xfId="1256"/>
    <cellStyle name="Percent 184" xfId="1257"/>
    <cellStyle name="Percent 185" xfId="1258"/>
    <cellStyle name="Percent 186" xfId="1259"/>
    <cellStyle name="Percent 187" xfId="1260"/>
    <cellStyle name="Percent 188" xfId="1261"/>
    <cellStyle name="Percent 189" xfId="1262"/>
    <cellStyle name="Percent 19" xfId="1263"/>
    <cellStyle name="Percent 190" xfId="1264"/>
    <cellStyle name="Percent 191" xfId="1265"/>
    <cellStyle name="Percent 192" xfId="1266"/>
    <cellStyle name="Percent 2" xfId="1267"/>
    <cellStyle name="Percent 2 2" xfId="1268"/>
    <cellStyle name="Percent 2 2 2" xfId="1269"/>
    <cellStyle name="Percent 2 2 2 2" xfId="1270"/>
    <cellStyle name="Percent 2 2 2 2 2" xfId="1271"/>
    <cellStyle name="Percent 2 2 2 2 3" xfId="1272"/>
    <cellStyle name="Percent 2 2 2 2 3 2" xfId="1273"/>
    <cellStyle name="Percent 2 2 2 2 3 3" xfId="1274"/>
    <cellStyle name="Percent 2 2 2 3" xfId="1275"/>
    <cellStyle name="Percent 2 2 2 4" xfId="1276"/>
    <cellStyle name="Percent 2 2 2 4 2" xfId="1277"/>
    <cellStyle name="Percent 2 2 2 4 3" xfId="1278"/>
    <cellStyle name="Percent 2 2 2 5" xfId="1279"/>
    <cellStyle name="Percent 2 2 3" xfId="1280"/>
    <cellStyle name="Percent 2 2 3 2" xfId="1281"/>
    <cellStyle name="Percent 2 2 4" xfId="1282"/>
    <cellStyle name="Percent 2 2 4 2" xfId="1283"/>
    <cellStyle name="Percent 2 2 5" xfId="1284"/>
    <cellStyle name="Percent 2 2 5 2" xfId="1285"/>
    <cellStyle name="Percent 2 2 5 3" xfId="1286"/>
    <cellStyle name="Percent 2 2 5 3 2" xfId="1287"/>
    <cellStyle name="Percent 2 2 5 3 3" xfId="1288"/>
    <cellStyle name="Percent 2 2 6" xfId="1289"/>
    <cellStyle name="Percent 2 3" xfId="1290"/>
    <cellStyle name="Percent 20" xfId="1291"/>
    <cellStyle name="Percent 20 2" xfId="1292"/>
    <cellStyle name="Percent 20 3" xfId="1293"/>
    <cellStyle name="Percent 20 3 2" xfId="1294"/>
    <cellStyle name="Percent 20 3 3" xfId="1295"/>
    <cellStyle name="Percent 20 3 3 2" xfId="1296"/>
    <cellStyle name="Percent 20 3 3 3" xfId="1297"/>
    <cellStyle name="Percent 21" xfId="1298"/>
    <cellStyle name="Percent 22" xfId="1299"/>
    <cellStyle name="Percent 23" xfId="1300"/>
    <cellStyle name="Percent 24" xfId="1301"/>
    <cellStyle name="Percent 25" xfId="1302"/>
    <cellStyle name="Percent 26" xfId="1303"/>
    <cellStyle name="Percent 27" xfId="1304"/>
    <cellStyle name="Percent 28" xfId="1305"/>
    <cellStyle name="Percent 29" xfId="1306"/>
    <cellStyle name="Percent 3" xfId="1307"/>
    <cellStyle name="Percent 3 2" xfId="1308"/>
    <cellStyle name="Percent 3 2 2" xfId="1309"/>
    <cellStyle name="Percent 3 2 3" xfId="1310"/>
    <cellStyle name="Percent 3 2 4" xfId="1311"/>
    <cellStyle name="Percent 3 2 4 2" xfId="1312"/>
    <cellStyle name="Percent 3 2 4 3" xfId="1313"/>
    <cellStyle name="Percent 3 2 5" xfId="1314"/>
    <cellStyle name="Percent 3 3" xfId="1315"/>
    <cellStyle name="Percent 30" xfId="1316"/>
    <cellStyle name="Percent 31" xfId="1317"/>
    <cellStyle name="Percent 32" xfId="1318"/>
    <cellStyle name="Percent 33" xfId="1319"/>
    <cellStyle name="Percent 34" xfId="1320"/>
    <cellStyle name="Percent 35" xfId="1321"/>
    <cellStyle name="Percent 35 2" xfId="1322"/>
    <cellStyle name="Percent 35 3" xfId="1323"/>
    <cellStyle name="Percent 36" xfId="1324"/>
    <cellStyle name="Percent 36 2" xfId="1325"/>
    <cellStyle name="Percent 36 3" xfId="1326"/>
    <cellStyle name="Percent 37" xfId="1327"/>
    <cellStyle name="Percent 37 2" xfId="1328"/>
    <cellStyle name="Percent 38" xfId="1329"/>
    <cellStyle name="Percent 39" xfId="1330"/>
    <cellStyle name="Percent 4" xfId="1331"/>
    <cellStyle name="Percent 4 2" xfId="1332"/>
    <cellStyle name="Percent 40" xfId="1333"/>
    <cellStyle name="Percent 40 2" xfId="1334"/>
    <cellStyle name="Percent 41" xfId="1335"/>
    <cellStyle name="Percent 42" xfId="1336"/>
    <cellStyle name="Percent 43" xfId="1337"/>
    <cellStyle name="Percent 44" xfId="1338"/>
    <cellStyle name="Percent 45" xfId="1339"/>
    <cellStyle name="Percent 45 2" xfId="1340"/>
    <cellStyle name="Percent 46" xfId="1341"/>
    <cellStyle name="Percent 47" xfId="1342"/>
    <cellStyle name="Percent 48" xfId="1343"/>
    <cellStyle name="Percent 49" xfId="1344"/>
    <cellStyle name="Percent 5" xfId="1345"/>
    <cellStyle name="Percent 50" xfId="1346"/>
    <cellStyle name="Percent 51" xfId="1347"/>
    <cellStyle name="Percent 52" xfId="1348"/>
    <cellStyle name="Percent 52 2" xfId="1349"/>
    <cellStyle name="Percent 53" xfId="1350"/>
    <cellStyle name="Percent 53 2" xfId="1351"/>
    <cellStyle name="Percent 54" xfId="1352"/>
    <cellStyle name="Percent 54 2" xfId="1353"/>
    <cellStyle name="Percent 55" xfId="1354"/>
    <cellStyle name="Percent 55 2" xfId="1355"/>
    <cellStyle name="Percent 56" xfId="1356"/>
    <cellStyle name="Percent 57" xfId="1357"/>
    <cellStyle name="Percent 58" xfId="1358"/>
    <cellStyle name="Percent 59" xfId="1359"/>
    <cellStyle name="Percent 6" xfId="1360"/>
    <cellStyle name="Percent 60" xfId="1361"/>
    <cellStyle name="Percent 61" xfId="1362"/>
    <cellStyle name="Percent 62" xfId="1363"/>
    <cellStyle name="Percent 63" xfId="1364"/>
    <cellStyle name="Percent 64" xfId="1365"/>
    <cellStyle name="Percent 65" xfId="1366"/>
    <cellStyle name="Percent 66" xfId="1367"/>
    <cellStyle name="Percent 67" xfId="1368"/>
    <cellStyle name="Percent 68" xfId="1369"/>
    <cellStyle name="Percent 69" xfId="1370"/>
    <cellStyle name="Percent 7" xfId="1371"/>
    <cellStyle name="Percent 70" xfId="1372"/>
    <cellStyle name="Percent 71" xfId="1373"/>
    <cellStyle name="Percent 72" xfId="1374"/>
    <cellStyle name="Percent 72 2" xfId="1375"/>
    <cellStyle name="Percent 73" xfId="1376"/>
    <cellStyle name="Percent 73 2" xfId="1377"/>
    <cellStyle name="Percent 74" xfId="1378"/>
    <cellStyle name="Percent 74 2" xfId="1379"/>
    <cellStyle name="Percent 75" xfId="1380"/>
    <cellStyle name="Percent 75 2" xfId="1381"/>
    <cellStyle name="Percent 76" xfId="1382"/>
    <cellStyle name="Percent 76 2" xfId="1383"/>
    <cellStyle name="Percent 77" xfId="1384"/>
    <cellStyle name="Percent 77 2" xfId="1385"/>
    <cellStyle name="Percent 78" xfId="1386"/>
    <cellStyle name="Percent 78 2" xfId="1387"/>
    <cellStyle name="Percent 79" xfId="1388"/>
    <cellStyle name="Percent 8" xfId="1389"/>
    <cellStyle name="Percent 80" xfId="1390"/>
    <cellStyle name="Percent 81" xfId="1391"/>
    <cellStyle name="Percent 82" xfId="1392"/>
    <cellStyle name="Percent 83" xfId="1393"/>
    <cellStyle name="Percent 84" xfId="1394"/>
    <cellStyle name="Percent 85" xfId="1395"/>
    <cellStyle name="Percent 86" xfId="1396"/>
    <cellStyle name="Percent 87" xfId="1397"/>
    <cellStyle name="Percent 88" xfId="1398"/>
    <cellStyle name="Percent 89" xfId="1399"/>
    <cellStyle name="Percent 9" xfId="1400"/>
    <cellStyle name="Percent 9 2" xfId="1401"/>
    <cellStyle name="Percent 9 3" xfId="1402"/>
    <cellStyle name="Percent 90" xfId="1403"/>
    <cellStyle name="Percent 91" xfId="1404"/>
    <cellStyle name="Percent 92" xfId="1405"/>
    <cellStyle name="Percent 93" xfId="1406"/>
    <cellStyle name="Percent 94" xfId="1407"/>
    <cellStyle name="Percent 94 2" xfId="1408"/>
    <cellStyle name="Percent 95" xfId="1409"/>
    <cellStyle name="Percent 95 2" xfId="1410"/>
    <cellStyle name="Percent 96" xfId="1411"/>
    <cellStyle name="Percent 96 2" xfId="1412"/>
    <cellStyle name="Percent 97" xfId="1413"/>
    <cellStyle name="Percent 97 2" xfId="1414"/>
    <cellStyle name="Percent 98" xfId="1415"/>
    <cellStyle name="Percent 98 2" xfId="1416"/>
    <cellStyle name="Percent 99" xfId="1417"/>
    <cellStyle name="Percent 99 2" xfId="1418"/>
    <cellStyle name="PSChar" xfId="1419"/>
    <cellStyle name="PSChar 2" xfId="1420"/>
    <cellStyle name="PSChar 3" xfId="1421"/>
    <cellStyle name="PSDate" xfId="1422"/>
    <cellStyle name="PSDate 2" xfId="1423"/>
    <cellStyle name="PSDate 3" xfId="1424"/>
    <cellStyle name="PSDec" xfId="1425"/>
    <cellStyle name="PSDec 2" xfId="1426"/>
    <cellStyle name="PSDec 3" xfId="1427"/>
    <cellStyle name="PSHeading" xfId="1428"/>
    <cellStyle name="PSHeading 2" xfId="1429"/>
    <cellStyle name="PSHeading 3" xfId="1430"/>
    <cellStyle name="PSHeading_BP-14 Preliminary Capital Forecast NonBudget System_5 2 13" xfId="1431"/>
    <cellStyle name="PSInt" xfId="1432"/>
    <cellStyle name="PSInt 2" xfId="1433"/>
    <cellStyle name="PSInt 3" xfId="1434"/>
    <cellStyle name="PSSpacer" xfId="1435"/>
    <cellStyle name="PSSpacer 2" xfId="1436"/>
    <cellStyle name="PSSpacer 3" xfId="1437"/>
    <cellStyle name="Rate" xfId="1438"/>
    <cellStyle name="Reference" xfId="1439"/>
    <cellStyle name="RevList" xfId="1440"/>
    <cellStyle name="round100" xfId="1441"/>
    <cellStyle name="SectionBreak" xfId="1442"/>
    <cellStyle name="shade" xfId="1443"/>
    <cellStyle name="StmtTtl1" xfId="1444"/>
    <cellStyle name="StmtTtl2" xfId="1445"/>
    <cellStyle name="STYL1 - Style1" xfId="1446"/>
    <cellStyle name="Style 1" xfId="1447"/>
    <cellStyle name="Subtotal" xfId="1448"/>
    <cellStyle name="Table Head" xfId="1449"/>
    <cellStyle name="Table Head Aligned" xfId="1450"/>
    <cellStyle name="Table Head Blue" xfId="1451"/>
    <cellStyle name="Table Head Green" xfId="1452"/>
    <cellStyle name="Table Heading" xfId="1453"/>
    <cellStyle name="Table Title" xfId="1454"/>
    <cellStyle name="Table Units" xfId="1455"/>
    <cellStyle name="Title" xfId="1456"/>
    <cellStyle name="Title 2" xfId="1457"/>
    <cellStyle name="Title 2 2" xfId="1458"/>
    <cellStyle name="Title 2 2 2" xfId="1459"/>
    <cellStyle name="Title 2 2 3" xfId="1460"/>
    <cellStyle name="Title 2 2 4" xfId="1461"/>
    <cellStyle name="Title 2 3" xfId="1462"/>
    <cellStyle name="Title 2 4" xfId="1463"/>
    <cellStyle name="Title 2 5" xfId="1464"/>
    <cellStyle name="Title 3" xfId="1465"/>
    <cellStyle name="Title 4" xfId="1466"/>
    <cellStyle name="Title: Minor" xfId="1467"/>
    <cellStyle name="Title: Worksheet" xfId="1468"/>
    <cellStyle name="Total" xfId="1469"/>
    <cellStyle name="Total 2" xfId="1470"/>
    <cellStyle name="Total 2 2" xfId="1471"/>
    <cellStyle name="Total 2 2 2" xfId="1472"/>
    <cellStyle name="Total 2 2 3" xfId="1473"/>
    <cellStyle name="Total 2 2 4" xfId="1474"/>
    <cellStyle name="Total 2 3" xfId="1475"/>
    <cellStyle name="Total 2 4" xfId="1476"/>
    <cellStyle name="Total 2 5" xfId="1477"/>
    <cellStyle name="Total 2_QC" xfId="1478"/>
    <cellStyle name="Total 3" xfId="1479"/>
    <cellStyle name="Total 4" xfId="1480"/>
    <cellStyle name="v" xfId="1481"/>
    <cellStyle name="Warning Text" xfId="1482"/>
    <cellStyle name="Warning Text 2" xfId="1483"/>
    <cellStyle name="Warning Text 2 2" xfId="1484"/>
    <cellStyle name="Warning Text 2 2 2" xfId="1485"/>
    <cellStyle name="Warning Text 2 3" xfId="1486"/>
    <cellStyle name="Warning Text 2 4" xfId="1487"/>
    <cellStyle name="Warning Text 2 5" xfId="1488"/>
    <cellStyle name="Warning Text 3" xfId="1489"/>
    <cellStyle name="Warning Text 4" xfId="1490"/>
    <cellStyle name="Normal 279" xfId="1491"/>
    <cellStyle name="Comma 19" xfId="1492"/>
    <cellStyle name="Percent 193" xfId="1493"/>
    <cellStyle name="Normal 280" xfId="1494"/>
    <cellStyle name="Comma 20" xfId="1495"/>
    <cellStyle name="Normal 281" xfId="1496"/>
    <cellStyle name="Comma 21" xfId="1497"/>
    <cellStyle name="Normal 282" xfId="1498"/>
    <cellStyle name="Comma 22" xfId="1499"/>
    <cellStyle name="Normal 279 2" xfId="1500"/>
    <cellStyle name="Normal 288" xfId="1501"/>
    <cellStyle name="Comma 2 7" xfId="1502"/>
    <cellStyle name="Normal 2 4" xfId="1503"/>
  </cellStyles>
  <dxfs count="1">
    <dxf>
      <border>
        <top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customXml" Target="../customXml/item1.xml" /><Relationship Id="rId27" Type="http://schemas.openxmlformats.org/officeDocument/2006/relationships/customXml" Target="../customXml/item2.xml" /><Relationship Id="rId28" Type="http://schemas.openxmlformats.org/officeDocument/2006/relationships/customXml" Target="../customXml/item3.xml" /><Relationship Id="rId29" Type="http://schemas.openxmlformats.org/officeDocument/2006/relationships/customXml" Target="../customXml/item4.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K105"/>
  <sheetViews>
    <sheetView tabSelected="1" workbookViewId="0" topLeftCell="A1">
      <selection activeCell="I12" sqref="I12"/>
    </sheetView>
  </sheetViews>
  <sheetFormatPr defaultColWidth="9.140625" defaultRowHeight="12.75"/>
  <cols>
    <col min="1" max="1" width="3.8515625" style="214" customWidth="1"/>
    <col min="2" max="2" width="3.00390625" style="214" customWidth="1"/>
    <col min="3" max="3" width="3.28125" style="214" customWidth="1"/>
    <col min="4" max="4" width="54.00390625" style="214" customWidth="1"/>
    <col min="5" max="5" width="11.7109375" style="214" bestFit="1" customWidth="1"/>
    <col min="6" max="6" width="11.140625" style="214" customWidth="1"/>
    <col min="7" max="7" width="10.421875" style="214" bestFit="1" customWidth="1"/>
    <col min="8" max="8" width="9.8515625" style="214" bestFit="1" customWidth="1"/>
    <col min="9" max="16384" width="9.140625" style="214" customWidth="1"/>
  </cols>
  <sheetData>
    <row r="1" spans="1:6" ht="12.75">
      <c r="A1" s="397" t="s">
        <v>232</v>
      </c>
      <c r="B1" s="397"/>
      <c r="C1" s="397"/>
      <c r="D1" s="397"/>
      <c r="E1" s="397"/>
      <c r="F1" s="397"/>
    </row>
    <row r="2" spans="1:6" ht="12.75">
      <c r="A2" s="397" t="s">
        <v>233</v>
      </c>
      <c r="B2" s="397"/>
      <c r="C2" s="397"/>
      <c r="D2" s="397"/>
      <c r="E2" s="397"/>
      <c r="F2" s="397"/>
    </row>
    <row r="3" spans="1:6" ht="12.75">
      <c r="A3" s="397" t="s">
        <v>252</v>
      </c>
      <c r="B3" s="397"/>
      <c r="C3" s="397"/>
      <c r="D3" s="397"/>
      <c r="E3" s="397"/>
      <c r="F3" s="397"/>
    </row>
    <row r="4" spans="1:6" ht="12.75">
      <c r="A4" s="215"/>
      <c r="B4" s="215"/>
      <c r="C4" s="215"/>
      <c r="D4" s="215"/>
      <c r="E4" s="215"/>
      <c r="F4" s="215"/>
    </row>
    <row r="5" spans="1:6" ht="12.75">
      <c r="A5" s="215"/>
      <c r="B5" s="215"/>
      <c r="C5" s="215"/>
      <c r="D5" s="215"/>
      <c r="E5" s="216" t="s">
        <v>162</v>
      </c>
      <c r="F5" s="216" t="s">
        <v>163</v>
      </c>
    </row>
    <row r="6" spans="4:6" ht="12.75">
      <c r="D6" s="217"/>
      <c r="E6" s="281">
        <v>2020</v>
      </c>
      <c r="F6" s="281">
        <f aca="true" t="shared" si="0" ref="F6">+E6+1</f>
        <v>2021</v>
      </c>
    </row>
    <row r="7" spans="1:2" ht="12.75">
      <c r="A7" s="214">
        <v>1</v>
      </c>
      <c r="B7" s="214" t="s">
        <v>170</v>
      </c>
    </row>
    <row r="8" spans="1:6" ht="12.75">
      <c r="A8" s="214">
        <v>2</v>
      </c>
      <c r="C8" s="214" t="s">
        <v>171</v>
      </c>
      <c r="E8" s="166"/>
      <c r="F8" s="166"/>
    </row>
    <row r="9" spans="1:6" ht="12.75">
      <c r="A9" s="214">
        <v>3</v>
      </c>
      <c r="D9" s="214" t="s">
        <v>172</v>
      </c>
      <c r="E9" s="166">
        <f>('IPR Data'!C4+'IPR Data'!C5+'IPR Data'!C6+'IPR Data'!C13-'IPR Data'!C67)/1000</f>
        <v>681345.438</v>
      </c>
      <c r="F9" s="166">
        <f>('IPR Data'!D4+'IPR Data'!D5+'IPR Data'!D6+'IPR Data'!D13-'IPR Data'!D67)/1000</f>
        <v>736891.597</v>
      </c>
    </row>
    <row r="10" spans="1:6" ht="12.75">
      <c r="A10" s="214">
        <v>4</v>
      </c>
      <c r="D10" s="214" t="s">
        <v>173</v>
      </c>
      <c r="E10" s="166">
        <f>+'IPR Data'!C14/1000</f>
        <v>22997</v>
      </c>
      <c r="F10" s="166">
        <f>+'IPR Data'!D14/1000</f>
        <v>22997</v>
      </c>
    </row>
    <row r="11" spans="1:6" ht="12.75">
      <c r="A11" s="214">
        <v>5</v>
      </c>
      <c r="D11" s="214" t="s">
        <v>174</v>
      </c>
      <c r="E11" s="166">
        <f>+'IPR Data'!C17/1000</f>
        <v>1631</v>
      </c>
      <c r="F11" s="166">
        <f>+'IPR Data'!D17/1000</f>
        <v>1531</v>
      </c>
    </row>
    <row r="12" spans="1:6" ht="12.75">
      <c r="A12" s="214">
        <v>6</v>
      </c>
      <c r="D12" s="214" t="s">
        <v>175</v>
      </c>
      <c r="E12" s="166">
        <f>+'cost table'!D16+'Modeling results'!B12+'Modeling results'!B13+'Modeling results'!B14</f>
        <v>86009.88077867283</v>
      </c>
      <c r="F12" s="166">
        <f>+'cost table'!E16+'Modeling results'!C12+'Modeling results'!C13+'Modeling results'!C14</f>
        <v>73976.92303373668</v>
      </c>
    </row>
    <row r="13" spans="1:6" ht="12.75">
      <c r="A13" s="214">
        <v>7</v>
      </c>
      <c r="D13" s="214" t="s">
        <v>133</v>
      </c>
      <c r="E13" s="166">
        <f>+'Modeling results'!B11</f>
        <v>0</v>
      </c>
      <c r="F13" s="166">
        <f>+'Modeling results'!C11</f>
        <v>0</v>
      </c>
    </row>
    <row r="14" spans="1:6" ht="12.75">
      <c r="A14" s="214">
        <v>8</v>
      </c>
      <c r="D14" s="214" t="s">
        <v>176</v>
      </c>
      <c r="E14" s="166">
        <f>+'Modeling results'!B8</f>
        <v>249767.00051788118</v>
      </c>
      <c r="F14" s="166">
        <f>+'Modeling results'!C8</f>
        <v>249746.61916842868</v>
      </c>
    </row>
    <row r="15" spans="1:6" ht="12.75">
      <c r="A15" s="214">
        <v>9</v>
      </c>
      <c r="D15" s="214" t="s">
        <v>177</v>
      </c>
      <c r="E15" s="166">
        <f>+'IPR Data'!C24/1000</f>
        <v>36523</v>
      </c>
      <c r="F15" s="166">
        <f>+'IPR Data'!D24/1000</f>
        <v>34869</v>
      </c>
    </row>
    <row r="16" spans="1:6" ht="12.75">
      <c r="A16" s="214">
        <v>10</v>
      </c>
      <c r="D16" s="214" t="s">
        <v>178</v>
      </c>
      <c r="E16" s="166">
        <f>+'IPR Data'!C34/1000</f>
        <v>121529.703</v>
      </c>
      <c r="F16" s="166">
        <f>+'IPR Data'!D34/1000</f>
        <v>121643.703</v>
      </c>
    </row>
    <row r="17" spans="1:6" ht="12.75">
      <c r="A17" s="214">
        <v>11</v>
      </c>
      <c r="C17" s="214" t="s">
        <v>179</v>
      </c>
      <c r="E17" s="166">
        <f>+'IPR Data'!C53/1000</f>
        <v>82815.565</v>
      </c>
      <c r="F17" s="166">
        <f>+'IPR Data'!D53/1000</f>
        <v>84922.434</v>
      </c>
    </row>
    <row r="18" spans="1:6" ht="12.75">
      <c r="A18" s="214">
        <v>12</v>
      </c>
      <c r="C18" s="214" t="s">
        <v>180</v>
      </c>
      <c r="E18" s="166">
        <f>+'Modeling results'!B20</f>
        <v>221642.731759574</v>
      </c>
      <c r="F18" s="166">
        <f>+'Modeling results'!C20</f>
        <v>217308.3754877001</v>
      </c>
    </row>
    <row r="19" spans="1:6" ht="12.75">
      <c r="A19" s="214">
        <v>13</v>
      </c>
      <c r="C19" s="214" t="s">
        <v>342</v>
      </c>
      <c r="E19" s="166">
        <f>+'IPR Data'!C57/1000</f>
        <v>291811.237</v>
      </c>
      <c r="F19" s="166">
        <f>+'IPR Data'!D57/1000</f>
        <v>292470.469</v>
      </c>
    </row>
    <row r="20" spans="1:6" ht="12.75">
      <c r="A20" s="214">
        <v>14</v>
      </c>
      <c r="C20" s="214" t="s">
        <v>181</v>
      </c>
      <c r="E20" s="166">
        <f>+'IPR Data'!C61/1000+'IPR Data'!C58/1000</f>
        <v>77435.744</v>
      </c>
      <c r="F20" s="166">
        <f>+'IPR Data'!D61/1000+'IPR Data'!D58/1000</f>
        <v>78474.902</v>
      </c>
    </row>
    <row r="21" spans="1:6" ht="12.75">
      <c r="A21" s="214">
        <v>15</v>
      </c>
      <c r="C21" s="214" t="s">
        <v>182</v>
      </c>
      <c r="E21" s="166">
        <f>+'cost table'!D69</f>
        <v>0</v>
      </c>
      <c r="F21" s="166">
        <f>+'cost table'!E69</f>
        <v>-20000</v>
      </c>
    </row>
    <row r="22" spans="1:6" ht="12.75">
      <c r="A22" s="214">
        <v>16</v>
      </c>
      <c r="C22" s="218" t="s">
        <v>193</v>
      </c>
      <c r="E22" s="166">
        <f>+Depreciation!E8</f>
        <v>138967.5877677</v>
      </c>
      <c r="F22" s="166">
        <f>+Depreciation!F8</f>
        <v>141050.1326017</v>
      </c>
    </row>
    <row r="23" spans="1:6" ht="12.75">
      <c r="A23" s="214">
        <v>17</v>
      </c>
      <c r="C23" s="218" t="s">
        <v>194</v>
      </c>
      <c r="E23" s="274">
        <f>+Depreciation!E14+Depreciation!E30</f>
        <v>379326.95947737</v>
      </c>
      <c r="F23" s="274">
        <f>+Depreciation!F14+Depreciation!F30</f>
        <v>384364.0043763031</v>
      </c>
    </row>
    <row r="24" spans="1:6" ht="12.75">
      <c r="A24" s="214">
        <v>18</v>
      </c>
      <c r="B24" s="214" t="s">
        <v>195</v>
      </c>
      <c r="E24" s="166">
        <f aca="true" t="shared" si="1" ref="E24">SUM(E9:E23)</f>
        <v>2391802.8473011977</v>
      </c>
      <c r="F24" s="166">
        <f>SUM(F9:F23)</f>
        <v>2420246.159667868</v>
      </c>
    </row>
    <row r="25" spans="1:6" ht="12.75">
      <c r="A25" s="214">
        <v>19</v>
      </c>
      <c r="E25" s="166"/>
      <c r="F25" s="166"/>
    </row>
    <row r="26" spans="1:6" s="218" customFormat="1" ht="12.75">
      <c r="A26" s="218">
        <v>20</v>
      </c>
      <c r="B26" s="219" t="s">
        <v>718</v>
      </c>
      <c r="C26" s="219"/>
      <c r="D26" s="219"/>
      <c r="E26" s="219"/>
      <c r="F26" s="219"/>
    </row>
    <row r="27" spans="1:4" s="218" customFormat="1" ht="12.75">
      <c r="A27" s="218">
        <v>21</v>
      </c>
      <c r="B27" s="219"/>
      <c r="C27" s="219" t="s">
        <v>184</v>
      </c>
      <c r="D27" s="219"/>
    </row>
    <row r="28" spans="1:11" s="218" customFormat="1" ht="12.75">
      <c r="A28" s="218">
        <v>22</v>
      </c>
      <c r="B28" s="219"/>
      <c r="C28" s="219"/>
      <c r="D28" s="219" t="s">
        <v>185</v>
      </c>
      <c r="E28" s="219">
        <f>+'Federal Capital Costs'!D5</f>
        <v>44685</v>
      </c>
      <c r="F28" s="219">
        <f>+'Federal Capital Costs'!E5</f>
        <v>45908</v>
      </c>
      <c r="G28" s="268"/>
      <c r="H28" s="268"/>
      <c r="I28" s="268"/>
      <c r="J28" s="268"/>
      <c r="K28" s="268"/>
    </row>
    <row r="29" spans="1:11" s="218" customFormat="1" ht="12.75">
      <c r="A29" s="218">
        <v>23</v>
      </c>
      <c r="B29" s="219"/>
      <c r="D29" s="219" t="s">
        <v>186</v>
      </c>
      <c r="E29" s="219">
        <f>+'cost table'!D85</f>
        <v>-45937</v>
      </c>
      <c r="F29" s="219">
        <f>+'cost table'!E85</f>
        <v>-45937</v>
      </c>
      <c r="G29" s="268"/>
      <c r="H29" s="268"/>
      <c r="I29" s="268"/>
      <c r="J29" s="268"/>
      <c r="K29" s="268"/>
    </row>
    <row r="30" spans="1:11" s="218" customFormat="1" ht="12.75">
      <c r="A30" s="218">
        <v>24</v>
      </c>
      <c r="B30" s="219"/>
      <c r="C30" s="219"/>
      <c r="D30" s="219" t="s">
        <v>187</v>
      </c>
      <c r="E30" s="219">
        <f>+'Federal Capital Costs'!D4+'Federal Capital Costs'!D69</f>
        <v>61145.39170233593</v>
      </c>
      <c r="F30" s="219">
        <f>+'Federal Capital Costs'!E4+'Federal Capital Costs'!E69</f>
        <v>68928.33254568126</v>
      </c>
      <c r="G30" s="268"/>
      <c r="H30" s="268"/>
      <c r="I30" s="268"/>
      <c r="J30" s="268"/>
      <c r="K30" s="268"/>
    </row>
    <row r="31" spans="1:11" s="218" customFormat="1" ht="12.75">
      <c r="A31" s="218">
        <v>25</v>
      </c>
      <c r="D31" s="219" t="s">
        <v>697</v>
      </c>
      <c r="E31" s="219">
        <f>+'Federal Capital Costs'!D8</f>
        <v>13</v>
      </c>
      <c r="F31" s="219">
        <f>+'Federal Capital Costs'!E8</f>
        <v>10</v>
      </c>
      <c r="G31" s="268"/>
      <c r="H31" s="268"/>
      <c r="I31" s="268"/>
      <c r="J31" s="268"/>
      <c r="K31" s="268"/>
    </row>
    <row r="32" spans="1:11" s="218" customFormat="1" ht="12.75">
      <c r="A32" s="218">
        <v>26</v>
      </c>
      <c r="D32" s="219" t="s">
        <v>253</v>
      </c>
      <c r="E32" s="219">
        <f>SUM('cost table'!D87:D92)</f>
        <v>245800.5503645353</v>
      </c>
      <c r="F32" s="219">
        <f>SUM('cost table'!E87:E92)</f>
        <v>169807.12751369155</v>
      </c>
      <c r="G32" s="268"/>
      <c r="H32" s="268"/>
      <c r="I32" s="268"/>
      <c r="J32" s="268"/>
      <c r="K32" s="268"/>
    </row>
    <row r="33" spans="1:11" s="218" customFormat="1" ht="12.75">
      <c r="A33" s="218">
        <v>27</v>
      </c>
      <c r="C33" s="219" t="s">
        <v>188</v>
      </c>
      <c r="D33" s="219"/>
      <c r="E33" s="219">
        <f>+'cost table'!D94</f>
        <v>-15904</v>
      </c>
      <c r="F33" s="219">
        <f>+'cost table'!E94</f>
        <v>-16493</v>
      </c>
      <c r="G33" s="268"/>
      <c r="H33" s="268"/>
      <c r="I33" s="268"/>
      <c r="J33" s="268"/>
      <c r="K33" s="268"/>
    </row>
    <row r="34" spans="1:8" s="218" customFormat="1" ht="12.75">
      <c r="A34" s="218">
        <v>28</v>
      </c>
      <c r="B34" s="219"/>
      <c r="C34" s="219" t="s">
        <v>189</v>
      </c>
      <c r="D34" s="219"/>
      <c r="E34" s="219">
        <f>+'interest credit calculations'!C10</f>
        <v>-4958.956</v>
      </c>
      <c r="F34" s="219">
        <f>+'interest credit calculations'!D10</f>
        <v>-6753.1654</v>
      </c>
      <c r="G34" s="268"/>
      <c r="H34" s="268"/>
    </row>
    <row r="35" spans="1:8" s="218" customFormat="1" ht="12.75">
      <c r="A35" s="218">
        <v>29</v>
      </c>
      <c r="B35" s="219"/>
      <c r="C35" s="219" t="s">
        <v>720</v>
      </c>
      <c r="D35" s="219"/>
      <c r="E35" s="219">
        <v>-8817.805195211507</v>
      </c>
      <c r="F35" s="219">
        <v>-9111.731626045908</v>
      </c>
      <c r="G35" s="268"/>
      <c r="H35" s="268"/>
    </row>
    <row r="36" spans="1:8" s="218" customFormat="1" ht="12.75">
      <c r="A36" s="218">
        <v>30</v>
      </c>
      <c r="B36" s="219"/>
      <c r="C36" s="219" t="s">
        <v>719</v>
      </c>
      <c r="D36" s="219"/>
      <c r="E36" s="335">
        <v>-5051.812480427976</v>
      </c>
      <c r="F36" s="335">
        <v>-5220.205995451786</v>
      </c>
      <c r="G36" s="268"/>
      <c r="H36" s="268"/>
    </row>
    <row r="37" spans="1:8" s="218" customFormat="1" ht="12.75">
      <c r="A37" s="218">
        <v>31</v>
      </c>
      <c r="B37" s="219" t="s">
        <v>733</v>
      </c>
      <c r="C37" s="219"/>
      <c r="D37" s="219"/>
      <c r="E37" s="219">
        <f>SUM(E28:E36)</f>
        <v>270974.36839123175</v>
      </c>
      <c r="F37" s="219">
        <f>SUM(F28:F36)</f>
        <v>201138.35703787513</v>
      </c>
      <c r="G37" s="268"/>
      <c r="H37" s="268"/>
    </row>
    <row r="38" spans="1:8" ht="12.75">
      <c r="A38" s="214">
        <v>32</v>
      </c>
      <c r="B38" s="166"/>
      <c r="C38" s="166"/>
      <c r="D38" s="166"/>
      <c r="E38" s="166"/>
      <c r="F38" s="166"/>
      <c r="G38" s="181"/>
      <c r="H38" s="181"/>
    </row>
    <row r="39" spans="1:8" ht="12.75">
      <c r="A39" s="214">
        <v>33</v>
      </c>
      <c r="B39" s="166" t="s">
        <v>190</v>
      </c>
      <c r="C39" s="166"/>
      <c r="D39" s="166"/>
      <c r="E39" s="166">
        <f>E37+E24</f>
        <v>2662777.2156924293</v>
      </c>
      <c r="F39" s="166">
        <f>F37+F24</f>
        <v>2621384.5167057435</v>
      </c>
      <c r="G39" s="181"/>
      <c r="H39" s="181"/>
    </row>
    <row r="40" spans="1:6" ht="12.75">
      <c r="A40" s="214">
        <v>34</v>
      </c>
      <c r="B40" s="166"/>
      <c r="C40" s="166"/>
      <c r="D40" s="166"/>
      <c r="E40" s="166"/>
      <c r="F40" s="166"/>
    </row>
    <row r="41" spans="1:6" ht="12.75">
      <c r="A41" s="214">
        <v>35</v>
      </c>
      <c r="B41" s="166" t="s">
        <v>191</v>
      </c>
      <c r="C41" s="166"/>
      <c r="D41" s="166"/>
      <c r="E41" s="166">
        <f>E57</f>
        <v>15779.796066034149</v>
      </c>
      <c r="F41" s="166">
        <f>F57</f>
        <v>100689.86312980301</v>
      </c>
    </row>
    <row r="42" spans="1:6" ht="12.75">
      <c r="A42" s="214">
        <v>36</v>
      </c>
      <c r="B42" s="166" t="s">
        <v>192</v>
      </c>
      <c r="C42" s="166"/>
      <c r="D42" s="166"/>
      <c r="E42" s="166">
        <f>+'Modeling results'!B31</f>
        <v>0</v>
      </c>
      <c r="F42" s="166">
        <f>+'Modeling results'!C31</f>
        <v>0</v>
      </c>
    </row>
    <row r="43" spans="1:6" ht="12.75">
      <c r="A43" s="214">
        <v>37</v>
      </c>
      <c r="B43" s="166" t="s">
        <v>595</v>
      </c>
      <c r="C43" s="166"/>
      <c r="D43" s="166"/>
      <c r="E43" s="166">
        <f>E41+E42</f>
        <v>15779.796066034149</v>
      </c>
      <c r="F43" s="166">
        <f>F41+F42</f>
        <v>100689.86312980301</v>
      </c>
    </row>
    <row r="44" spans="1:6" ht="12.75">
      <c r="A44" s="214">
        <v>38</v>
      </c>
      <c r="B44" s="166"/>
      <c r="C44" s="166"/>
      <c r="D44" s="166"/>
      <c r="E44" s="166"/>
      <c r="F44" s="166"/>
    </row>
    <row r="45" spans="1:6" ht="12.75">
      <c r="A45" s="214">
        <v>39</v>
      </c>
      <c r="B45" s="169" t="s">
        <v>234</v>
      </c>
      <c r="C45" s="166"/>
      <c r="D45" s="166"/>
      <c r="E45" s="169">
        <f>E43+E39</f>
        <v>2678557.0117584635</v>
      </c>
      <c r="F45" s="169">
        <f>F43+F39</f>
        <v>2722074.3798355465</v>
      </c>
    </row>
    <row r="46" spans="5:6" ht="12.75">
      <c r="E46" s="166"/>
      <c r="F46" s="166"/>
    </row>
    <row r="47" spans="1:6" ht="12.75">
      <c r="A47" s="220" t="s">
        <v>235</v>
      </c>
      <c r="B47" s="214" t="s">
        <v>590</v>
      </c>
      <c r="E47" s="181"/>
      <c r="F47" s="181"/>
    </row>
    <row r="48" spans="1:6" ht="12.75">
      <c r="A48" s="220"/>
      <c r="E48" s="181"/>
      <c r="F48" s="181"/>
    </row>
    <row r="49" spans="5:6" ht="12.75">
      <c r="E49" s="356"/>
      <c r="F49" s="356"/>
    </row>
    <row r="50" spans="1:6" ht="12.75">
      <c r="A50" s="397" t="s">
        <v>232</v>
      </c>
      <c r="B50" s="397"/>
      <c r="C50" s="397"/>
      <c r="D50" s="397"/>
      <c r="E50" s="397"/>
      <c r="F50" s="397"/>
    </row>
    <row r="51" spans="1:6" ht="12.75">
      <c r="A51" s="397" t="s">
        <v>236</v>
      </c>
      <c r="B51" s="397"/>
      <c r="C51" s="397"/>
      <c r="D51" s="397"/>
      <c r="E51" s="397"/>
      <c r="F51" s="397"/>
    </row>
    <row r="52" spans="1:6" ht="12.75">
      <c r="A52" s="397" t="s">
        <v>252</v>
      </c>
      <c r="B52" s="397"/>
      <c r="C52" s="397"/>
      <c r="D52" s="397"/>
      <c r="E52" s="397"/>
      <c r="F52" s="397"/>
    </row>
    <row r="53" spans="1:6" ht="12.75">
      <c r="A53" s="166"/>
      <c r="B53" s="166"/>
      <c r="C53" s="166"/>
      <c r="D53" s="166"/>
      <c r="E53" s="166"/>
      <c r="F53" s="166"/>
    </row>
    <row r="54" spans="1:6" ht="12.75">
      <c r="A54" s="166"/>
      <c r="B54" s="166"/>
      <c r="C54" s="166"/>
      <c r="D54" s="166"/>
      <c r="E54" s="216" t="s">
        <v>162</v>
      </c>
      <c r="F54" s="216" t="s">
        <v>163</v>
      </c>
    </row>
    <row r="55" spans="1:6" ht="12.75">
      <c r="A55" s="166"/>
      <c r="B55" s="166"/>
      <c r="C55" s="166"/>
      <c r="D55" s="217"/>
      <c r="E55" s="213">
        <f aca="true" t="shared" si="2" ref="E55:F55">+E6</f>
        <v>2020</v>
      </c>
      <c r="F55" s="213">
        <f t="shared" si="2"/>
        <v>2021</v>
      </c>
    </row>
    <row r="56" spans="1:6" ht="12.75">
      <c r="A56" s="166">
        <v>1</v>
      </c>
      <c r="B56" s="166" t="s">
        <v>237</v>
      </c>
      <c r="C56" s="166"/>
      <c r="D56" s="166"/>
      <c r="E56" s="166"/>
      <c r="F56" s="166"/>
    </row>
    <row r="57" spans="1:6" ht="12.75">
      <c r="A57" s="166">
        <v>2</v>
      </c>
      <c r="B57" s="166"/>
      <c r="C57" s="166" t="s">
        <v>191</v>
      </c>
      <c r="D57" s="166"/>
      <c r="E57" s="166">
        <f>IF(SUM(E59:E65)+E72+E82&gt;0,0,-(SUM(E59:E65)+E72+E82))</f>
        <v>15779.796066034149</v>
      </c>
      <c r="F57" s="166">
        <f aca="true" t="shared" si="3" ref="F57">IF(SUM(F59:F65)+F72+F82&gt;0,0,-(SUM(F59:F65)+F72+F82))</f>
        <v>100689.86312980301</v>
      </c>
    </row>
    <row r="58" spans="1:6" ht="12.75">
      <c r="A58" s="166">
        <v>3</v>
      </c>
      <c r="B58" s="166"/>
      <c r="C58" s="166" t="s">
        <v>238</v>
      </c>
      <c r="D58" s="166"/>
      <c r="E58" s="166"/>
      <c r="F58" s="166"/>
    </row>
    <row r="59" spans="1:6" ht="12.75">
      <c r="A59" s="166">
        <v>4</v>
      </c>
      <c r="B59" s="166"/>
      <c r="C59" s="166"/>
      <c r="D59" s="166" t="s">
        <v>253</v>
      </c>
      <c r="E59" s="166">
        <f>+'cost table'!D87</f>
        <v>9826.374364535337</v>
      </c>
      <c r="F59" s="166">
        <f>+'cost table'!E87</f>
        <v>8862.537513691579</v>
      </c>
    </row>
    <row r="60" spans="1:6" ht="12.75">
      <c r="A60" s="166">
        <v>5</v>
      </c>
      <c r="B60" s="166"/>
      <c r="C60" s="166"/>
      <c r="D60" s="166" t="s">
        <v>239</v>
      </c>
      <c r="E60" s="166">
        <f aca="true" t="shared" si="4" ref="E60:F60">E23+E22</f>
        <v>518294.54724507</v>
      </c>
      <c r="F60" s="166">
        <f t="shared" si="4"/>
        <v>525414.1369780031</v>
      </c>
    </row>
    <row r="61" spans="1:6" s="218" customFormat="1" ht="12.75">
      <c r="A61" s="166">
        <v>6</v>
      </c>
      <c r="B61" s="219"/>
      <c r="C61" s="219"/>
      <c r="D61" s="219" t="s">
        <v>722</v>
      </c>
      <c r="E61" s="219">
        <f aca="true" t="shared" si="5" ref="E61:F61">+E36+E35</f>
        <v>-13869.617675639483</v>
      </c>
      <c r="F61" s="219">
        <f t="shared" si="5"/>
        <v>-14331.937621497695</v>
      </c>
    </row>
    <row r="62" spans="1:6" s="218" customFormat="1" ht="12.75">
      <c r="A62" s="166">
        <v>7</v>
      </c>
      <c r="B62" s="219"/>
      <c r="C62" s="219"/>
      <c r="D62" s="219" t="s">
        <v>186</v>
      </c>
      <c r="E62" s="219">
        <f aca="true" t="shared" si="6" ref="E62:F62">E29</f>
        <v>-45937</v>
      </c>
      <c r="F62" s="219">
        <f t="shared" si="6"/>
        <v>-45937</v>
      </c>
    </row>
    <row r="63" spans="1:6" s="218" customFormat="1" ht="12.75">
      <c r="A63" s="166">
        <v>8</v>
      </c>
      <c r="B63" s="219"/>
      <c r="D63" s="219" t="s">
        <v>346</v>
      </c>
      <c r="E63" s="219">
        <f>-'cost table'!D115-'Federal Capital Costs'!D16</f>
        <v>-30600</v>
      </c>
      <c r="F63" s="219">
        <f>-'cost table'!E115-'Federal Capital Costs'!E16</f>
        <v>-30600</v>
      </c>
    </row>
    <row r="64" spans="1:6" s="218" customFormat="1" ht="12.75">
      <c r="A64" s="166">
        <v>9</v>
      </c>
      <c r="B64" s="219"/>
      <c r="C64" s="218" t="s">
        <v>721</v>
      </c>
      <c r="D64" s="219"/>
      <c r="E64" s="219">
        <f>-'IPR Data'!C67/1000</f>
        <v>-4100</v>
      </c>
      <c r="F64" s="219">
        <f>-'IPR Data'!D67/1000</f>
        <v>-4300</v>
      </c>
    </row>
    <row r="65" spans="1:6" s="218" customFormat="1" ht="12.75">
      <c r="A65" s="166">
        <v>10</v>
      </c>
      <c r="B65" s="219"/>
      <c r="C65" s="219" t="s">
        <v>682</v>
      </c>
      <c r="D65" s="219"/>
      <c r="E65" s="335">
        <v>16590</v>
      </c>
      <c r="F65" s="335">
        <f>+'Non-Federal DS'!I95/1000</f>
        <v>15885</v>
      </c>
    </row>
    <row r="66" spans="1:6" s="218" customFormat="1" ht="12.75">
      <c r="A66" s="166">
        <v>11</v>
      </c>
      <c r="B66" s="219" t="s">
        <v>240</v>
      </c>
      <c r="C66" s="219"/>
      <c r="D66" s="219"/>
      <c r="E66" s="267">
        <f aca="true" t="shared" si="7" ref="E66:F66">SUM(E57:E65)</f>
        <v>465984.1</v>
      </c>
      <c r="F66" s="267">
        <f t="shared" si="7"/>
        <v>555682.6</v>
      </c>
    </row>
    <row r="67" spans="1:6" s="218" customFormat="1" ht="12.75">
      <c r="A67" s="166">
        <v>12</v>
      </c>
      <c r="B67" s="219"/>
      <c r="C67" s="219"/>
      <c r="D67" s="219"/>
      <c r="E67" s="219"/>
      <c r="F67" s="219"/>
    </row>
    <row r="68" spans="1:6" s="218" customFormat="1" ht="12.75">
      <c r="A68" s="166">
        <v>13</v>
      </c>
      <c r="B68" s="219" t="s">
        <v>418</v>
      </c>
      <c r="C68" s="219"/>
      <c r="D68" s="219"/>
      <c r="E68" s="219"/>
      <c r="F68" s="219"/>
    </row>
    <row r="69" spans="1:6" s="218" customFormat="1" ht="12.75">
      <c r="A69" s="166">
        <v>14</v>
      </c>
      <c r="B69" s="219"/>
      <c r="C69" s="219" t="s">
        <v>241</v>
      </c>
      <c r="D69" s="219"/>
      <c r="E69" s="219"/>
      <c r="F69" s="219"/>
    </row>
    <row r="70" spans="1:6" s="218" customFormat="1" ht="12.75">
      <c r="A70" s="166">
        <v>15</v>
      </c>
      <c r="B70" s="219"/>
      <c r="C70" s="219"/>
      <c r="D70" s="219" t="s">
        <v>242</v>
      </c>
      <c r="E70" s="219">
        <f>-(+'Fed Projections'!E6+'Fed Projections'!E9+'Fed Projections'!E8)</f>
        <v>-280737.0431</v>
      </c>
      <c r="F70" s="219">
        <f>-(+'Fed Projections'!F6+'Fed Projections'!F9+'Fed Projections'!F8)</f>
        <v>-323018.17079999996</v>
      </c>
    </row>
    <row r="71" spans="1:6" s="218" customFormat="1" ht="12.75">
      <c r="A71" s="166">
        <v>16</v>
      </c>
      <c r="B71" s="219"/>
      <c r="C71" s="219"/>
      <c r="D71" s="219" t="s">
        <v>229</v>
      </c>
      <c r="E71" s="335">
        <f>-'Fed Projections'!E10</f>
        <v>-47266.246</v>
      </c>
      <c r="F71" s="335">
        <f>-'Fed Projections'!F10</f>
        <v>-47266.246</v>
      </c>
    </row>
    <row r="72" spans="1:6" s="218" customFormat="1" ht="12.75">
      <c r="A72" s="166">
        <v>17</v>
      </c>
      <c r="B72" s="219" t="s">
        <v>348</v>
      </c>
      <c r="C72" s="219"/>
      <c r="D72" s="219"/>
      <c r="E72" s="219">
        <f>SUM(E70:E71)</f>
        <v>-328003.2891</v>
      </c>
      <c r="F72" s="219">
        <f>SUM(F70:F71)</f>
        <v>-370284.41679999995</v>
      </c>
    </row>
    <row r="73" spans="1:6" s="218" customFormat="1" ht="12.75">
      <c r="A73" s="166">
        <v>18</v>
      </c>
      <c r="B73" s="219"/>
      <c r="C73" s="219"/>
      <c r="D73" s="219"/>
      <c r="E73" s="219"/>
      <c r="F73" s="219"/>
    </row>
    <row r="74" spans="1:6" s="218" customFormat="1" ht="12.75">
      <c r="A74" s="166">
        <v>19</v>
      </c>
      <c r="B74" s="219" t="s">
        <v>243</v>
      </c>
      <c r="C74" s="219"/>
      <c r="D74" s="219"/>
      <c r="E74" s="219"/>
      <c r="F74" s="219"/>
    </row>
    <row r="75" spans="1:6" s="218" customFormat="1" ht="12.75">
      <c r="A75" s="166">
        <v>20</v>
      </c>
      <c r="C75" s="219" t="s">
        <v>244</v>
      </c>
      <c r="D75" s="219"/>
      <c r="E75" s="219">
        <f>-E72-E77-E80</f>
        <v>308884.51399999997</v>
      </c>
      <c r="F75" s="219">
        <f>-F72-F77-F80</f>
        <v>327638.51399999997</v>
      </c>
    </row>
    <row r="76" spans="1:6" s="218" customFormat="1" ht="12.75">
      <c r="A76" s="166">
        <v>21</v>
      </c>
      <c r="C76" s="219" t="s">
        <v>245</v>
      </c>
      <c r="D76" s="219"/>
      <c r="E76" s="219">
        <f>-'Federal Capital Costs'!D14</f>
        <v>-173072</v>
      </c>
      <c r="F76" s="219">
        <f>-'Federal Capital Costs'!E14</f>
        <v>-518065</v>
      </c>
    </row>
    <row r="77" spans="1:6" s="218" customFormat="1" ht="12.75">
      <c r="A77" s="166">
        <v>22</v>
      </c>
      <c r="C77" s="219" t="s">
        <v>246</v>
      </c>
      <c r="D77" s="219"/>
      <c r="E77" s="219">
        <f>+'Fed Projections'!E8</f>
        <v>19118.7751</v>
      </c>
      <c r="F77" s="219">
        <f>+'Fed Projections'!F8</f>
        <v>42645.902799999996</v>
      </c>
    </row>
    <row r="78" spans="1:6" s="218" customFormat="1" ht="12.75">
      <c r="A78" s="166">
        <v>23</v>
      </c>
      <c r="C78" s="219" t="s">
        <v>247</v>
      </c>
      <c r="D78" s="219"/>
      <c r="E78" s="219">
        <f>-'Federal Capital Costs'!D13</f>
        <v>0</v>
      </c>
      <c r="F78" s="219">
        <f>-'Federal Capital Costs'!E13</f>
        <v>0</v>
      </c>
    </row>
    <row r="79" spans="1:6" s="218" customFormat="1" ht="12.75">
      <c r="A79" s="166">
        <v>24</v>
      </c>
      <c r="C79" s="219" t="s">
        <v>567</v>
      </c>
      <c r="D79" s="219"/>
      <c r="E79" s="219">
        <f>-'Non-Federal DS'!H52</f>
        <v>-268581.1</v>
      </c>
      <c r="F79" s="219">
        <f>-'Non-Federal DS'!I52</f>
        <v>-22870.6</v>
      </c>
    </row>
    <row r="80" spans="1:6" s="218" customFormat="1" ht="12.75">
      <c r="A80" s="166">
        <v>25</v>
      </c>
      <c r="C80" s="219" t="s">
        <v>352</v>
      </c>
      <c r="D80" s="219"/>
      <c r="E80" s="219">
        <v>0</v>
      </c>
      <c r="F80" s="219">
        <v>0</v>
      </c>
    </row>
    <row r="81" spans="1:6" ht="12.75">
      <c r="A81" s="166">
        <v>26</v>
      </c>
      <c r="C81" s="166" t="s">
        <v>248</v>
      </c>
      <c r="D81" s="166"/>
      <c r="E81" s="274">
        <f>-'Federal Capital Costs'!D15</f>
        <v>-24331</v>
      </c>
      <c r="F81" s="274">
        <f>-'Federal Capital Costs'!E15</f>
        <v>-14747</v>
      </c>
    </row>
    <row r="82" spans="1:6" ht="12.75">
      <c r="A82" s="166">
        <v>27</v>
      </c>
      <c r="B82" s="166" t="s">
        <v>249</v>
      </c>
      <c r="C82" s="166"/>
      <c r="D82" s="166"/>
      <c r="E82" s="166">
        <f aca="true" t="shared" si="8" ref="E82:F82">SUM(E75:E81)</f>
        <v>-137980.8109</v>
      </c>
      <c r="F82" s="166">
        <f t="shared" si="8"/>
        <v>-185398.18320000006</v>
      </c>
    </row>
    <row r="83" spans="1:6" ht="12.75">
      <c r="A83" s="166">
        <v>28</v>
      </c>
      <c r="B83" s="166"/>
      <c r="C83" s="166"/>
      <c r="D83" s="166"/>
      <c r="E83" s="166"/>
      <c r="F83" s="166"/>
    </row>
    <row r="84" spans="1:6" ht="12.75">
      <c r="A84" s="166">
        <v>29</v>
      </c>
      <c r="B84" s="166" t="s">
        <v>250</v>
      </c>
      <c r="C84" s="166"/>
      <c r="D84" s="166"/>
      <c r="E84" s="166">
        <f aca="true" t="shared" si="9" ref="E84:F84">E66+E72+E82</f>
        <v>0</v>
      </c>
      <c r="F84" s="166">
        <f t="shared" si="9"/>
        <v>0</v>
      </c>
    </row>
    <row r="85" spans="1:6" ht="12.75">
      <c r="A85" s="166">
        <v>30</v>
      </c>
      <c r="B85" s="166"/>
      <c r="C85" s="166"/>
      <c r="D85" s="166"/>
      <c r="E85" s="166"/>
      <c r="F85" s="166"/>
    </row>
    <row r="86" spans="1:6" ht="12.75">
      <c r="A86" s="166">
        <v>31</v>
      </c>
      <c r="B86" s="166" t="s">
        <v>192</v>
      </c>
      <c r="C86" s="166"/>
      <c r="D86" s="166"/>
      <c r="E86" s="166">
        <f aca="true" t="shared" si="10" ref="E86:F86">E42</f>
        <v>0</v>
      </c>
      <c r="F86" s="166">
        <f t="shared" si="10"/>
        <v>0</v>
      </c>
    </row>
    <row r="87" spans="1:6" ht="12.75">
      <c r="A87" s="166">
        <v>32</v>
      </c>
      <c r="B87" s="166"/>
      <c r="C87" s="166"/>
      <c r="D87" s="166"/>
      <c r="E87" s="166"/>
      <c r="F87" s="166"/>
    </row>
    <row r="88" spans="1:6" ht="12.75">
      <c r="A88" s="166">
        <v>33</v>
      </c>
      <c r="B88" s="166" t="s">
        <v>251</v>
      </c>
      <c r="C88" s="166"/>
      <c r="D88" s="166"/>
      <c r="E88" s="166">
        <f>E84+E86</f>
        <v>0</v>
      </c>
      <c r="F88" s="166">
        <f>F84+F86</f>
        <v>0</v>
      </c>
    </row>
    <row r="89" spans="3:6" ht="12.75">
      <c r="C89" s="166"/>
      <c r="D89" s="166"/>
      <c r="E89" s="166"/>
      <c r="F89" s="166"/>
    </row>
    <row r="90" spans="1:6" ht="12.75">
      <c r="A90" s="220" t="s">
        <v>235</v>
      </c>
      <c r="B90" s="214" t="s">
        <v>562</v>
      </c>
      <c r="C90" s="166"/>
      <c r="D90" s="166"/>
      <c r="E90" s="166"/>
      <c r="F90" s="166"/>
    </row>
    <row r="91" spans="1:6" ht="12.75">
      <c r="A91" s="166"/>
      <c r="B91" s="166" t="s">
        <v>563</v>
      </c>
      <c r="C91" s="166"/>
      <c r="D91" s="166"/>
      <c r="E91" s="166"/>
      <c r="F91" s="166"/>
    </row>
    <row r="92" spans="1:6" ht="12.75">
      <c r="A92" s="166"/>
      <c r="B92" s="166"/>
      <c r="C92" s="166"/>
      <c r="D92" s="166"/>
      <c r="E92" s="166"/>
      <c r="F92" s="166"/>
    </row>
    <row r="96" spans="5:6" ht="12.75">
      <c r="E96" s="166"/>
      <c r="F96" s="166"/>
    </row>
    <row r="98" spans="5:6" ht="12.75">
      <c r="E98" s="166"/>
      <c r="F98" s="166"/>
    </row>
    <row r="99" spans="5:6" ht="12.75">
      <c r="E99" s="166"/>
      <c r="F99" s="166"/>
    </row>
    <row r="100" spans="5:6" ht="12.75">
      <c r="E100" s="166"/>
      <c r="F100" s="166"/>
    </row>
    <row r="101" spans="5:6" ht="12.75">
      <c r="E101" s="166"/>
      <c r="F101" s="166"/>
    </row>
    <row r="102" spans="5:6" ht="12.75">
      <c r="E102" s="166"/>
      <c r="F102" s="166"/>
    </row>
    <row r="103" spans="5:6" ht="12.75">
      <c r="E103" s="166"/>
      <c r="F103" s="166"/>
    </row>
    <row r="104" spans="5:6" ht="12.75">
      <c r="E104" s="166"/>
      <c r="F104" s="166"/>
    </row>
    <row r="105" spans="5:6" ht="12.75">
      <c r="E105" s="166"/>
      <c r="F105" s="166"/>
    </row>
  </sheetData>
  <mergeCells count="6">
    <mergeCell ref="A52:F52"/>
    <mergeCell ref="A1:F1"/>
    <mergeCell ref="A2:F2"/>
    <mergeCell ref="A3:F3"/>
    <mergeCell ref="A50:F50"/>
    <mergeCell ref="A51:F51"/>
  </mergeCells>
  <printOptions/>
  <pageMargins left="0.7" right="0.7" top="0.75" bottom="0.75" header="0.3" footer="0.3"/>
  <pageSetup horizontalDpi="600" verticalDpi="600" orientation="portrait" r:id="rId1"/>
  <rowBreaks count="1" manualBreakCount="1">
    <brk id="4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996"/>
  <sheetViews>
    <sheetView workbookViewId="0" topLeftCell="A1">
      <pane xSplit="3" ySplit="4" topLeftCell="D5" activePane="bottomRight" state="frozen"/>
      <selection pane="topLeft" activeCell="E9" sqref="E9:E10"/>
      <selection pane="topRight" activeCell="E9" sqref="E9:E10"/>
      <selection pane="bottomLeft" activeCell="E9" sqref="E9:E10"/>
      <selection pane="bottomRight" activeCell="J11" sqref="J11"/>
    </sheetView>
  </sheetViews>
  <sheetFormatPr defaultColWidth="9.140625" defaultRowHeight="12.75"/>
  <cols>
    <col min="1" max="1" width="19.8515625" style="6" customWidth="1"/>
    <col min="2" max="2" width="21.57421875" style="90" customWidth="1"/>
    <col min="3" max="3" width="33.421875" style="90" customWidth="1"/>
    <col min="4" max="4" width="12.57421875" style="110" customWidth="1"/>
    <col min="5" max="5" width="11.8515625" style="110" customWidth="1"/>
    <col min="6" max="16384" width="9.140625" style="8" customWidth="1"/>
  </cols>
  <sheetData>
    <row r="1" spans="1:5" s="74" customFormat="1" ht="18.75">
      <c r="A1" s="73" t="s">
        <v>70</v>
      </c>
      <c r="C1" s="75"/>
      <c r="D1" s="152"/>
      <c r="E1" s="152"/>
    </row>
    <row r="2" spans="1:5" s="74" customFormat="1" ht="18.75">
      <c r="A2" s="73" t="s">
        <v>69</v>
      </c>
      <c r="C2" s="76"/>
      <c r="D2" s="153"/>
      <c r="E2" s="153"/>
    </row>
    <row r="3" spans="1:5" s="74" customFormat="1" ht="12.75">
      <c r="A3" s="77" t="s">
        <v>71</v>
      </c>
      <c r="B3" s="77" t="s">
        <v>72</v>
      </c>
      <c r="C3" s="77" t="s">
        <v>73</v>
      </c>
      <c r="D3" s="154"/>
      <c r="E3" s="154"/>
    </row>
    <row r="4" spans="1:11" ht="31.5" customHeight="1" thickBot="1">
      <c r="A4" s="78" t="s">
        <v>74</v>
      </c>
      <c r="B4" s="8" t="s">
        <v>74</v>
      </c>
      <c r="C4" s="8" t="s">
        <v>74</v>
      </c>
      <c r="D4" s="79">
        <v>2020</v>
      </c>
      <c r="E4" s="79">
        <v>2021</v>
      </c>
      <c r="F4" s="79"/>
      <c r="G4" s="79"/>
      <c r="H4" s="79"/>
      <c r="I4" s="79"/>
      <c r="J4" s="79"/>
      <c r="K4" s="79"/>
    </row>
    <row r="5" spans="1:5" ht="12.75">
      <c r="A5" s="80" t="s">
        <v>0</v>
      </c>
      <c r="B5" s="81" t="s">
        <v>1</v>
      </c>
      <c r="C5" s="82" t="s">
        <v>2</v>
      </c>
      <c r="D5" s="84">
        <f>+'IPR Data'!C4/1000-'IPR Data'!C67/1000</f>
        <v>262470.836</v>
      </c>
      <c r="E5" s="84">
        <f>+'IPR Data'!D4/1000-'IPR Data'!D67/1000</f>
        <v>319461.597</v>
      </c>
    </row>
    <row r="6" spans="1:5" ht="12.75">
      <c r="A6" s="78" t="s">
        <v>0</v>
      </c>
      <c r="B6" s="83" t="s">
        <v>1</v>
      </c>
      <c r="C6" s="1" t="s">
        <v>3</v>
      </c>
      <c r="D6" s="84">
        <f>+'IPR Data'!C5/1000</f>
        <v>153609</v>
      </c>
      <c r="E6" s="84">
        <f>+'IPR Data'!D5/1000</f>
        <v>151623</v>
      </c>
    </row>
    <row r="7" spans="1:5" ht="12.75">
      <c r="A7" s="78" t="s">
        <v>0</v>
      </c>
      <c r="B7" s="83" t="s">
        <v>1</v>
      </c>
      <c r="C7" s="1" t="s">
        <v>4</v>
      </c>
      <c r="D7" s="84">
        <f>+'IPR Data'!C6/1000</f>
        <v>252557</v>
      </c>
      <c r="E7" s="84">
        <f>+'IPR Data'!D6/1000</f>
        <v>252557</v>
      </c>
    </row>
    <row r="8" spans="1:5" ht="12.75">
      <c r="A8" s="78" t="s">
        <v>0</v>
      </c>
      <c r="B8" s="83" t="s">
        <v>1</v>
      </c>
      <c r="C8" s="1" t="s">
        <v>5</v>
      </c>
      <c r="D8" s="84">
        <f>+'IPR Data'!C9/1000</f>
        <v>5300</v>
      </c>
      <c r="E8" s="84">
        <f>+'IPR Data'!D9/1000</f>
        <v>5300</v>
      </c>
    </row>
    <row r="9" spans="1:5" ht="12.75">
      <c r="A9" s="78" t="s">
        <v>0</v>
      </c>
      <c r="B9" s="83" t="s">
        <v>1</v>
      </c>
      <c r="C9" s="1" t="s">
        <v>6</v>
      </c>
      <c r="D9" s="84">
        <f>+'IPR Data'!C8/1000</f>
        <v>5448</v>
      </c>
      <c r="E9" s="84">
        <f>+'IPR Data'!D8/1000</f>
        <v>5948</v>
      </c>
    </row>
    <row r="10" spans="1:5" ht="12.75">
      <c r="A10" s="78" t="s">
        <v>0</v>
      </c>
      <c r="B10" s="83" t="s">
        <v>1</v>
      </c>
      <c r="C10" s="1" t="s">
        <v>7</v>
      </c>
      <c r="D10" s="84"/>
      <c r="E10" s="84"/>
    </row>
    <row r="11" spans="1:5" ht="12.75">
      <c r="A11" s="78" t="s">
        <v>0</v>
      </c>
      <c r="B11" s="83" t="s">
        <v>1</v>
      </c>
      <c r="C11" s="1" t="s">
        <v>8</v>
      </c>
      <c r="D11" s="84">
        <f>+'IPR Data'!C12/1000</f>
        <v>1332</v>
      </c>
      <c r="E11" s="84">
        <f>+'IPR Data'!D12/1000</f>
        <v>1370</v>
      </c>
    </row>
    <row r="12" spans="1:5" ht="12.75">
      <c r="A12" s="78" t="s">
        <v>0</v>
      </c>
      <c r="B12" s="83" t="s">
        <v>1</v>
      </c>
      <c r="C12" s="1" t="s">
        <v>75</v>
      </c>
      <c r="D12" s="84">
        <f>+'IPR Data'!C11/1000</f>
        <v>628.602</v>
      </c>
      <c r="E12" s="84">
        <f>+'IPR Data'!D11/1000</f>
        <v>632</v>
      </c>
    </row>
    <row r="13" spans="1:5" ht="12.75">
      <c r="A13" s="78" t="s">
        <v>0</v>
      </c>
      <c r="B13" s="83" t="s">
        <v>9</v>
      </c>
      <c r="C13" s="1" t="s">
        <v>76</v>
      </c>
      <c r="D13" s="84">
        <f>+'IPR Data'!C14/1000</f>
        <v>22997</v>
      </c>
      <c r="E13" s="84">
        <f>+'IPR Data'!D14/1000</f>
        <v>22997</v>
      </c>
    </row>
    <row r="14" spans="1:5" ht="12.75">
      <c r="A14" s="78" t="s">
        <v>0</v>
      </c>
      <c r="B14" s="83" t="s">
        <v>10</v>
      </c>
      <c r="C14" s="1" t="s">
        <v>11</v>
      </c>
      <c r="D14" s="84">
        <f>+'IPR Data'!C15/1000</f>
        <v>1200</v>
      </c>
      <c r="E14" s="84">
        <f>+'IPR Data'!D15/1000</f>
        <v>1200</v>
      </c>
    </row>
    <row r="15" spans="1:5" ht="12.75">
      <c r="A15" s="78" t="s">
        <v>0</v>
      </c>
      <c r="B15" s="83" t="s">
        <v>10</v>
      </c>
      <c r="C15" s="1" t="s">
        <v>12</v>
      </c>
      <c r="D15" s="84">
        <f>+'IPR Data'!C16/1000</f>
        <v>431</v>
      </c>
      <c r="E15" s="84">
        <f>+'IPR Data'!D16/1000</f>
        <v>331</v>
      </c>
    </row>
    <row r="16" spans="1:5" ht="12.75">
      <c r="A16" s="78" t="s">
        <v>0</v>
      </c>
      <c r="B16" s="83" t="s">
        <v>13</v>
      </c>
      <c r="C16" s="1" t="s">
        <v>77</v>
      </c>
      <c r="D16" s="84">
        <f>+'IPR Data'!C20/1000</f>
        <v>3100</v>
      </c>
      <c r="E16" s="84">
        <f>+'IPR Data'!D20/1000</f>
        <v>3100</v>
      </c>
    </row>
    <row r="17" spans="1:5" ht="12.75">
      <c r="A17" s="78" t="s">
        <v>0</v>
      </c>
      <c r="B17" s="83" t="s">
        <v>13</v>
      </c>
      <c r="C17" s="1" t="s">
        <v>78</v>
      </c>
      <c r="D17" s="84">
        <f>+'Modeling results'!B22</f>
        <v>10048.115</v>
      </c>
      <c r="E17" s="84">
        <f>+'Modeling results'!C22</f>
        <v>10158.135</v>
      </c>
    </row>
    <row r="18" spans="1:5" ht="12.75">
      <c r="A18" s="78" t="s">
        <v>0</v>
      </c>
      <c r="B18" s="83" t="s">
        <v>13</v>
      </c>
      <c r="C18" s="1" t="s">
        <v>14</v>
      </c>
      <c r="D18" s="84">
        <f>+'Modeling results'!B13</f>
        <v>0</v>
      </c>
      <c r="E18" s="84">
        <f>+'Modeling results'!C13</f>
        <v>0</v>
      </c>
    </row>
    <row r="19" spans="1:5" ht="12.75">
      <c r="A19" s="78" t="s">
        <v>0</v>
      </c>
      <c r="B19" s="83" t="s">
        <v>13</v>
      </c>
      <c r="C19" s="1" t="s">
        <v>79</v>
      </c>
      <c r="D19" s="84">
        <f>+'Modeling results'!B12+'Modeling results'!B14</f>
        <v>82909.88077867283</v>
      </c>
      <c r="E19" s="84">
        <f>+'Modeling results'!C12+'Modeling results'!C14</f>
        <v>70876.92303373668</v>
      </c>
    </row>
    <row r="20" spans="1:5" ht="12.75">
      <c r="A20" s="78" t="s">
        <v>0</v>
      </c>
      <c r="B20" s="83" t="s">
        <v>13</v>
      </c>
      <c r="C20" s="1" t="s">
        <v>15</v>
      </c>
      <c r="D20" s="262"/>
      <c r="E20" s="84"/>
    </row>
    <row r="21" spans="1:5" ht="12.75">
      <c r="A21" s="78" t="s">
        <v>0</v>
      </c>
      <c r="B21" s="83" t="s">
        <v>16</v>
      </c>
      <c r="C21" s="1" t="s">
        <v>80</v>
      </c>
      <c r="D21" s="84">
        <f>+'Modeling results'!B8</f>
        <v>249767.00051788118</v>
      </c>
      <c r="E21" s="84">
        <f>+'Modeling results'!C8</f>
        <v>249746.61916842868</v>
      </c>
    </row>
    <row r="22" spans="1:5" ht="12.75">
      <c r="A22" s="78" t="s">
        <v>0</v>
      </c>
      <c r="B22" s="83" t="s">
        <v>16</v>
      </c>
      <c r="C22" s="1" t="s">
        <v>81</v>
      </c>
      <c r="D22" s="84">
        <v>0</v>
      </c>
      <c r="E22" s="84">
        <v>0</v>
      </c>
    </row>
    <row r="23" spans="1:5" ht="12.75">
      <c r="A23" s="78" t="s">
        <v>0</v>
      </c>
      <c r="B23" s="83" t="s">
        <v>16</v>
      </c>
      <c r="C23" s="1" t="s">
        <v>82</v>
      </c>
      <c r="D23" s="84">
        <v>0</v>
      </c>
      <c r="E23" s="84">
        <v>0</v>
      </c>
    </row>
    <row r="24" spans="1:5" ht="12.75">
      <c r="A24" s="78" t="s">
        <v>0</v>
      </c>
      <c r="B24" s="83" t="s">
        <v>16</v>
      </c>
      <c r="C24" s="1" t="s">
        <v>17</v>
      </c>
      <c r="D24" s="84">
        <f>+('REP staff costs'!F8+'REP staff costs'!F7)/1000</f>
        <v>803.078</v>
      </c>
      <c r="E24" s="84">
        <f>+('REP staff costs'!G8+'REP staff costs'!G7)/1000</f>
        <v>624.23</v>
      </c>
    </row>
    <row r="25" spans="1:5" s="20" customFormat="1" ht="12.75">
      <c r="A25" s="85" t="s">
        <v>0</v>
      </c>
      <c r="B25" s="86" t="s">
        <v>16</v>
      </c>
      <c r="C25" s="87" t="s">
        <v>131</v>
      </c>
      <c r="D25" s="84">
        <v>0</v>
      </c>
      <c r="E25" s="84">
        <f>+D25</f>
        <v>0</v>
      </c>
    </row>
    <row r="26" spans="1:5" ht="12.75">
      <c r="A26" s="78" t="s">
        <v>0</v>
      </c>
      <c r="B26" s="83" t="s">
        <v>18</v>
      </c>
      <c r="C26" s="1" t="s">
        <v>83</v>
      </c>
      <c r="D26" s="84">
        <f>+'IPR Data'!C49/1000*'R&amp;D split'!$E$6</f>
        <v>0</v>
      </c>
      <c r="E26" s="84">
        <f>+'IPR Data'!D49/1000*'R&amp;D split'!$E$6</f>
        <v>0</v>
      </c>
    </row>
    <row r="27" spans="1:5" ht="12.75">
      <c r="A27" s="78" t="s">
        <v>0</v>
      </c>
      <c r="B27" s="83" t="s">
        <v>18</v>
      </c>
      <c r="C27" s="1" t="s">
        <v>84</v>
      </c>
      <c r="D27" s="84">
        <f>+'IPR Data'!C24/1000-'Modeling results'!B22</f>
        <v>26474.885000000002</v>
      </c>
      <c r="E27" s="84">
        <f>+'IPR Data'!D24/1000-'Modeling results'!C22</f>
        <v>24710.864999999998</v>
      </c>
    </row>
    <row r="28" spans="1:5" ht="12.75">
      <c r="A28" s="78" t="s">
        <v>0</v>
      </c>
      <c r="B28" s="83" t="s">
        <v>18</v>
      </c>
      <c r="C28" s="4" t="s">
        <v>570</v>
      </c>
      <c r="D28" s="84">
        <f>+'IPR Data'!C25/1000</f>
        <v>27295.703</v>
      </c>
      <c r="E28" s="84">
        <f>+'IPR Data'!D25/1000</f>
        <v>27295.703</v>
      </c>
    </row>
    <row r="29" spans="1:5" ht="12.75">
      <c r="A29" s="78" t="s">
        <v>0</v>
      </c>
      <c r="B29" s="83" t="s">
        <v>18</v>
      </c>
      <c r="C29" s="1" t="s">
        <v>19</v>
      </c>
      <c r="D29" s="84">
        <f>+'IPR Data'!C49/1000*'R&amp;D split'!$D$7</f>
        <v>1653.9320414201186</v>
      </c>
      <c r="E29" s="84">
        <f>+'IPR Data'!D49/1000*'R&amp;D split'!$E$7</f>
        <v>1656.5154142011836</v>
      </c>
    </row>
    <row r="30" spans="1:5" ht="12.75">
      <c r="A30" s="78" t="s">
        <v>0</v>
      </c>
      <c r="B30" s="83" t="s">
        <v>18</v>
      </c>
      <c r="C30" s="1" t="s">
        <v>415</v>
      </c>
      <c r="D30" s="84">
        <f>+'IPR Data'!C31/1000</f>
        <v>855</v>
      </c>
      <c r="E30" s="84">
        <f>+'IPR Data'!D31/1000</f>
        <v>855</v>
      </c>
    </row>
    <row r="31" spans="1:5" ht="12.75">
      <c r="A31" s="78" t="s">
        <v>0</v>
      </c>
      <c r="B31" s="83" t="s">
        <v>18</v>
      </c>
      <c r="C31" s="1" t="s">
        <v>20</v>
      </c>
      <c r="D31" s="84">
        <f>+'IPR Data'!C30/1000</f>
        <v>67000</v>
      </c>
      <c r="E31" s="84">
        <f>+'IPR Data'!D30/1000</f>
        <v>67000</v>
      </c>
    </row>
    <row r="32" spans="1:5" ht="12.75">
      <c r="A32" s="78" t="s">
        <v>0</v>
      </c>
      <c r="B32" s="83" t="s">
        <v>18</v>
      </c>
      <c r="C32" s="1" t="s">
        <v>85</v>
      </c>
      <c r="D32" s="84">
        <f>+'IPR Data'!C29/1000</f>
        <v>5739</v>
      </c>
      <c r="E32" s="84">
        <f>+'IPR Data'!D29/1000</f>
        <v>5853</v>
      </c>
    </row>
    <row r="33" spans="1:5" ht="12.75">
      <c r="A33" s="78" t="s">
        <v>0</v>
      </c>
      <c r="B33" s="83" t="s">
        <v>18</v>
      </c>
      <c r="C33" s="1" t="s">
        <v>86</v>
      </c>
      <c r="D33" s="84">
        <f>+'IPR Data'!C28/1000</f>
        <v>8000</v>
      </c>
      <c r="E33" s="84">
        <f>+'IPR Data'!D28/1000</f>
        <v>8000</v>
      </c>
    </row>
    <row r="34" spans="1:5" ht="12.75">
      <c r="A34" s="78" t="s">
        <v>0</v>
      </c>
      <c r="B34" s="83" t="s">
        <v>18</v>
      </c>
      <c r="C34" s="1" t="s">
        <v>21</v>
      </c>
      <c r="D34" s="84">
        <f>+'IPR Data'!C26/1000</f>
        <v>590</v>
      </c>
      <c r="E34" s="84">
        <f>+'IPR Data'!D26/1000</f>
        <v>590</v>
      </c>
    </row>
    <row r="35" spans="1:5" ht="12.75">
      <c r="A35" s="78" t="s">
        <v>0</v>
      </c>
      <c r="B35" s="83" t="s">
        <v>18</v>
      </c>
      <c r="C35" s="1" t="s">
        <v>22</v>
      </c>
      <c r="D35" s="84">
        <f>+'IPR Data'!C27/1000</f>
        <v>12050</v>
      </c>
      <c r="E35" s="84">
        <f>+'IPR Data'!D27/1000</f>
        <v>12050</v>
      </c>
    </row>
    <row r="36" spans="1:5" ht="12.75">
      <c r="A36" s="78" t="s">
        <v>0</v>
      </c>
      <c r="B36" s="83" t="s">
        <v>18</v>
      </c>
      <c r="C36" s="4" t="s">
        <v>571</v>
      </c>
      <c r="D36" s="84">
        <v>0</v>
      </c>
      <c r="E36" s="84">
        <v>0</v>
      </c>
    </row>
    <row r="37" spans="1:5" ht="12.75">
      <c r="A37" s="78" t="s">
        <v>0</v>
      </c>
      <c r="B37" s="83" t="s">
        <v>18</v>
      </c>
      <c r="C37" s="4" t="s">
        <v>572</v>
      </c>
      <c r="D37" s="84">
        <v>0</v>
      </c>
      <c r="E37" s="84">
        <v>0</v>
      </c>
    </row>
    <row r="38" spans="1:5" ht="12.75">
      <c r="A38" s="78" t="s">
        <v>0</v>
      </c>
      <c r="B38" s="83" t="s">
        <v>23</v>
      </c>
      <c r="C38" s="1" t="s">
        <v>87</v>
      </c>
      <c r="D38" s="84">
        <f>+'Modeling results'!B17</f>
        <v>77499.51699999999</v>
      </c>
      <c r="E38" s="84">
        <f>+'Modeling results'!C17</f>
        <v>73024.51699999999</v>
      </c>
    </row>
    <row r="39" spans="1:5" ht="12.75">
      <c r="A39" s="78" t="s">
        <v>0</v>
      </c>
      <c r="B39" s="83" t="s">
        <v>23</v>
      </c>
      <c r="C39" s="1" t="s">
        <v>88</v>
      </c>
      <c r="D39" s="84">
        <f>+'Modeling results'!B18</f>
        <v>32028.483</v>
      </c>
      <c r="E39" s="84">
        <f>+'Modeling results'!C18</f>
        <v>32028.483</v>
      </c>
    </row>
    <row r="40" spans="1:5" ht="12.75">
      <c r="A40" s="78" t="s">
        <v>0</v>
      </c>
      <c r="B40" s="83" t="s">
        <v>23</v>
      </c>
      <c r="C40" s="1" t="s">
        <v>24</v>
      </c>
      <c r="D40" s="84">
        <v>96200</v>
      </c>
      <c r="E40" s="84">
        <v>96200</v>
      </c>
    </row>
    <row r="41" spans="1:5" ht="12.75">
      <c r="A41" s="78" t="s">
        <v>0</v>
      </c>
      <c r="B41" s="83" t="s">
        <v>23</v>
      </c>
      <c r="C41" s="1" t="s">
        <v>89</v>
      </c>
      <c r="D41" s="84">
        <f>+'IPR Data'!C38/1000</f>
        <v>2338</v>
      </c>
      <c r="E41" s="84">
        <f>+'IPR Data'!D38/1000</f>
        <v>2384</v>
      </c>
    </row>
    <row r="42" spans="1:5" ht="12.75">
      <c r="A42" s="78" t="s">
        <v>0</v>
      </c>
      <c r="B42" s="83" t="s">
        <v>23</v>
      </c>
      <c r="C42" s="1" t="s">
        <v>90</v>
      </c>
      <c r="D42" s="84">
        <f>+'Modeling results'!B28</f>
        <v>13577</v>
      </c>
      <c r="E42" s="84">
        <f>+'Modeling results'!C28</f>
        <v>13671</v>
      </c>
    </row>
    <row r="43" spans="1:5" ht="12.75">
      <c r="A43" s="78" t="s">
        <v>0</v>
      </c>
      <c r="B43" s="83" t="s">
        <v>23</v>
      </c>
      <c r="C43" s="1" t="s">
        <v>91</v>
      </c>
      <c r="D43" s="84">
        <v>0</v>
      </c>
      <c r="E43" s="84">
        <v>0</v>
      </c>
    </row>
    <row r="44" spans="1:5" ht="12.75">
      <c r="A44" s="78" t="s">
        <v>25</v>
      </c>
      <c r="B44" s="83" t="s">
        <v>26</v>
      </c>
      <c r="C44" s="1" t="s">
        <v>27</v>
      </c>
      <c r="D44" s="84">
        <v>0</v>
      </c>
      <c r="E44" s="84">
        <v>0</v>
      </c>
    </row>
    <row r="45" spans="1:5" ht="12.75">
      <c r="A45" s="78" t="s">
        <v>25</v>
      </c>
      <c r="B45" s="83" t="s">
        <v>26</v>
      </c>
      <c r="C45" s="1" t="s">
        <v>28</v>
      </c>
      <c r="D45" s="84">
        <f>+'IPR Data'!C48/1000</f>
        <v>6713.765</v>
      </c>
      <c r="E45" s="84">
        <f>+'IPR Data'!D48/1000</f>
        <v>6774.983</v>
      </c>
    </row>
    <row r="46" spans="1:5" ht="12.75">
      <c r="A46" s="78" t="s">
        <v>25</v>
      </c>
      <c r="B46" s="83" t="s">
        <v>26</v>
      </c>
      <c r="C46" s="1" t="s">
        <v>92</v>
      </c>
      <c r="D46" s="84">
        <f>+'IPR Data'!C41/1000</f>
        <v>6059.444</v>
      </c>
      <c r="E46" s="84">
        <f>+'IPR Data'!D41/1000</f>
        <v>6204.974</v>
      </c>
    </row>
    <row r="47" spans="1:5" ht="12.75">
      <c r="A47" s="78" t="s">
        <v>25</v>
      </c>
      <c r="B47" s="83" t="s">
        <v>26</v>
      </c>
      <c r="C47" s="1" t="s">
        <v>93</v>
      </c>
      <c r="D47" s="84">
        <v>0</v>
      </c>
      <c r="E47" s="84">
        <v>0</v>
      </c>
    </row>
    <row r="48" spans="1:5" ht="12.75">
      <c r="A48" s="78" t="s">
        <v>25</v>
      </c>
      <c r="B48" s="83" t="s">
        <v>26</v>
      </c>
      <c r="C48" s="1" t="s">
        <v>29</v>
      </c>
      <c r="D48" s="84">
        <f>+'IPR Data'!C44/1000</f>
        <v>555.351</v>
      </c>
      <c r="E48" s="84">
        <f>+'IPR Data'!D44/1000</f>
        <v>575.111</v>
      </c>
    </row>
    <row r="49" spans="1:5" ht="12.75">
      <c r="A49" s="78" t="s">
        <v>25</v>
      </c>
      <c r="B49" s="83" t="s">
        <v>30</v>
      </c>
      <c r="C49" s="1" t="s">
        <v>31</v>
      </c>
      <c r="D49" s="84">
        <f>+'IPR Data'!C42/1000</f>
        <v>8806.398</v>
      </c>
      <c r="E49" s="84">
        <f>+'IPR Data'!D42/1000</f>
        <v>9148.009</v>
      </c>
    </row>
    <row r="50" spans="1:5" ht="12.75">
      <c r="A50" s="78" t="s">
        <v>25</v>
      </c>
      <c r="B50" s="83" t="s">
        <v>30</v>
      </c>
      <c r="C50" s="1" t="s">
        <v>32</v>
      </c>
      <c r="D50" s="84">
        <f>+'IPR Data'!C43/1000</f>
        <v>5642.557</v>
      </c>
      <c r="E50" s="84">
        <f>+'IPR Data'!D43/1000</f>
        <v>5839.369</v>
      </c>
    </row>
    <row r="51" spans="1:5" ht="12.75">
      <c r="A51" s="78" t="s">
        <v>25</v>
      </c>
      <c r="B51" s="83" t="s">
        <v>33</v>
      </c>
      <c r="C51" s="1" t="s">
        <v>94</v>
      </c>
      <c r="D51" s="84">
        <f>+'IPR Data'!C45/1000</f>
        <v>23191.279</v>
      </c>
      <c r="E51" s="84">
        <f>+'IPR Data'!D45/1000</f>
        <v>23954.175</v>
      </c>
    </row>
    <row r="52" spans="1:5" ht="12.75">
      <c r="A52" s="78" t="s">
        <v>25</v>
      </c>
      <c r="B52" s="83" t="s">
        <v>33</v>
      </c>
      <c r="C52" s="1" t="s">
        <v>34</v>
      </c>
      <c r="D52" s="84">
        <f>+'IPR Data'!C46/1000-'REP staff costs'!F7/1000</f>
        <v>11977.967</v>
      </c>
      <c r="E52" s="84">
        <f>+'IPR Data'!D46/1000-'REP staff costs'!G7/1000</f>
        <v>12344.564</v>
      </c>
    </row>
    <row r="53" spans="1:5" ht="12.75">
      <c r="A53" s="78" t="s">
        <v>25</v>
      </c>
      <c r="B53" s="83" t="s">
        <v>33</v>
      </c>
      <c r="C53" s="1" t="s">
        <v>95</v>
      </c>
      <c r="D53" s="84">
        <f>+'IPR Data'!C47/1000-'REP staff costs'!F8/1000</f>
        <v>3879.2709999999997</v>
      </c>
      <c r="E53" s="84">
        <f>+'IPR Data'!D47/1000-'REP staff costs'!G8/1000</f>
        <v>3966.843</v>
      </c>
    </row>
    <row r="54" spans="1:5" ht="12.75">
      <c r="A54" s="78" t="s">
        <v>25</v>
      </c>
      <c r="B54" s="83" t="s">
        <v>33</v>
      </c>
      <c r="C54" s="1" t="s">
        <v>35</v>
      </c>
      <c r="D54" s="84">
        <f>+'IPR Data'!C40/1000</f>
        <v>8399.412</v>
      </c>
      <c r="E54" s="84">
        <f>+'IPR Data'!D40/1000</f>
        <v>8698.975</v>
      </c>
    </row>
    <row r="55" spans="1:5" ht="12.75">
      <c r="A55" s="78" t="s">
        <v>25</v>
      </c>
      <c r="B55" s="83" t="s">
        <v>581</v>
      </c>
      <c r="C55" s="1" t="s">
        <v>581</v>
      </c>
      <c r="D55" s="84">
        <f>+'IPR Data'!C49/1000-'cost table'!D29</f>
        <v>1008.1109585798815</v>
      </c>
      <c r="E55" s="84">
        <f>+'IPR Data'!D49/1000-'cost table'!E29</f>
        <v>1009.6855857988164</v>
      </c>
    </row>
    <row r="56" spans="1:5" ht="12.75">
      <c r="A56" s="78" t="s">
        <v>25</v>
      </c>
      <c r="B56" s="83" t="s">
        <v>33</v>
      </c>
      <c r="C56" s="1" t="s">
        <v>573</v>
      </c>
      <c r="D56" s="84">
        <f>+'IPR Data'!C50/1000</f>
        <v>0</v>
      </c>
      <c r="E56" s="84">
        <f>+'IPR Data'!D50/1000</f>
        <v>0</v>
      </c>
    </row>
    <row r="57" spans="1:5" ht="12.75">
      <c r="A57" s="78" t="s">
        <v>25</v>
      </c>
      <c r="B57" s="83" t="s">
        <v>33</v>
      </c>
      <c r="C57" s="1" t="s">
        <v>574</v>
      </c>
      <c r="D57" s="84">
        <f>+'IPR Data'!C51/1000</f>
        <v>0</v>
      </c>
      <c r="E57" s="84">
        <f>+'IPR Data'!D51/1000</f>
        <v>0</v>
      </c>
    </row>
    <row r="58" spans="1:5" ht="12.75">
      <c r="A58" s="78" t="s">
        <v>25</v>
      </c>
      <c r="B58" s="83" t="s">
        <v>33</v>
      </c>
      <c r="C58" s="1" t="s">
        <v>575</v>
      </c>
      <c r="D58" s="84">
        <f>+'IPR Data'!C52/1000</f>
        <v>4125</v>
      </c>
      <c r="E58" s="84">
        <f>+'IPR Data'!D52/1000</f>
        <v>4125</v>
      </c>
    </row>
    <row r="59" spans="1:5" ht="12.75">
      <c r="A59" s="78" t="s">
        <v>25</v>
      </c>
      <c r="B59" s="83" t="s">
        <v>36</v>
      </c>
      <c r="C59" s="1" t="s">
        <v>96</v>
      </c>
      <c r="D59" s="84">
        <f>+'IPR Data'!C56/1000</f>
        <v>249602.988</v>
      </c>
      <c r="E59" s="84">
        <f>+'IPR Data'!D56/1000</f>
        <v>250031.22</v>
      </c>
    </row>
    <row r="60" spans="1:5" ht="12.75">
      <c r="A60" s="78" t="s">
        <v>25</v>
      </c>
      <c r="B60" s="83" t="s">
        <v>36</v>
      </c>
      <c r="C60" s="1" t="s">
        <v>37</v>
      </c>
      <c r="D60" s="84">
        <f>+'IPR Data'!C54/1000</f>
        <v>30483.249</v>
      </c>
      <c r="E60" s="84">
        <f>+'IPR Data'!D54/1000</f>
        <v>30483.249</v>
      </c>
    </row>
    <row r="61" spans="1:5" ht="12.75">
      <c r="A61" s="78" t="s">
        <v>25</v>
      </c>
      <c r="B61" s="83" t="s">
        <v>36</v>
      </c>
      <c r="C61" s="1" t="s">
        <v>38</v>
      </c>
      <c r="D61" s="84">
        <f>+'IPR Data'!C55/1000</f>
        <v>11725</v>
      </c>
      <c r="E61" s="84">
        <f>+'IPR Data'!D55/1000</f>
        <v>11956</v>
      </c>
    </row>
    <row r="62" spans="1:5" ht="12.75">
      <c r="A62" s="78" t="s">
        <v>25</v>
      </c>
      <c r="B62" s="83" t="s">
        <v>36</v>
      </c>
      <c r="C62" s="1" t="s">
        <v>39</v>
      </c>
      <c r="D62" s="84">
        <v>0</v>
      </c>
      <c r="E62" s="84">
        <v>0</v>
      </c>
    </row>
    <row r="63" spans="1:5" ht="12.75">
      <c r="A63" s="78" t="s">
        <v>25</v>
      </c>
      <c r="B63" s="83" t="s">
        <v>40</v>
      </c>
      <c r="C63" s="1" t="s">
        <v>41</v>
      </c>
      <c r="D63" s="84">
        <f>+'IPR Data'!C58/1000</f>
        <v>19576.718</v>
      </c>
      <c r="E63" s="84">
        <f>+'IPR Data'!D58/1000</f>
        <v>20830.898</v>
      </c>
    </row>
    <row r="64" spans="1:5" s="4" customFormat="1" ht="12.75">
      <c r="A64" s="89" t="s">
        <v>25</v>
      </c>
      <c r="B64" s="83" t="s">
        <v>40</v>
      </c>
      <c r="C64" s="1" t="s">
        <v>97</v>
      </c>
      <c r="D64" s="84">
        <f>+'IPR Data'!C59/1000-'cost table'!D66</f>
        <v>37099.20561766512</v>
      </c>
      <c r="E64" s="84">
        <f>+'IPR Data'!D59/1000-'cost table'!E66</f>
        <v>36877.49920778937</v>
      </c>
    </row>
    <row r="65" spans="1:5" s="4" customFormat="1" ht="12.75">
      <c r="A65" s="89" t="s">
        <v>25</v>
      </c>
      <c r="B65" s="83" t="s">
        <v>40</v>
      </c>
      <c r="C65" s="1" t="s">
        <v>577</v>
      </c>
      <c r="D65" s="84">
        <f>+'IPR Data'!C60/1000</f>
        <v>10827.911</v>
      </c>
      <c r="E65" s="84">
        <f>+'IPR Data'!D60/1000</f>
        <v>10850.217</v>
      </c>
    </row>
    <row r="66" spans="1:5" ht="12.75">
      <c r="A66" s="78" t="s">
        <v>25</v>
      </c>
      <c r="B66" s="83" t="s">
        <v>40</v>
      </c>
      <c r="C66" s="1" t="s">
        <v>98</v>
      </c>
      <c r="D66" s="84">
        <f>+'IPR Data'!C61/1000*'EE staffing split'!D15</f>
        <v>9931.90938233488</v>
      </c>
      <c r="E66" s="84">
        <f>+'IPR Data'!D61/1000*'EE staffing split'!$E$15</f>
        <v>9916.287792210629</v>
      </c>
    </row>
    <row r="67" spans="1:5" ht="12.75">
      <c r="A67" s="78" t="s">
        <v>25</v>
      </c>
      <c r="B67" s="83" t="s">
        <v>42</v>
      </c>
      <c r="C67" s="1" t="s">
        <v>43</v>
      </c>
      <c r="D67" s="263"/>
      <c r="E67" s="84"/>
    </row>
    <row r="68" spans="1:5" ht="12.75">
      <c r="A68" s="78" t="s">
        <v>25</v>
      </c>
      <c r="B68" s="83" t="s">
        <v>42</v>
      </c>
      <c r="C68" s="1" t="s">
        <v>44</v>
      </c>
      <c r="D68" s="263"/>
      <c r="E68" s="84"/>
    </row>
    <row r="69" spans="1:5" ht="12.75">
      <c r="A69" s="78" t="s">
        <v>25</v>
      </c>
      <c r="B69" s="83" t="s">
        <v>42</v>
      </c>
      <c r="C69" s="340" t="s">
        <v>630</v>
      </c>
      <c r="D69" s="84">
        <v>0</v>
      </c>
      <c r="E69" s="84">
        <v>-20000</v>
      </c>
    </row>
    <row r="70" spans="1:5" ht="12.75">
      <c r="A70" s="78" t="s">
        <v>45</v>
      </c>
      <c r="B70" s="83" t="s">
        <v>46</v>
      </c>
      <c r="C70" s="1" t="s">
        <v>47</v>
      </c>
      <c r="D70" s="84">
        <f>+Depreciation!E5</f>
        <v>10418.3877677</v>
      </c>
      <c r="E70" s="84">
        <f>+Depreciation!F5</f>
        <v>9244.9326017</v>
      </c>
    </row>
    <row r="71" spans="1:5" ht="12.75">
      <c r="A71" s="78" t="s">
        <v>45</v>
      </c>
      <c r="B71" s="83" t="s">
        <v>46</v>
      </c>
      <c r="C71" s="1" t="s">
        <v>48</v>
      </c>
      <c r="D71" s="84">
        <f>+Depreciation!E6</f>
        <v>100017</v>
      </c>
      <c r="E71" s="84">
        <f>+Depreciation!F6</f>
        <v>102628</v>
      </c>
    </row>
    <row r="72" spans="1:5" ht="12.75">
      <c r="A72" s="78" t="s">
        <v>45</v>
      </c>
      <c r="B72" s="83" t="s">
        <v>46</v>
      </c>
      <c r="C72" s="1" t="s">
        <v>49</v>
      </c>
      <c r="D72" s="84">
        <f>+Depreciation!E7</f>
        <v>28532.2</v>
      </c>
      <c r="E72" s="84">
        <f>+Depreciation!F7</f>
        <v>29177.2</v>
      </c>
    </row>
    <row r="73" spans="1:5" ht="12.75">
      <c r="A73" s="78" t="s">
        <v>45</v>
      </c>
      <c r="B73" s="83" t="s">
        <v>50</v>
      </c>
      <c r="C73" s="1" t="s">
        <v>51</v>
      </c>
      <c r="D73" s="84">
        <f>+Depreciation!E9</f>
        <v>17</v>
      </c>
      <c r="E73" s="84">
        <f>+Depreciation!F9</f>
        <v>0</v>
      </c>
    </row>
    <row r="74" spans="1:5" ht="12.75">
      <c r="A74" s="78" t="s">
        <v>45</v>
      </c>
      <c r="B74" s="83" t="s">
        <v>50</v>
      </c>
      <c r="C74" s="1" t="s">
        <v>52</v>
      </c>
      <c r="D74" s="84">
        <f>+Depreciation!E11</f>
        <v>42078.38428</v>
      </c>
      <c r="E74" s="84">
        <f>+Depreciation!F11</f>
        <v>42078.38487</v>
      </c>
    </row>
    <row r="75" spans="1:5" ht="12.75">
      <c r="A75" s="78" t="s">
        <v>45</v>
      </c>
      <c r="B75" s="83" t="s">
        <v>50</v>
      </c>
      <c r="C75" s="1" t="s">
        <v>99</v>
      </c>
      <c r="D75" s="84">
        <f>+Depreciation!E12</f>
        <v>11247</v>
      </c>
      <c r="E75" s="84">
        <f>+Depreciation!F12</f>
        <v>11466</v>
      </c>
    </row>
    <row r="76" spans="1:5" ht="12.75">
      <c r="A76" s="78" t="s">
        <v>45</v>
      </c>
      <c r="B76" s="83" t="s">
        <v>50</v>
      </c>
      <c r="C76" s="1" t="s">
        <v>580</v>
      </c>
      <c r="D76" s="84">
        <f>+Depreciation!E13</f>
        <v>34050.600000000006</v>
      </c>
      <c r="E76" s="84">
        <f>+Depreciation!F13</f>
        <v>36256.883066666676</v>
      </c>
    </row>
    <row r="77" spans="1:5" ht="12.75">
      <c r="A77" s="78" t="s">
        <v>45</v>
      </c>
      <c r="B77" s="83" t="s">
        <v>50</v>
      </c>
      <c r="C77" s="1" t="s">
        <v>631</v>
      </c>
      <c r="D77" s="84">
        <f>+Depreciation!E23</f>
        <v>149823.1174329897</v>
      </c>
      <c r="E77" s="84">
        <f>+Depreciation!F23</f>
        <v>150976.6658200865</v>
      </c>
    </row>
    <row r="78" spans="1:5" ht="12.75">
      <c r="A78" s="78" t="s">
        <v>45</v>
      </c>
      <c r="B78" s="83" t="s">
        <v>50</v>
      </c>
      <c r="C78" s="1" t="s">
        <v>687</v>
      </c>
      <c r="D78" s="84">
        <f>+Depreciation!E24</f>
        <v>34505.65979381443</v>
      </c>
      <c r="E78" s="84">
        <f>+Depreciation!F24</f>
        <v>34505.65979381443</v>
      </c>
    </row>
    <row r="79" spans="1:5" ht="12.75">
      <c r="A79" s="78" t="s">
        <v>45</v>
      </c>
      <c r="B79" s="83" t="s">
        <v>50</v>
      </c>
      <c r="C79" s="1" t="s">
        <v>688</v>
      </c>
      <c r="D79" s="84">
        <f>+Depreciation!E25</f>
        <v>42629.653087587634</v>
      </c>
      <c r="E79" s="84">
        <f>+Depreciation!F25</f>
        <v>42629.653087587634</v>
      </c>
    </row>
    <row r="80" spans="1:5" ht="12.75">
      <c r="A80" s="78" t="s">
        <v>45</v>
      </c>
      <c r="B80" s="83" t="s">
        <v>50</v>
      </c>
      <c r="C80" s="1" t="s">
        <v>633</v>
      </c>
      <c r="D80" s="84">
        <f>+Depreciation!E26</f>
        <v>5266.923076923077</v>
      </c>
      <c r="E80" s="84">
        <f>+Depreciation!F26</f>
        <v>5266.923076923077</v>
      </c>
    </row>
    <row r="81" spans="1:5" ht="12.75">
      <c r="A81" s="78" t="s">
        <v>45</v>
      </c>
      <c r="B81" s="83" t="s">
        <v>50</v>
      </c>
      <c r="C81" s="1" t="s">
        <v>632</v>
      </c>
      <c r="D81" s="84">
        <f>+Depreciation!E27</f>
        <v>1939.825</v>
      </c>
      <c r="E81" s="84">
        <f>+Depreciation!F27</f>
        <v>1939.825</v>
      </c>
    </row>
    <row r="82" spans="1:5" s="104" customFormat="1" ht="12.75">
      <c r="A82" s="302" t="s">
        <v>45</v>
      </c>
      <c r="B82" s="303" t="s">
        <v>50</v>
      </c>
      <c r="C82" s="304" t="s">
        <v>726</v>
      </c>
      <c r="D82" s="360">
        <f>+Depreciation!E28</f>
        <v>24030.945839485164</v>
      </c>
      <c r="E82" s="360">
        <f>+Depreciation!F28</f>
        <v>24030.945839485164</v>
      </c>
    </row>
    <row r="83" spans="1:5" s="104" customFormat="1" ht="12.75">
      <c r="A83" s="302" t="s">
        <v>45</v>
      </c>
      <c r="B83" s="303" t="s">
        <v>50</v>
      </c>
      <c r="C83" s="304" t="s">
        <v>725</v>
      </c>
      <c r="D83" s="360">
        <f>+Depreciation!E29</f>
        <v>33737.85096657003</v>
      </c>
      <c r="E83" s="360">
        <f>+Depreciation!F29</f>
        <v>35213.06382173961</v>
      </c>
    </row>
    <row r="84" spans="1:5" ht="12.75">
      <c r="A84" s="78" t="s">
        <v>53</v>
      </c>
      <c r="B84" s="83" t="s">
        <v>54</v>
      </c>
      <c r="C84" s="1" t="s">
        <v>55</v>
      </c>
      <c r="D84" s="84">
        <f>+'Federal Capital Costs'!D5</f>
        <v>44685</v>
      </c>
      <c r="E84" s="84">
        <f>+'Federal Capital Costs'!E5</f>
        <v>45908</v>
      </c>
    </row>
    <row r="85" spans="1:5" ht="12.75">
      <c r="A85" s="78" t="s">
        <v>53</v>
      </c>
      <c r="B85" s="83" t="s">
        <v>54</v>
      </c>
      <c r="C85" s="1" t="s">
        <v>56</v>
      </c>
      <c r="D85" s="84">
        <v>-45937</v>
      </c>
      <c r="E85" s="84">
        <f>+D85</f>
        <v>-45937</v>
      </c>
    </row>
    <row r="86" spans="1:5" ht="12.75">
      <c r="A86" s="78" t="s">
        <v>53</v>
      </c>
      <c r="B86" s="83" t="s">
        <v>54</v>
      </c>
      <c r="C86" s="1" t="s">
        <v>57</v>
      </c>
      <c r="D86" s="84">
        <f>+'Federal Capital Costs'!D4+'Federal Capital Costs'!D69</f>
        <v>61145.39170233593</v>
      </c>
      <c r="E86" s="84">
        <f>+'Federal Capital Costs'!E4+'Federal Capital Costs'!E69</f>
        <v>68928.33254568126</v>
      </c>
    </row>
    <row r="87" spans="1:5" ht="12.75">
      <c r="A87" s="78" t="s">
        <v>53</v>
      </c>
      <c r="B87" s="83" t="s">
        <v>54</v>
      </c>
      <c r="C87" s="1" t="s">
        <v>204</v>
      </c>
      <c r="D87" s="84">
        <f>+'Federal Capital Costs'!D6</f>
        <v>9826.374364535337</v>
      </c>
      <c r="E87" s="84">
        <f>+'Federal Capital Costs'!E6</f>
        <v>8862.537513691579</v>
      </c>
    </row>
    <row r="88" spans="1:5" ht="12.75">
      <c r="A88" s="78" t="s">
        <v>53</v>
      </c>
      <c r="B88" s="83" t="s">
        <v>54</v>
      </c>
      <c r="C88" s="1" t="s">
        <v>634</v>
      </c>
      <c r="D88" s="84">
        <f>+'Non-Federal DS'!H12</f>
        <v>147477.225</v>
      </c>
      <c r="E88" s="84">
        <f>+'Non-Federal DS'!I12</f>
        <v>72125.14499999996</v>
      </c>
    </row>
    <row r="89" spans="1:5" ht="12.75">
      <c r="A89" s="78" t="s">
        <v>53</v>
      </c>
      <c r="B89" s="83" t="s">
        <v>54</v>
      </c>
      <c r="C89" s="1" t="s">
        <v>684</v>
      </c>
      <c r="D89" s="84">
        <f>+'Non-Federal DS'!H7</f>
        <v>39345.843</v>
      </c>
      <c r="E89" s="84">
        <f>+'Non-Federal DS'!I7</f>
        <v>39611.847</v>
      </c>
    </row>
    <row r="90" spans="1:5" ht="12.75">
      <c r="A90" s="78" t="s">
        <v>53</v>
      </c>
      <c r="B90" s="83" t="s">
        <v>54</v>
      </c>
      <c r="C90" s="1" t="s">
        <v>683</v>
      </c>
      <c r="D90" s="84">
        <f>+'Non-Federal DS'!H13</f>
        <v>45270.172</v>
      </c>
      <c r="E90" s="84">
        <f>+'Non-Federal DS'!I13</f>
        <v>45572.633</v>
      </c>
    </row>
    <row r="91" spans="1:5" ht="12.75">
      <c r="A91" s="78" t="s">
        <v>53</v>
      </c>
      <c r="B91" s="83" t="s">
        <v>54</v>
      </c>
      <c r="C91" s="1" t="s">
        <v>635</v>
      </c>
      <c r="D91" s="84">
        <f>+'Non-Federal DS'!H14</f>
        <v>409.86</v>
      </c>
      <c r="E91" s="84">
        <f>+'Non-Federal DS'!I14</f>
        <v>355.343</v>
      </c>
    </row>
    <row r="92" spans="1:5" ht="12.75">
      <c r="A92" s="78" t="s">
        <v>53</v>
      </c>
      <c r="B92" s="83" t="s">
        <v>54</v>
      </c>
      <c r="C92" s="1" t="s">
        <v>636</v>
      </c>
      <c r="D92" s="84">
        <f>+'Non-Federal DS'!H15</f>
        <v>3471.076</v>
      </c>
      <c r="E92" s="84">
        <f>+'Non-Federal DS'!I15</f>
        <v>3279.6220000000008</v>
      </c>
    </row>
    <row r="93" spans="1:5" ht="12.75">
      <c r="A93" s="78" t="s">
        <v>53</v>
      </c>
      <c r="B93" s="83" t="s">
        <v>54</v>
      </c>
      <c r="C93" s="1" t="s">
        <v>696</v>
      </c>
      <c r="D93" s="84">
        <f>+'Federal Capital Costs'!D8</f>
        <v>13</v>
      </c>
      <c r="E93" s="84">
        <f>+'Federal Capital Costs'!E8</f>
        <v>10</v>
      </c>
    </row>
    <row r="94" spans="1:5" ht="12.75">
      <c r="A94" s="78" t="s">
        <v>53</v>
      </c>
      <c r="B94" s="83" t="s">
        <v>54</v>
      </c>
      <c r="C94" s="1" t="s">
        <v>119</v>
      </c>
      <c r="D94" s="84">
        <v>-15904</v>
      </c>
      <c r="E94" s="84">
        <v>-16493</v>
      </c>
    </row>
    <row r="95" spans="1:5" ht="12.75">
      <c r="A95" s="78" t="s">
        <v>53</v>
      </c>
      <c r="B95" s="83" t="s">
        <v>54</v>
      </c>
      <c r="C95" s="1" t="s">
        <v>58</v>
      </c>
      <c r="D95" s="84">
        <f>+'interest credit calculations'!C9</f>
        <v>-5279.366869019999</v>
      </c>
      <c r="E95" s="84">
        <f>+'interest credit calculations'!D9</f>
        <v>-5484.675580593</v>
      </c>
    </row>
    <row r="96" spans="1:5" ht="12.75">
      <c r="A96" s="78" t="s">
        <v>53</v>
      </c>
      <c r="B96" s="83" t="s">
        <v>54</v>
      </c>
      <c r="C96" s="1" t="s">
        <v>417</v>
      </c>
      <c r="D96" s="84">
        <f>+'interest credit calculations'!C11</f>
        <v>0</v>
      </c>
      <c r="E96" s="84">
        <f>+'interest credit calculations'!D11</f>
        <v>0</v>
      </c>
    </row>
    <row r="97" spans="1:5" ht="12.75">
      <c r="A97" s="78" t="s">
        <v>53</v>
      </c>
      <c r="B97" s="83" t="s">
        <v>54</v>
      </c>
      <c r="C97" s="1" t="s">
        <v>59</v>
      </c>
      <c r="D97" s="84">
        <f>+'interest credit calculations'!C12</f>
        <v>320.41086901999915</v>
      </c>
      <c r="E97" s="84">
        <f>+'interest credit calculations'!D12</f>
        <v>-1268.4898194070001</v>
      </c>
    </row>
    <row r="98" spans="1:5" s="104" customFormat="1" ht="12.75">
      <c r="A98" s="302" t="s">
        <v>53</v>
      </c>
      <c r="B98" s="303" t="s">
        <v>54</v>
      </c>
      <c r="C98" s="304" t="s">
        <v>728</v>
      </c>
      <c r="D98" s="360">
        <f>+'Income Statement Cash Flows'!E35</f>
        <v>-8817.805195211507</v>
      </c>
      <c r="E98" s="360">
        <f>+'Income Statement Cash Flows'!F35</f>
        <v>-9111.731626045908</v>
      </c>
    </row>
    <row r="99" spans="1:5" s="104" customFormat="1" ht="12.75">
      <c r="A99" s="302" t="s">
        <v>53</v>
      </c>
      <c r="B99" s="303" t="s">
        <v>54</v>
      </c>
      <c r="C99" s="304" t="s">
        <v>729</v>
      </c>
      <c r="D99" s="360">
        <f>+'Income Statement Cash Flows'!E36</f>
        <v>-5051.812480427976</v>
      </c>
      <c r="E99" s="360">
        <f>+'Income Statement Cash Flows'!F36</f>
        <v>-5220.205995451786</v>
      </c>
    </row>
    <row r="100" spans="1:5" ht="12.75">
      <c r="A100" s="78" t="s">
        <v>53</v>
      </c>
      <c r="B100" s="83" t="s">
        <v>60</v>
      </c>
      <c r="C100" s="1" t="s">
        <v>100</v>
      </c>
      <c r="D100" s="84">
        <f>+COSA!C12</f>
        <v>36975.81006687126</v>
      </c>
      <c r="E100" s="84">
        <f>+COSA!C58</f>
        <v>42205.70465937286</v>
      </c>
    </row>
    <row r="101" spans="1:5" ht="12.75">
      <c r="A101" s="78" t="s">
        <v>53</v>
      </c>
      <c r="B101" s="83" t="s">
        <v>60</v>
      </c>
      <c r="C101" s="1" t="s">
        <v>101</v>
      </c>
      <c r="D101" s="84">
        <f>+COSA!C13</f>
        <v>6131</v>
      </c>
      <c r="E101" s="84">
        <f>+COSA!C59</f>
        <v>7209</v>
      </c>
    </row>
    <row r="102" spans="1:5" ht="12.75">
      <c r="A102" s="78" t="s">
        <v>53</v>
      </c>
      <c r="B102" s="83" t="s">
        <v>60</v>
      </c>
      <c r="C102" s="1" t="s">
        <v>102</v>
      </c>
      <c r="D102" s="84">
        <f>+COSA!C30</f>
        <v>4854</v>
      </c>
      <c r="E102" s="84">
        <f>+COSA!C76</f>
        <v>4164</v>
      </c>
    </row>
    <row r="103" spans="1:5" ht="12.75">
      <c r="A103" s="78" t="s">
        <v>53</v>
      </c>
      <c r="B103" s="83" t="s">
        <v>60</v>
      </c>
      <c r="C103" s="1" t="s">
        <v>103</v>
      </c>
      <c r="D103" s="84">
        <f>+COSA!C33</f>
        <v>909</v>
      </c>
      <c r="E103" s="84">
        <f>+COSA!C79</f>
        <v>947</v>
      </c>
    </row>
    <row r="104" spans="1:5" ht="12.75">
      <c r="A104" s="78" t="s">
        <v>53</v>
      </c>
      <c r="B104" s="83" t="s">
        <v>61</v>
      </c>
      <c r="C104" s="1" t="s">
        <v>104</v>
      </c>
      <c r="D104" s="84">
        <f aca="true" t="shared" si="0" ref="D104:E105">+D100</f>
        <v>36975.81006687126</v>
      </c>
      <c r="E104" s="84">
        <f t="shared" si="0"/>
        <v>42205.70465937286</v>
      </c>
    </row>
    <row r="105" spans="1:5" ht="12.75">
      <c r="A105" s="78" t="s">
        <v>53</v>
      </c>
      <c r="B105" s="83" t="s">
        <v>61</v>
      </c>
      <c r="C105" s="1" t="s">
        <v>105</v>
      </c>
      <c r="D105" s="84">
        <f t="shared" si="0"/>
        <v>6131</v>
      </c>
      <c r="E105" s="84">
        <f t="shared" si="0"/>
        <v>7209</v>
      </c>
    </row>
    <row r="106" spans="1:5" ht="12.75">
      <c r="A106" s="78" t="s">
        <v>53</v>
      </c>
      <c r="B106" s="83" t="s">
        <v>61</v>
      </c>
      <c r="C106" s="1" t="s">
        <v>106</v>
      </c>
      <c r="D106" s="84">
        <f aca="true" t="shared" si="1" ref="D106:E106">+D102+D103</f>
        <v>5763</v>
      </c>
      <c r="E106" s="84">
        <f t="shared" si="1"/>
        <v>5111</v>
      </c>
    </row>
    <row r="107" spans="1:5" ht="12.75">
      <c r="A107" s="78" t="s">
        <v>62</v>
      </c>
      <c r="B107" s="83" t="s">
        <v>63</v>
      </c>
      <c r="C107" s="1" t="s">
        <v>107</v>
      </c>
      <c r="D107" s="84">
        <f>+'Federal Capital Costs'!D14</f>
        <v>173072</v>
      </c>
      <c r="E107" s="84">
        <f>+'Federal Capital Costs'!E14</f>
        <v>518065</v>
      </c>
    </row>
    <row r="108" spans="1:5" ht="12.75">
      <c r="A108" s="78" t="s">
        <v>62</v>
      </c>
      <c r="B108" s="83" t="s">
        <v>63</v>
      </c>
      <c r="C108" s="1" t="s">
        <v>64</v>
      </c>
      <c r="D108" s="84">
        <f>+'Federal Capital Costs'!D15</f>
        <v>24331</v>
      </c>
      <c r="E108" s="84">
        <f>+'Federal Capital Costs'!E15</f>
        <v>14747</v>
      </c>
    </row>
    <row r="109" spans="1:5" ht="12.75">
      <c r="A109" s="78" t="s">
        <v>62</v>
      </c>
      <c r="B109" s="83" t="s">
        <v>63</v>
      </c>
      <c r="C109" s="1" t="s">
        <v>108</v>
      </c>
      <c r="D109" s="84">
        <f aca="true" t="shared" si="2" ref="D109:E109">-SUM(D70:D72)</f>
        <v>-138967.5877677</v>
      </c>
      <c r="E109" s="84">
        <f t="shared" si="2"/>
        <v>-141050.1326017</v>
      </c>
    </row>
    <row r="110" spans="1:5" ht="12.75">
      <c r="A110" s="78" t="s">
        <v>62</v>
      </c>
      <c r="B110" s="83" t="s">
        <v>63</v>
      </c>
      <c r="C110" s="1" t="s">
        <v>109</v>
      </c>
      <c r="D110" s="84">
        <f>-SUM(D73:D83)</f>
        <v>-379326.95947737</v>
      </c>
      <c r="E110" s="84">
        <f aca="true" t="shared" si="3" ref="E110">-SUM(E73:E83)</f>
        <v>-384364.00437630306</v>
      </c>
    </row>
    <row r="111" spans="1:5" ht="12.75">
      <c r="A111" s="78" t="s">
        <v>62</v>
      </c>
      <c r="B111" s="83" t="s">
        <v>63</v>
      </c>
      <c r="C111" s="1" t="s">
        <v>206</v>
      </c>
      <c r="D111" s="84">
        <f aca="true" t="shared" si="4" ref="D111:E111">-D87</f>
        <v>-9826.374364535337</v>
      </c>
      <c r="E111" s="84">
        <f t="shared" si="4"/>
        <v>-8862.537513691579</v>
      </c>
    </row>
    <row r="112" spans="1:5" ht="12.75">
      <c r="A112" s="78" t="s">
        <v>62</v>
      </c>
      <c r="B112" s="83" t="s">
        <v>63</v>
      </c>
      <c r="C112" s="1" t="s">
        <v>110</v>
      </c>
      <c r="D112" s="84">
        <v>45937</v>
      </c>
      <c r="E112" s="84">
        <v>45937</v>
      </c>
    </row>
    <row r="113" spans="1:5" ht="12.75">
      <c r="A113" s="78" t="s">
        <v>62</v>
      </c>
      <c r="B113" s="83" t="s">
        <v>63</v>
      </c>
      <c r="C113" s="1" t="s">
        <v>111</v>
      </c>
      <c r="D113" s="84">
        <v>0</v>
      </c>
      <c r="E113" s="84">
        <v>0</v>
      </c>
    </row>
    <row r="114" spans="1:5" ht="12.75">
      <c r="A114" s="78" t="s">
        <v>62</v>
      </c>
      <c r="B114" s="83" t="s">
        <v>63</v>
      </c>
      <c r="C114" s="1" t="s">
        <v>112</v>
      </c>
      <c r="D114" s="84">
        <f>+'Federal Capital Costs'!D13</f>
        <v>0</v>
      </c>
      <c r="E114" s="84">
        <f>+'Federal Capital Costs'!E13</f>
        <v>0</v>
      </c>
    </row>
    <row r="115" spans="1:5" ht="12.75">
      <c r="A115" s="78" t="s">
        <v>62</v>
      </c>
      <c r="B115" s="83" t="s">
        <v>63</v>
      </c>
      <c r="C115" s="207" t="s">
        <v>416</v>
      </c>
      <c r="D115" s="84">
        <v>0</v>
      </c>
      <c r="E115" s="84">
        <v>0</v>
      </c>
    </row>
    <row r="116" spans="1:5" ht="12.75">
      <c r="A116" s="78" t="s">
        <v>62</v>
      </c>
      <c r="B116" s="83" t="s">
        <v>63</v>
      </c>
      <c r="C116" s="1" t="s">
        <v>113</v>
      </c>
      <c r="D116" s="84">
        <v>0</v>
      </c>
      <c r="E116" s="84">
        <v>0</v>
      </c>
    </row>
    <row r="117" spans="1:5" ht="12.75">
      <c r="A117" s="78" t="s">
        <v>62</v>
      </c>
      <c r="B117" s="83" t="s">
        <v>63</v>
      </c>
      <c r="C117" s="1" t="s">
        <v>205</v>
      </c>
      <c r="D117" s="84">
        <f>+'Federal Capital Costs'!E16</f>
        <v>30600</v>
      </c>
      <c r="E117" s="84">
        <f>+'Federal Capital Costs'!F16</f>
        <v>30600</v>
      </c>
    </row>
    <row r="118" spans="1:5" s="252" customFormat="1" ht="12.75">
      <c r="A118" s="78" t="s">
        <v>62</v>
      </c>
      <c r="B118" s="260" t="s">
        <v>63</v>
      </c>
      <c r="C118" s="261" t="s">
        <v>568</v>
      </c>
      <c r="D118" s="84">
        <v>0</v>
      </c>
      <c r="E118" s="84">
        <v>0</v>
      </c>
    </row>
    <row r="119" spans="1:5" s="252" customFormat="1" ht="12.75">
      <c r="A119" s="78" t="s">
        <v>62</v>
      </c>
      <c r="B119" s="260" t="s">
        <v>63</v>
      </c>
      <c r="C119" s="1" t="s">
        <v>701</v>
      </c>
      <c r="D119" s="84">
        <f>+'Non-Federal DS'!H51</f>
        <v>227000</v>
      </c>
      <c r="E119" s="84">
        <f>+'Non-Federal DS'!I51</f>
        <v>0</v>
      </c>
    </row>
    <row r="120" spans="1:5" s="252" customFormat="1" ht="12.75">
      <c r="A120" s="78" t="s">
        <v>62</v>
      </c>
      <c r="B120" s="83" t="s">
        <v>63</v>
      </c>
      <c r="C120" s="1" t="s">
        <v>637</v>
      </c>
      <c r="D120" s="84">
        <f>'Non-Federal DS'!H39+'Non-Federal DS'!H40</f>
        <v>33847.499999999985</v>
      </c>
      <c r="E120" s="84">
        <f>'Non-Federal DS'!I39+'Non-Federal DS'!I40</f>
        <v>15472.5</v>
      </c>
    </row>
    <row r="121" spans="1:5" s="252" customFormat="1" ht="12.75">
      <c r="A121" s="78" t="s">
        <v>62</v>
      </c>
      <c r="B121" s="83" t="s">
        <v>63</v>
      </c>
      <c r="C121" s="1" t="s">
        <v>685</v>
      </c>
      <c r="D121" s="84">
        <f>'Non-Federal DS'!H38</f>
        <v>1226.25</v>
      </c>
      <c r="E121" s="84">
        <f>'Non-Federal DS'!I38</f>
        <v>0</v>
      </c>
    </row>
    <row r="122" spans="1:5" s="252" customFormat="1" ht="12.75">
      <c r="A122" s="78" t="s">
        <v>62</v>
      </c>
      <c r="B122" s="83" t="s">
        <v>63</v>
      </c>
      <c r="C122" s="1" t="s">
        <v>686</v>
      </c>
      <c r="D122" s="84">
        <f>+'Non-Federal DS'!H42</f>
        <v>1150</v>
      </c>
      <c r="E122" s="84">
        <f>+'Non-Federal DS'!I42</f>
        <v>1785</v>
      </c>
    </row>
    <row r="123" spans="1:5" s="252" customFormat="1" ht="12.75">
      <c r="A123" s="78" t="s">
        <v>62</v>
      </c>
      <c r="B123" s="83" t="s">
        <v>63</v>
      </c>
      <c r="C123" s="1" t="s">
        <v>638</v>
      </c>
      <c r="D123" s="84">
        <f>+'Non-Federal DS'!H43</f>
        <v>1527.3500000000001</v>
      </c>
      <c r="E123" s="84">
        <f>+'Non-Federal DS'!I43</f>
        <v>1593.1000000000001</v>
      </c>
    </row>
    <row r="124" spans="1:5" s="252" customFormat="1" ht="12.75">
      <c r="A124" s="78" t="s">
        <v>62</v>
      </c>
      <c r="B124" s="83" t="s">
        <v>63</v>
      </c>
      <c r="C124" s="1" t="s">
        <v>639</v>
      </c>
      <c r="D124" s="84">
        <f>'Non-Federal DS'!H44</f>
        <v>3830</v>
      </c>
      <c r="E124" s="84">
        <f>'Non-Federal DS'!I44</f>
        <v>4020</v>
      </c>
    </row>
    <row r="125" spans="1:5" s="252" customFormat="1" ht="12.75">
      <c r="A125" s="78" t="s">
        <v>62</v>
      </c>
      <c r="B125" s="260" t="s">
        <v>63</v>
      </c>
      <c r="C125" s="340" t="s">
        <v>700</v>
      </c>
      <c r="D125" s="84">
        <f>-'Income Statement Cash Flows'!E65</f>
        <v>-16590</v>
      </c>
      <c r="E125" s="84">
        <f>-'Income Statement Cash Flows'!F65</f>
        <v>-15885</v>
      </c>
    </row>
    <row r="126" spans="1:5" s="252" customFormat="1" ht="12.75">
      <c r="A126" s="78" t="s">
        <v>62</v>
      </c>
      <c r="B126" s="260" t="s">
        <v>63</v>
      </c>
      <c r="C126" s="261" t="s">
        <v>569</v>
      </c>
      <c r="D126" s="84"/>
      <c r="E126" s="84"/>
    </row>
    <row r="127" spans="1:5" s="245" customFormat="1" ht="12.75">
      <c r="A127" s="302" t="s">
        <v>62</v>
      </c>
      <c r="B127" s="303" t="s">
        <v>63</v>
      </c>
      <c r="C127" s="303" t="s">
        <v>727</v>
      </c>
      <c r="D127" s="360">
        <f>'IPR Data'!C67/1000</f>
        <v>4100</v>
      </c>
      <c r="E127" s="360">
        <f>'IPR Data'!D67/1000</f>
        <v>4300</v>
      </c>
    </row>
    <row r="128" spans="1:5" s="245" customFormat="1" ht="12.75">
      <c r="A128" s="302" t="s">
        <v>62</v>
      </c>
      <c r="B128" s="303" t="s">
        <v>63</v>
      </c>
      <c r="C128" s="304" t="s">
        <v>728</v>
      </c>
      <c r="D128" s="360">
        <f>-D98</f>
        <v>8817.805195211507</v>
      </c>
      <c r="E128" s="360">
        <f aca="true" t="shared" si="5" ref="E128">-E98</f>
        <v>9111.731626045908</v>
      </c>
    </row>
    <row r="129" spans="1:5" s="245" customFormat="1" ht="12.75">
      <c r="A129" s="302" t="s">
        <v>62</v>
      </c>
      <c r="B129" s="303" t="s">
        <v>63</v>
      </c>
      <c r="C129" s="304" t="s">
        <v>729</v>
      </c>
      <c r="D129" s="360">
        <f>-D99</f>
        <v>5051.812480427976</v>
      </c>
      <c r="E129" s="360">
        <f aca="true" t="shared" si="6" ref="E129">-E99</f>
        <v>5220.205995451786</v>
      </c>
    </row>
    <row r="130" spans="1:5" ht="12.75">
      <c r="A130" s="78" t="s">
        <v>62</v>
      </c>
      <c r="B130" s="83" t="s">
        <v>63</v>
      </c>
      <c r="C130" s="1" t="s">
        <v>114</v>
      </c>
      <c r="D130" s="84">
        <f>+'Federal Capital Costs'!E38</f>
        <v>0</v>
      </c>
      <c r="E130" s="84">
        <f>+'Federal Capital Costs'!F38</f>
        <v>0</v>
      </c>
    </row>
    <row r="131" spans="1:5" s="20" customFormat="1" ht="12.75">
      <c r="A131" s="85" t="s">
        <v>62</v>
      </c>
      <c r="B131" s="86" t="s">
        <v>63</v>
      </c>
      <c r="C131" s="84" t="s">
        <v>115</v>
      </c>
      <c r="D131" s="84">
        <f>-SUM(D107:D130)</f>
        <v>-15779.796066034156</v>
      </c>
      <c r="E131" s="84">
        <f aca="true" t="shared" si="7" ref="E131">-SUM(E107:E130)</f>
        <v>-100689.86312980304</v>
      </c>
    </row>
    <row r="132" spans="1:5" ht="12.75">
      <c r="A132" s="78" t="s">
        <v>62</v>
      </c>
      <c r="B132" s="83" t="s">
        <v>65</v>
      </c>
      <c r="C132" s="1" t="s">
        <v>120</v>
      </c>
      <c r="D132" s="84">
        <f>+COSA!D12*COSA!$M$22</f>
        <v>11939.796066034149</v>
      </c>
      <c r="E132" s="84">
        <f>+COSA!D58*COSA!M68</f>
        <v>77938.86312980301</v>
      </c>
    </row>
    <row r="133" spans="1:5" ht="12.75">
      <c r="A133" s="78" t="s">
        <v>62</v>
      </c>
      <c r="B133" s="83" t="s">
        <v>65</v>
      </c>
      <c r="C133" s="1" t="s">
        <v>121</v>
      </c>
      <c r="D133" s="84">
        <f>+COSA!D13*COSA!$M$22</f>
        <v>1979</v>
      </c>
      <c r="E133" s="84">
        <f>+COSA!D59*COSA!M68</f>
        <v>13313</v>
      </c>
    </row>
    <row r="134" spans="1:5" ht="12.75">
      <c r="A134" s="78" t="s">
        <v>62</v>
      </c>
      <c r="B134" s="83" t="s">
        <v>65</v>
      </c>
      <c r="C134" s="1" t="s">
        <v>122</v>
      </c>
      <c r="D134" s="84">
        <f>+COSA!D30*COSA!M22</f>
        <v>1567</v>
      </c>
      <c r="E134" s="84">
        <f>+COSA!D76*COSA!M68</f>
        <v>7689</v>
      </c>
    </row>
    <row r="135" spans="1:5" ht="12.75">
      <c r="A135" s="78" t="s">
        <v>62</v>
      </c>
      <c r="B135" s="83" t="s">
        <v>65</v>
      </c>
      <c r="C135" s="1" t="s">
        <v>123</v>
      </c>
      <c r="D135" s="84">
        <f>+COSA!D33*COSA!M22</f>
        <v>294</v>
      </c>
      <c r="E135" s="84">
        <f>+COSA!D79*COSA!M68</f>
        <v>1749</v>
      </c>
    </row>
    <row r="136" spans="1:5" ht="12.75">
      <c r="A136" s="78" t="s">
        <v>62</v>
      </c>
      <c r="B136" s="83" t="s">
        <v>66</v>
      </c>
      <c r="C136" s="1" t="s">
        <v>116</v>
      </c>
      <c r="D136" s="84">
        <f aca="true" t="shared" si="8" ref="D136:E136">+D132</f>
        <v>11939.796066034149</v>
      </c>
      <c r="E136" s="84">
        <f t="shared" si="8"/>
        <v>77938.86312980301</v>
      </c>
    </row>
    <row r="137" spans="1:5" ht="12.75">
      <c r="A137" s="78" t="s">
        <v>62</v>
      </c>
      <c r="B137" s="83" t="s">
        <v>66</v>
      </c>
      <c r="C137" s="1" t="s">
        <v>117</v>
      </c>
      <c r="D137" s="84">
        <f aca="true" t="shared" si="9" ref="D137:E137">+D133</f>
        <v>1979</v>
      </c>
      <c r="E137" s="84">
        <f t="shared" si="9"/>
        <v>13313</v>
      </c>
    </row>
    <row r="138" spans="1:5" ht="12.75">
      <c r="A138" s="78" t="s">
        <v>62</v>
      </c>
      <c r="B138" s="83" t="s">
        <v>66</v>
      </c>
      <c r="C138" s="1" t="s">
        <v>118</v>
      </c>
      <c r="D138" s="84">
        <f aca="true" t="shared" si="10" ref="D138:E138">+D134+D135</f>
        <v>1861</v>
      </c>
      <c r="E138" s="84">
        <f t="shared" si="10"/>
        <v>9438</v>
      </c>
    </row>
    <row r="139" spans="1:5" ht="12.75">
      <c r="A139" s="78" t="s">
        <v>62</v>
      </c>
      <c r="B139" s="83" t="s">
        <v>67</v>
      </c>
      <c r="C139" s="1" t="s">
        <v>124</v>
      </c>
      <c r="D139" s="84">
        <f>+COSA!D12-'cost table'!D132</f>
        <v>0</v>
      </c>
      <c r="E139" s="84">
        <f>+COSA!D58-'cost table'!E132</f>
        <v>0</v>
      </c>
    </row>
    <row r="140" spans="1:5" ht="12.75">
      <c r="A140" s="78" t="s">
        <v>62</v>
      </c>
      <c r="B140" s="83" t="s">
        <v>67</v>
      </c>
      <c r="C140" s="1" t="s">
        <v>125</v>
      </c>
      <c r="D140" s="84">
        <f>+COSA!D13-'cost table'!D133</f>
        <v>0</v>
      </c>
      <c r="E140" s="84">
        <f>+COSA!D59-'cost table'!E133</f>
        <v>0</v>
      </c>
    </row>
    <row r="141" spans="1:5" ht="12.75">
      <c r="A141" s="78" t="s">
        <v>62</v>
      </c>
      <c r="B141" s="83" t="s">
        <v>67</v>
      </c>
      <c r="C141" s="1" t="s">
        <v>126</v>
      </c>
      <c r="D141" s="84">
        <f>+COSA!D30-'cost table'!D134</f>
        <v>0</v>
      </c>
      <c r="E141" s="84">
        <f>+COSA!D76-'cost table'!E134</f>
        <v>0</v>
      </c>
    </row>
    <row r="142" spans="1:5" ht="12" customHeight="1">
      <c r="A142" s="78" t="s">
        <v>62</v>
      </c>
      <c r="B142" s="83" t="s">
        <v>67</v>
      </c>
      <c r="C142" s="1" t="s">
        <v>127</v>
      </c>
      <c r="D142" s="84">
        <f>+COSA!D35-'cost table'!D135</f>
        <v>0</v>
      </c>
      <c r="E142" s="84">
        <f>+COSA!D81-'cost table'!E135</f>
        <v>0</v>
      </c>
    </row>
    <row r="143" spans="1:5" ht="12" customHeight="1">
      <c r="A143" s="78" t="s">
        <v>62</v>
      </c>
      <c r="B143" s="83" t="s">
        <v>68</v>
      </c>
      <c r="C143" s="1" t="s">
        <v>128</v>
      </c>
      <c r="D143" s="84">
        <f aca="true" t="shared" si="11" ref="D143:E143">+D139</f>
        <v>0</v>
      </c>
      <c r="E143" s="84">
        <f t="shared" si="11"/>
        <v>0</v>
      </c>
    </row>
    <row r="144" spans="1:5" ht="12" customHeight="1">
      <c r="A144" s="78" t="s">
        <v>62</v>
      </c>
      <c r="B144" s="83" t="s">
        <v>68</v>
      </c>
      <c r="C144" s="1" t="s">
        <v>129</v>
      </c>
      <c r="D144" s="84">
        <f aca="true" t="shared" si="12" ref="D144:E144">+D140</f>
        <v>0</v>
      </c>
      <c r="E144" s="84">
        <f t="shared" si="12"/>
        <v>0</v>
      </c>
    </row>
    <row r="145" spans="1:5" ht="12" customHeight="1">
      <c r="A145" s="78" t="s">
        <v>62</v>
      </c>
      <c r="B145" s="83" t="s">
        <v>68</v>
      </c>
      <c r="C145" s="1" t="s">
        <v>130</v>
      </c>
      <c r="D145" s="84">
        <f aca="true" t="shared" si="13" ref="D145:E145">+D141+D142</f>
        <v>0</v>
      </c>
      <c r="E145" s="84">
        <f t="shared" si="13"/>
        <v>0</v>
      </c>
    </row>
    <row r="146" spans="1:5" s="88" customFormat="1" ht="12" customHeight="1">
      <c r="A146" s="42"/>
      <c r="B146" s="1"/>
      <c r="C146" s="1"/>
      <c r="D146" s="84">
        <f aca="true" t="shared" si="14" ref="D146:E146">SUM(D5:D145)</f>
        <v>2792076.6961986665</v>
      </c>
      <c r="E146" s="84">
        <f t="shared" si="14"/>
        <v>2931815.276796397</v>
      </c>
    </row>
    <row r="147" spans="1:5" ht="12" customHeight="1">
      <c r="A147" s="5"/>
      <c r="B147" s="1"/>
      <c r="C147" s="1"/>
      <c r="D147" s="84"/>
      <c r="E147" s="84"/>
    </row>
    <row r="148" spans="1:5" ht="12" customHeight="1">
      <c r="A148" s="5"/>
      <c r="B148" s="1"/>
      <c r="C148" s="1"/>
      <c r="D148" s="208"/>
      <c r="E148" s="208"/>
    </row>
    <row r="149" spans="1:5" ht="12" customHeight="1">
      <c r="A149" s="5"/>
      <c r="B149" s="1"/>
      <c r="C149" s="1"/>
      <c r="D149" s="84"/>
      <c r="E149" s="84"/>
    </row>
    <row r="150" spans="1:5" ht="12" customHeight="1">
      <c r="A150" s="5"/>
      <c r="B150" s="1"/>
      <c r="C150" s="1"/>
      <c r="D150" s="84"/>
      <c r="E150" s="84"/>
    </row>
    <row r="151" spans="1:5" ht="12" customHeight="1">
      <c r="A151" s="5"/>
      <c r="B151" s="1"/>
      <c r="C151" s="1"/>
      <c r="D151" s="84"/>
      <c r="E151" s="84"/>
    </row>
    <row r="152" spans="1:5" ht="12" customHeight="1">
      <c r="A152" s="5"/>
      <c r="B152" s="1"/>
      <c r="C152" s="1"/>
      <c r="D152" s="84"/>
      <c r="E152" s="84"/>
    </row>
    <row r="153" spans="1:5" ht="12" customHeight="1">
      <c r="A153" s="5"/>
      <c r="B153" s="1"/>
      <c r="C153" s="1"/>
      <c r="D153" s="84"/>
      <c r="E153" s="84"/>
    </row>
    <row r="154" spans="1:5" ht="12" customHeight="1">
      <c r="A154" s="5"/>
      <c r="B154" s="1"/>
      <c r="C154" s="1"/>
      <c r="D154" s="84"/>
      <c r="E154" s="84"/>
    </row>
    <row r="155" spans="1:5" ht="12" customHeight="1">
      <c r="A155" s="5"/>
      <c r="B155" s="89"/>
      <c r="C155" s="3"/>
      <c r="D155" s="155"/>
      <c r="E155" s="155"/>
    </row>
    <row r="156" spans="1:3" ht="12" customHeight="1">
      <c r="A156" s="5"/>
      <c r="B156" s="1"/>
      <c r="C156" s="1"/>
    </row>
    <row r="157" spans="1:5" ht="12" customHeight="1">
      <c r="A157" s="5"/>
      <c r="B157" s="1"/>
      <c r="C157" s="1"/>
      <c r="D157" s="84"/>
      <c r="E157" s="84"/>
    </row>
    <row r="158" spans="1:5" ht="12" customHeight="1">
      <c r="A158" s="5"/>
      <c r="B158" s="1"/>
      <c r="C158" s="1"/>
      <c r="D158" s="84"/>
      <c r="E158" s="84"/>
    </row>
    <row r="159" spans="1:5" ht="12" customHeight="1">
      <c r="A159" s="5"/>
      <c r="B159" s="1"/>
      <c r="C159" s="1"/>
      <c r="D159" s="84"/>
      <c r="E159" s="84"/>
    </row>
    <row r="160" spans="1:5" ht="12" customHeight="1">
      <c r="A160" s="5"/>
      <c r="B160" s="1"/>
      <c r="C160" s="1"/>
      <c r="D160" s="84"/>
      <c r="E160" s="84"/>
    </row>
    <row r="161" spans="1:5" ht="12" customHeight="1">
      <c r="A161" s="5"/>
      <c r="B161" s="1"/>
      <c r="C161" s="1"/>
      <c r="D161" s="84"/>
      <c r="E161" s="84"/>
    </row>
    <row r="162" spans="1:5" ht="12" customHeight="1">
      <c r="A162" s="5"/>
      <c r="B162" s="1"/>
      <c r="C162" s="1"/>
      <c r="D162" s="84"/>
      <c r="E162" s="84"/>
    </row>
    <row r="163" spans="1:5" ht="12" customHeight="1">
      <c r="A163" s="5"/>
      <c r="B163" s="1"/>
      <c r="C163" s="1"/>
      <c r="D163" s="84"/>
      <c r="E163" s="84"/>
    </row>
    <row r="164" spans="1:5" ht="12" customHeight="1">
      <c r="A164" s="5"/>
      <c r="B164" s="1"/>
      <c r="C164" s="1"/>
      <c r="D164" s="84"/>
      <c r="E164" s="84"/>
    </row>
    <row r="165" spans="1:5" ht="12" customHeight="1">
      <c r="A165" s="5"/>
      <c r="B165" s="1"/>
      <c r="C165" s="1"/>
      <c r="D165" s="84"/>
      <c r="E165" s="84"/>
    </row>
    <row r="166" spans="1:5" ht="12" customHeight="1">
      <c r="A166" s="5"/>
      <c r="B166" s="1"/>
      <c r="C166" s="1"/>
      <c r="D166" s="84"/>
      <c r="E166" s="84"/>
    </row>
    <row r="167" spans="1:5" ht="12" customHeight="1">
      <c r="A167" s="5"/>
      <c r="B167" s="1"/>
      <c r="C167" s="1"/>
      <c r="D167" s="84"/>
      <c r="E167" s="84"/>
    </row>
    <row r="168" spans="1:5" ht="12" customHeight="1">
      <c r="A168" s="5"/>
      <c r="B168" s="1"/>
      <c r="C168" s="1"/>
      <c r="D168" s="84"/>
      <c r="E168" s="84"/>
    </row>
    <row r="169" spans="1:5" ht="12" customHeight="1">
      <c r="A169" s="5"/>
      <c r="B169" s="1"/>
      <c r="C169" s="1"/>
      <c r="D169" s="84"/>
      <c r="E169" s="84"/>
    </row>
    <row r="170" spans="1:5" ht="12" customHeight="1">
      <c r="A170" s="5"/>
      <c r="B170" s="1"/>
      <c r="C170" s="1"/>
      <c r="D170" s="84"/>
      <c r="E170" s="84"/>
    </row>
    <row r="171" spans="1:5" ht="12" customHeight="1">
      <c r="A171" s="5"/>
      <c r="B171" s="1"/>
      <c r="C171" s="1"/>
      <c r="D171" s="84"/>
      <c r="E171" s="84"/>
    </row>
    <row r="172" spans="1:5" ht="12" customHeight="1">
      <c r="A172" s="5"/>
      <c r="B172" s="1"/>
      <c r="C172" s="1"/>
      <c r="D172" s="84"/>
      <c r="E172" s="84"/>
    </row>
    <row r="173" spans="1:5" ht="12" customHeight="1">
      <c r="A173" s="5"/>
      <c r="B173" s="1"/>
      <c r="C173" s="1"/>
      <c r="D173" s="84"/>
      <c r="E173" s="84"/>
    </row>
    <row r="174" spans="1:5" ht="12" customHeight="1">
      <c r="A174" s="5"/>
      <c r="B174" s="1"/>
      <c r="C174" s="1"/>
      <c r="D174" s="84"/>
      <c r="E174" s="84"/>
    </row>
    <row r="175" spans="1:5" ht="12" customHeight="1">
      <c r="A175" s="5"/>
      <c r="B175" s="1"/>
      <c r="C175" s="1"/>
      <c r="D175" s="84"/>
      <c r="E175" s="84"/>
    </row>
    <row r="176" spans="1:5" ht="12" customHeight="1">
      <c r="A176" s="5"/>
      <c r="B176" s="1"/>
      <c r="C176" s="1"/>
      <c r="D176" s="84"/>
      <c r="E176" s="84"/>
    </row>
    <row r="177" spans="1:5" ht="12" customHeight="1">
      <c r="A177" s="5"/>
      <c r="B177" s="1"/>
      <c r="C177" s="1"/>
      <c r="D177" s="84"/>
      <c r="E177" s="84"/>
    </row>
    <row r="178" spans="1:5" ht="12" customHeight="1">
      <c r="A178" s="5"/>
      <c r="B178" s="1"/>
      <c r="C178" s="1"/>
      <c r="D178" s="84"/>
      <c r="E178" s="84"/>
    </row>
    <row r="179" spans="1:5" ht="12" customHeight="1">
      <c r="A179" s="5"/>
      <c r="B179" s="1"/>
      <c r="C179" s="1"/>
      <c r="D179" s="84"/>
      <c r="E179" s="84"/>
    </row>
    <row r="180" spans="1:5" ht="12" customHeight="1">
      <c r="A180" s="5"/>
      <c r="B180" s="1"/>
      <c r="C180" s="1"/>
      <c r="D180" s="84"/>
      <c r="E180" s="84"/>
    </row>
    <row r="181" spans="1:5" ht="12" customHeight="1">
      <c r="A181" s="5"/>
      <c r="B181" s="1"/>
      <c r="C181" s="1"/>
      <c r="D181" s="84"/>
      <c r="E181" s="84"/>
    </row>
    <row r="182" spans="1:5" ht="12" customHeight="1">
      <c r="A182" s="5"/>
      <c r="B182" s="1"/>
      <c r="C182" s="1"/>
      <c r="D182" s="84"/>
      <c r="E182" s="84"/>
    </row>
    <row r="183" spans="1:5" ht="12" customHeight="1">
      <c r="A183" s="5"/>
      <c r="B183" s="1"/>
      <c r="C183" s="1"/>
      <c r="D183" s="84"/>
      <c r="E183" s="84"/>
    </row>
    <row r="184" spans="1:5" ht="12" customHeight="1">
      <c r="A184" s="5"/>
      <c r="B184" s="1"/>
      <c r="C184" s="1"/>
      <c r="D184" s="84"/>
      <c r="E184" s="84"/>
    </row>
    <row r="185" spans="1:5" ht="12" customHeight="1">
      <c r="A185" s="5"/>
      <c r="B185" s="1"/>
      <c r="C185" s="1"/>
      <c r="D185" s="84"/>
      <c r="E185" s="84"/>
    </row>
    <row r="186" spans="1:5" ht="12" customHeight="1">
      <c r="A186" s="5"/>
      <c r="B186" s="1"/>
      <c r="C186" s="1"/>
      <c r="D186" s="84"/>
      <c r="E186" s="84"/>
    </row>
    <row r="187" spans="1:5" ht="12" customHeight="1">
      <c r="A187" s="5"/>
      <c r="B187" s="1"/>
      <c r="C187" s="1"/>
      <c r="D187" s="84"/>
      <c r="E187" s="84"/>
    </row>
    <row r="188" spans="1:5" ht="12" customHeight="1">
      <c r="A188" s="5"/>
      <c r="B188" s="1"/>
      <c r="C188" s="1"/>
      <c r="D188" s="84"/>
      <c r="E188" s="84"/>
    </row>
    <row r="189" spans="1:5" ht="12" customHeight="1">
      <c r="A189" s="5"/>
      <c r="B189" s="1"/>
      <c r="C189" s="1"/>
      <c r="D189" s="84"/>
      <c r="E189" s="84"/>
    </row>
    <row r="190" spans="1:5" ht="12" customHeight="1">
      <c r="A190" s="5"/>
      <c r="B190" s="1"/>
      <c r="C190" s="1"/>
      <c r="D190" s="84"/>
      <c r="E190" s="84"/>
    </row>
    <row r="191" spans="1:5" ht="12" customHeight="1">
      <c r="A191" s="5"/>
      <c r="B191" s="1"/>
      <c r="C191" s="1"/>
      <c r="D191" s="84"/>
      <c r="E191" s="84"/>
    </row>
    <row r="192" spans="1:5" ht="12" customHeight="1">
      <c r="A192" s="5"/>
      <c r="B192" s="1"/>
      <c r="C192" s="1"/>
      <c r="D192" s="84"/>
      <c r="E192" s="84"/>
    </row>
    <row r="193" spans="1:5" ht="12" customHeight="1">
      <c r="A193" s="5"/>
      <c r="B193" s="1"/>
      <c r="C193" s="1"/>
      <c r="D193" s="84"/>
      <c r="E193" s="84"/>
    </row>
    <row r="194" spans="1:5" ht="12" customHeight="1">
      <c r="A194" s="5"/>
      <c r="B194" s="1"/>
      <c r="C194" s="1"/>
      <c r="D194" s="84"/>
      <c r="E194" s="84"/>
    </row>
    <row r="195" spans="1:5" ht="12" customHeight="1">
      <c r="A195" s="5"/>
      <c r="B195" s="1"/>
      <c r="C195" s="1"/>
      <c r="D195" s="84"/>
      <c r="E195" s="84"/>
    </row>
    <row r="196" spans="1:5" ht="12" customHeight="1">
      <c r="A196" s="5"/>
      <c r="B196" s="1"/>
      <c r="C196" s="1"/>
      <c r="D196" s="84"/>
      <c r="E196" s="84"/>
    </row>
    <row r="197" spans="1:5" ht="12" customHeight="1">
      <c r="A197" s="5"/>
      <c r="B197" s="1"/>
      <c r="C197" s="1"/>
      <c r="D197" s="84"/>
      <c r="E197" s="84"/>
    </row>
    <row r="198" spans="1:5" ht="12" customHeight="1">
      <c r="A198" s="5"/>
      <c r="B198" s="1"/>
      <c r="C198" s="1"/>
      <c r="D198" s="84"/>
      <c r="E198" s="84"/>
    </row>
    <row r="199" spans="1:5" ht="12" customHeight="1">
      <c r="A199" s="5"/>
      <c r="B199" s="1"/>
      <c r="C199" s="1"/>
      <c r="D199" s="84"/>
      <c r="E199" s="84"/>
    </row>
    <row r="200" spans="1:5" ht="12" customHeight="1">
      <c r="A200" s="5"/>
      <c r="B200" s="1"/>
      <c r="C200" s="1"/>
      <c r="D200" s="84"/>
      <c r="E200" s="84"/>
    </row>
    <row r="201" spans="1:5" ht="12" customHeight="1">
      <c r="A201" s="5"/>
      <c r="B201" s="1"/>
      <c r="C201" s="1"/>
      <c r="D201" s="84"/>
      <c r="E201" s="84"/>
    </row>
    <row r="202" spans="1:5" ht="12" customHeight="1">
      <c r="A202" s="5"/>
      <c r="B202" s="1"/>
      <c r="C202" s="1"/>
      <c r="D202" s="84"/>
      <c r="E202" s="84"/>
    </row>
    <row r="203" spans="1:5" ht="12" customHeight="1">
      <c r="A203" s="5"/>
      <c r="B203" s="1"/>
      <c r="C203" s="1"/>
      <c r="D203" s="84"/>
      <c r="E203" s="84"/>
    </row>
    <row r="204" spans="1:5" ht="12" customHeight="1">
      <c r="A204" s="5"/>
      <c r="B204" s="1"/>
      <c r="C204" s="1"/>
      <c r="D204" s="84"/>
      <c r="E204" s="84"/>
    </row>
    <row r="205" spans="1:5" ht="12" customHeight="1">
      <c r="A205" s="5"/>
      <c r="B205" s="1"/>
      <c r="C205" s="1"/>
      <c r="D205" s="84"/>
      <c r="E205" s="84"/>
    </row>
    <row r="206" spans="1:5" ht="12" customHeight="1">
      <c r="A206" s="5"/>
      <c r="B206" s="1"/>
      <c r="C206" s="1"/>
      <c r="D206" s="84"/>
      <c r="E206" s="84"/>
    </row>
    <row r="207" spans="1:5" ht="12" customHeight="1">
      <c r="A207" s="5"/>
      <c r="B207" s="1"/>
      <c r="C207" s="1"/>
      <c r="D207" s="84"/>
      <c r="E207" s="84"/>
    </row>
    <row r="208" spans="1:5" ht="12" customHeight="1">
      <c r="A208" s="5"/>
      <c r="B208" s="1"/>
      <c r="C208" s="1"/>
      <c r="D208" s="84"/>
      <c r="E208" s="84"/>
    </row>
    <row r="209" spans="1:5" ht="12" customHeight="1">
      <c r="A209" s="5"/>
      <c r="B209" s="1"/>
      <c r="C209" s="1"/>
      <c r="D209" s="84"/>
      <c r="E209" s="84"/>
    </row>
    <row r="210" spans="1:5" ht="12" customHeight="1">
      <c r="A210" s="5"/>
      <c r="B210" s="1"/>
      <c r="C210" s="1"/>
      <c r="D210" s="84"/>
      <c r="E210" s="84"/>
    </row>
    <row r="211" spans="1:5" ht="12" customHeight="1">
      <c r="A211" s="5"/>
      <c r="B211" s="1"/>
      <c r="C211" s="1"/>
      <c r="D211" s="84"/>
      <c r="E211" s="84"/>
    </row>
    <row r="212" spans="1:5" ht="12" customHeight="1">
      <c r="A212" s="5"/>
      <c r="B212" s="1"/>
      <c r="C212" s="1"/>
      <c r="D212" s="84"/>
      <c r="E212" s="84"/>
    </row>
    <row r="213" spans="1:5" ht="12" customHeight="1">
      <c r="A213" s="5"/>
      <c r="B213" s="1"/>
      <c r="C213" s="1"/>
      <c r="D213" s="84"/>
      <c r="E213" s="84"/>
    </row>
    <row r="214" spans="1:5" ht="12" customHeight="1">
      <c r="A214" s="5"/>
      <c r="B214" s="1"/>
      <c r="C214" s="1"/>
      <c r="D214" s="84"/>
      <c r="E214" s="84"/>
    </row>
    <row r="215" spans="1:5" ht="12" customHeight="1">
      <c r="A215" s="5"/>
      <c r="B215" s="1"/>
      <c r="C215" s="1"/>
      <c r="D215" s="84"/>
      <c r="E215" s="84"/>
    </row>
    <row r="216" spans="1:5" ht="12" customHeight="1">
      <c r="A216" s="5"/>
      <c r="B216" s="1"/>
      <c r="C216" s="1"/>
      <c r="D216" s="84"/>
      <c r="E216" s="84"/>
    </row>
    <row r="217" spans="1:5" ht="12" customHeight="1">
      <c r="A217" s="5"/>
      <c r="B217" s="1"/>
      <c r="C217" s="1"/>
      <c r="D217" s="84"/>
      <c r="E217" s="84"/>
    </row>
    <row r="218" spans="1:5" ht="12" customHeight="1">
      <c r="A218" s="5"/>
      <c r="B218" s="1"/>
      <c r="C218" s="1"/>
      <c r="D218" s="84"/>
      <c r="E218" s="84"/>
    </row>
    <row r="219" spans="1:5" ht="12" customHeight="1">
      <c r="A219" s="5"/>
      <c r="B219" s="1"/>
      <c r="C219" s="1"/>
      <c r="D219" s="84"/>
      <c r="E219" s="84"/>
    </row>
    <row r="220" spans="1:5" ht="12" customHeight="1">
      <c r="A220" s="5"/>
      <c r="B220" s="1"/>
      <c r="C220" s="1"/>
      <c r="D220" s="84"/>
      <c r="E220" s="84"/>
    </row>
    <row r="221" spans="1:5" ht="12" customHeight="1">
      <c r="A221" s="5"/>
      <c r="B221" s="1"/>
      <c r="C221" s="1"/>
      <c r="D221" s="84"/>
      <c r="E221" s="84"/>
    </row>
    <row r="222" spans="1:5" ht="12" customHeight="1">
      <c r="A222" s="5"/>
      <c r="B222" s="1"/>
      <c r="C222" s="1"/>
      <c r="D222" s="84"/>
      <c r="E222" s="84"/>
    </row>
    <row r="223" spans="1:5" ht="12" customHeight="1">
      <c r="A223" s="5"/>
      <c r="B223" s="1"/>
      <c r="C223" s="1"/>
      <c r="D223" s="84"/>
      <c r="E223" s="84"/>
    </row>
    <row r="224" spans="1:5" ht="12" customHeight="1">
      <c r="A224" s="5"/>
      <c r="B224" s="1"/>
      <c r="C224" s="1"/>
      <c r="D224" s="84"/>
      <c r="E224" s="84"/>
    </row>
    <row r="225" spans="1:5" ht="12" customHeight="1">
      <c r="A225" s="5"/>
      <c r="B225" s="1"/>
      <c r="C225" s="1"/>
      <c r="D225" s="84"/>
      <c r="E225" s="84"/>
    </row>
    <row r="226" spans="1:5" ht="12" customHeight="1">
      <c r="A226" s="5"/>
      <c r="B226" s="1"/>
      <c r="C226" s="1"/>
      <c r="D226" s="84"/>
      <c r="E226" s="84"/>
    </row>
    <row r="227" spans="1:5" ht="12" customHeight="1">
      <c r="A227" s="5"/>
      <c r="B227" s="1"/>
      <c r="C227" s="1"/>
      <c r="D227" s="84"/>
      <c r="E227" s="84"/>
    </row>
    <row r="228" spans="1:5" ht="12" customHeight="1">
      <c r="A228" s="5"/>
      <c r="B228" s="1"/>
      <c r="C228" s="1"/>
      <c r="D228" s="84"/>
      <c r="E228" s="84"/>
    </row>
    <row r="229" spans="1:5" ht="12" customHeight="1">
      <c r="A229" s="5"/>
      <c r="B229" s="1"/>
      <c r="C229" s="1"/>
      <c r="D229" s="84"/>
      <c r="E229" s="84"/>
    </row>
    <row r="230" spans="1:5" ht="12" customHeight="1">
      <c r="A230" s="5"/>
      <c r="B230" s="1"/>
      <c r="C230" s="1"/>
      <c r="D230" s="84"/>
      <c r="E230" s="84"/>
    </row>
    <row r="231" spans="1:5" ht="12" customHeight="1">
      <c r="A231" s="5"/>
      <c r="B231" s="1"/>
      <c r="C231" s="1"/>
      <c r="D231" s="84"/>
      <c r="E231" s="84"/>
    </row>
    <row r="232" spans="1:5" ht="12" customHeight="1">
      <c r="A232" s="5"/>
      <c r="B232" s="1"/>
      <c r="C232" s="1"/>
      <c r="D232" s="84"/>
      <c r="E232" s="84"/>
    </row>
    <row r="233" spans="1:5" ht="12" customHeight="1">
      <c r="A233" s="5"/>
      <c r="B233" s="1"/>
      <c r="C233" s="1"/>
      <c r="D233" s="84"/>
      <c r="E233" s="84"/>
    </row>
    <row r="234" spans="1:5" ht="12" customHeight="1">
      <c r="A234" s="5"/>
      <c r="B234" s="1"/>
      <c r="C234" s="1"/>
      <c r="D234" s="84"/>
      <c r="E234" s="84"/>
    </row>
    <row r="235" spans="1:5" ht="12" customHeight="1">
      <c r="A235" s="5"/>
      <c r="B235" s="1"/>
      <c r="C235" s="1"/>
      <c r="D235" s="84"/>
      <c r="E235" s="84"/>
    </row>
    <row r="236" spans="1:5" ht="12" customHeight="1">
      <c r="A236" s="5"/>
      <c r="B236" s="1"/>
      <c r="C236" s="1"/>
      <c r="D236" s="84"/>
      <c r="E236" s="84"/>
    </row>
    <row r="237" spans="1:5" ht="12" customHeight="1">
      <c r="A237" s="5"/>
      <c r="B237" s="1"/>
      <c r="C237" s="1"/>
      <c r="D237" s="84"/>
      <c r="E237" s="84"/>
    </row>
    <row r="238" spans="1:5" ht="12" customHeight="1">
      <c r="A238" s="5"/>
      <c r="B238" s="1"/>
      <c r="C238" s="1"/>
      <c r="D238" s="84"/>
      <c r="E238" s="84"/>
    </row>
    <row r="239" spans="1:5" ht="12" customHeight="1">
      <c r="A239" s="5"/>
      <c r="B239" s="1"/>
      <c r="C239" s="1"/>
      <c r="D239" s="84"/>
      <c r="E239" s="84"/>
    </row>
    <row r="240" spans="1:5" ht="12" customHeight="1">
      <c r="A240" s="5"/>
      <c r="B240" s="1"/>
      <c r="C240" s="1"/>
      <c r="D240" s="84"/>
      <c r="E240" s="84"/>
    </row>
    <row r="241" spans="1:5" ht="12" customHeight="1">
      <c r="A241" s="5"/>
      <c r="B241" s="1"/>
      <c r="C241" s="1"/>
      <c r="D241" s="84"/>
      <c r="E241" s="84"/>
    </row>
    <row r="242" spans="1:5" ht="12" customHeight="1">
      <c r="A242" s="5"/>
      <c r="B242" s="1"/>
      <c r="C242" s="1"/>
      <c r="D242" s="84"/>
      <c r="E242" s="84"/>
    </row>
    <row r="243" spans="1:5" ht="12" customHeight="1">
      <c r="A243" s="5"/>
      <c r="B243" s="1"/>
      <c r="C243" s="1"/>
      <c r="D243" s="84"/>
      <c r="E243" s="84"/>
    </row>
    <row r="244" spans="1:5" ht="12" customHeight="1">
      <c r="A244" s="5"/>
      <c r="B244" s="1"/>
      <c r="C244" s="1"/>
      <c r="D244" s="84"/>
      <c r="E244" s="84"/>
    </row>
    <row r="245" spans="1:5" ht="12" customHeight="1">
      <c r="A245" s="5"/>
      <c r="B245" s="1"/>
      <c r="C245" s="1"/>
      <c r="D245" s="84"/>
      <c r="E245" s="84"/>
    </row>
    <row r="246" spans="1:5" ht="12" customHeight="1">
      <c r="A246" s="5"/>
      <c r="B246" s="1"/>
      <c r="C246" s="1"/>
      <c r="D246" s="84"/>
      <c r="E246" s="84"/>
    </row>
    <row r="247" spans="1:5" ht="12" customHeight="1">
      <c r="A247" s="5"/>
      <c r="B247" s="1"/>
      <c r="C247" s="1"/>
      <c r="D247" s="84"/>
      <c r="E247" s="84"/>
    </row>
    <row r="248" spans="1:5" ht="12" customHeight="1">
      <c r="A248" s="5"/>
      <c r="B248" s="1"/>
      <c r="C248" s="1"/>
      <c r="D248" s="84"/>
      <c r="E248" s="84"/>
    </row>
    <row r="249" spans="1:5" ht="12" customHeight="1">
      <c r="A249" s="5"/>
      <c r="B249" s="1"/>
      <c r="C249" s="1"/>
      <c r="D249" s="84"/>
      <c r="E249" s="84"/>
    </row>
    <row r="250" spans="1:5" ht="12" customHeight="1">
      <c r="A250" s="5"/>
      <c r="B250" s="1"/>
      <c r="C250" s="1"/>
      <c r="D250" s="84"/>
      <c r="E250" s="84"/>
    </row>
    <row r="251" spans="1:5" ht="12" customHeight="1">
      <c r="A251" s="5"/>
      <c r="B251" s="1"/>
      <c r="C251" s="1"/>
      <c r="D251" s="84"/>
      <c r="E251" s="84"/>
    </row>
    <row r="252" spans="1:5" ht="12" customHeight="1">
      <c r="A252" s="5"/>
      <c r="B252" s="1"/>
      <c r="C252" s="1"/>
      <c r="D252" s="84"/>
      <c r="E252" s="84"/>
    </row>
    <row r="253" spans="1:5" ht="12" customHeight="1">
      <c r="A253" s="5"/>
      <c r="B253" s="1"/>
      <c r="C253" s="1"/>
      <c r="D253" s="84"/>
      <c r="E253" s="84"/>
    </row>
    <row r="254" spans="1:5" ht="12" customHeight="1">
      <c r="A254" s="5"/>
      <c r="B254" s="1"/>
      <c r="C254" s="1"/>
      <c r="D254" s="84"/>
      <c r="E254" s="84"/>
    </row>
    <row r="255" spans="1:5" ht="12" customHeight="1">
      <c r="A255" s="5"/>
      <c r="B255" s="1"/>
      <c r="C255" s="1"/>
      <c r="D255" s="84"/>
      <c r="E255" s="84"/>
    </row>
    <row r="256" spans="1:5" ht="12" customHeight="1">
      <c r="A256" s="5"/>
      <c r="B256" s="1"/>
      <c r="C256" s="1"/>
      <c r="D256" s="84"/>
      <c r="E256" s="84"/>
    </row>
    <row r="257" spans="1:5" ht="12" customHeight="1">
      <c r="A257" s="5"/>
      <c r="B257" s="1"/>
      <c r="C257" s="1"/>
      <c r="D257" s="84"/>
      <c r="E257" s="84"/>
    </row>
    <row r="258" spans="1:5" ht="12" customHeight="1">
      <c r="A258" s="5"/>
      <c r="B258" s="1"/>
      <c r="C258" s="1"/>
      <c r="D258" s="84"/>
      <c r="E258" s="84"/>
    </row>
    <row r="259" spans="1:5" ht="12" customHeight="1">
      <c r="A259" s="5"/>
      <c r="B259" s="1"/>
      <c r="C259" s="1"/>
      <c r="D259" s="84"/>
      <c r="E259" s="84"/>
    </row>
    <row r="260" spans="1:5" ht="12" customHeight="1">
      <c r="A260" s="5"/>
      <c r="B260" s="1"/>
      <c r="C260" s="1"/>
      <c r="D260" s="84"/>
      <c r="E260" s="84"/>
    </row>
    <row r="261" spans="1:5" ht="12" customHeight="1">
      <c r="A261" s="5"/>
      <c r="B261" s="1"/>
      <c r="C261" s="1"/>
      <c r="D261" s="84"/>
      <c r="E261" s="84"/>
    </row>
    <row r="262" spans="1:5" ht="12" customHeight="1">
      <c r="A262" s="5"/>
      <c r="B262" s="1"/>
      <c r="C262" s="1"/>
      <c r="D262" s="84"/>
      <c r="E262" s="84"/>
    </row>
    <row r="263" spans="1:5" ht="12" customHeight="1">
      <c r="A263" s="5"/>
      <c r="B263" s="1"/>
      <c r="C263" s="1"/>
      <c r="D263" s="84"/>
      <c r="E263" s="84"/>
    </row>
    <row r="264" spans="1:5" ht="12" customHeight="1">
      <c r="A264" s="5"/>
      <c r="B264" s="1"/>
      <c r="C264" s="1"/>
      <c r="D264" s="84"/>
      <c r="E264" s="84"/>
    </row>
    <row r="265" spans="1:5" ht="12" customHeight="1">
      <c r="A265" s="5"/>
      <c r="B265" s="1"/>
      <c r="C265" s="1"/>
      <c r="D265" s="84"/>
      <c r="E265" s="84"/>
    </row>
    <row r="266" spans="1:5" ht="12" customHeight="1">
      <c r="A266" s="5"/>
      <c r="B266" s="1"/>
      <c r="C266" s="1"/>
      <c r="D266" s="84"/>
      <c r="E266" s="84"/>
    </row>
    <row r="267" spans="1:5" ht="12" customHeight="1">
      <c r="A267" s="5"/>
      <c r="B267" s="1"/>
      <c r="C267" s="1"/>
      <c r="D267" s="84"/>
      <c r="E267" s="84"/>
    </row>
    <row r="268" spans="1:5" ht="12" customHeight="1">
      <c r="A268" s="5"/>
      <c r="B268" s="1"/>
      <c r="C268" s="1"/>
      <c r="D268" s="84"/>
      <c r="E268" s="84"/>
    </row>
    <row r="269" spans="1:5" ht="12" customHeight="1">
      <c r="A269" s="5"/>
      <c r="B269" s="1"/>
      <c r="C269" s="1"/>
      <c r="D269" s="84"/>
      <c r="E269" s="84"/>
    </row>
    <row r="270" spans="1:5" ht="12" customHeight="1">
      <c r="A270" s="5"/>
      <c r="B270" s="1"/>
      <c r="C270" s="1"/>
      <c r="D270" s="84"/>
      <c r="E270" s="84"/>
    </row>
    <row r="271" spans="1:5" ht="12" customHeight="1">
      <c r="A271" s="5"/>
      <c r="B271" s="1"/>
      <c r="C271" s="1"/>
      <c r="D271" s="84"/>
      <c r="E271" s="84"/>
    </row>
    <row r="272" spans="1:5" ht="12" customHeight="1">
      <c r="A272" s="5"/>
      <c r="B272" s="1"/>
      <c r="C272" s="1"/>
      <c r="D272" s="84"/>
      <c r="E272" s="84"/>
    </row>
    <row r="273" spans="1:5" ht="12" customHeight="1">
      <c r="A273" s="5"/>
      <c r="B273" s="1"/>
      <c r="C273" s="1"/>
      <c r="D273" s="84"/>
      <c r="E273" s="84"/>
    </row>
    <row r="274" spans="1:5" ht="12" customHeight="1">
      <c r="A274" s="5"/>
      <c r="B274" s="1"/>
      <c r="C274" s="1"/>
      <c r="D274" s="84"/>
      <c r="E274" s="84"/>
    </row>
    <row r="275" spans="1:5" ht="12" customHeight="1">
      <c r="A275" s="5"/>
      <c r="B275" s="1"/>
      <c r="C275" s="1"/>
      <c r="D275" s="84"/>
      <c r="E275" s="84"/>
    </row>
    <row r="276" spans="1:5" ht="12" customHeight="1">
      <c r="A276" s="5"/>
      <c r="B276" s="1"/>
      <c r="C276" s="1"/>
      <c r="D276" s="84"/>
      <c r="E276" s="84"/>
    </row>
    <row r="277" spans="1:5" ht="12" customHeight="1">
      <c r="A277" s="5"/>
      <c r="B277" s="1"/>
      <c r="C277" s="1"/>
      <c r="D277" s="84"/>
      <c r="E277" s="84"/>
    </row>
    <row r="278" spans="1:5" ht="12" customHeight="1">
      <c r="A278" s="5"/>
      <c r="B278" s="1"/>
      <c r="C278" s="1"/>
      <c r="D278" s="84"/>
      <c r="E278" s="84"/>
    </row>
    <row r="279" spans="1:5" ht="12" customHeight="1">
      <c r="A279" s="5"/>
      <c r="B279" s="1"/>
      <c r="C279" s="1"/>
      <c r="D279" s="84"/>
      <c r="E279" s="84"/>
    </row>
    <row r="280" spans="1:5" ht="12" customHeight="1">
      <c r="A280" s="5"/>
      <c r="B280" s="1"/>
      <c r="C280" s="1"/>
      <c r="D280" s="84"/>
      <c r="E280" s="84"/>
    </row>
    <row r="281" spans="1:5" ht="12" customHeight="1">
      <c r="A281" s="5"/>
      <c r="B281" s="1"/>
      <c r="C281" s="1"/>
      <c r="D281" s="84"/>
      <c r="E281" s="84"/>
    </row>
    <row r="282" spans="1:5" ht="12" customHeight="1">
      <c r="A282" s="5"/>
      <c r="B282" s="1"/>
      <c r="C282" s="1"/>
      <c r="D282" s="84"/>
      <c r="E282" s="84"/>
    </row>
    <row r="283" spans="1:5" ht="12" customHeight="1">
      <c r="A283" s="5"/>
      <c r="B283" s="1"/>
      <c r="C283" s="1"/>
      <c r="D283" s="84"/>
      <c r="E283" s="84"/>
    </row>
    <row r="284" spans="1:5" ht="12" customHeight="1">
      <c r="A284" s="5"/>
      <c r="B284" s="1"/>
      <c r="C284" s="1"/>
      <c r="D284" s="84"/>
      <c r="E284" s="84"/>
    </row>
    <row r="285" spans="1:5" ht="12" customHeight="1">
      <c r="A285" s="5"/>
      <c r="B285" s="1"/>
      <c r="C285" s="1"/>
      <c r="D285" s="84"/>
      <c r="E285" s="84"/>
    </row>
    <row r="286" spans="1:5" ht="12" customHeight="1">
      <c r="A286" s="5"/>
      <c r="B286" s="1"/>
      <c r="C286" s="1"/>
      <c r="D286" s="84"/>
      <c r="E286" s="84"/>
    </row>
    <row r="287" spans="1:5" ht="12" customHeight="1">
      <c r="A287" s="5"/>
      <c r="B287" s="1"/>
      <c r="C287" s="1"/>
      <c r="D287" s="84"/>
      <c r="E287" s="84"/>
    </row>
    <row r="288" spans="1:5" ht="12" customHeight="1">
      <c r="A288" s="5"/>
      <c r="B288" s="1"/>
      <c r="C288" s="1"/>
      <c r="D288" s="84"/>
      <c r="E288" s="84"/>
    </row>
    <row r="289" spans="1:5" ht="12" customHeight="1">
      <c r="A289" s="5"/>
      <c r="B289" s="1"/>
      <c r="C289" s="1"/>
      <c r="D289" s="84"/>
      <c r="E289" s="84"/>
    </row>
    <row r="290" spans="1:5" ht="12" customHeight="1">
      <c r="A290" s="5"/>
      <c r="B290" s="1"/>
      <c r="C290" s="1"/>
      <c r="D290" s="84"/>
      <c r="E290" s="84"/>
    </row>
    <row r="291" spans="1:5" ht="12" customHeight="1">
      <c r="A291" s="5"/>
      <c r="B291" s="1"/>
      <c r="C291" s="1"/>
      <c r="D291" s="84"/>
      <c r="E291" s="84"/>
    </row>
    <row r="292" spans="1:5" ht="12" customHeight="1">
      <c r="A292" s="5"/>
      <c r="B292" s="1"/>
      <c r="C292" s="1"/>
      <c r="D292" s="84"/>
      <c r="E292" s="84"/>
    </row>
    <row r="293" spans="1:5" ht="12" customHeight="1">
      <c r="A293" s="5"/>
      <c r="B293" s="1"/>
      <c r="C293" s="1"/>
      <c r="D293" s="84"/>
      <c r="E293" s="84"/>
    </row>
    <row r="294" spans="1:5" ht="12" customHeight="1">
      <c r="A294" s="5"/>
      <c r="B294" s="1"/>
      <c r="C294" s="1"/>
      <c r="D294" s="84"/>
      <c r="E294" s="84"/>
    </row>
    <row r="295" spans="1:5" ht="12" customHeight="1">
      <c r="A295" s="5"/>
      <c r="B295" s="1"/>
      <c r="C295" s="1"/>
      <c r="D295" s="84"/>
      <c r="E295" s="84"/>
    </row>
    <row r="296" spans="1:5" ht="12" customHeight="1">
      <c r="A296" s="5"/>
      <c r="B296" s="1"/>
      <c r="C296" s="1"/>
      <c r="D296" s="84"/>
      <c r="E296" s="84"/>
    </row>
    <row r="297" spans="1:5" ht="12" customHeight="1">
      <c r="A297" s="5"/>
      <c r="B297" s="1"/>
      <c r="C297" s="1"/>
      <c r="D297" s="84"/>
      <c r="E297" s="84"/>
    </row>
    <row r="298" spans="1:5" ht="12" customHeight="1">
      <c r="A298" s="5"/>
      <c r="B298" s="1"/>
      <c r="C298" s="1"/>
      <c r="D298" s="84"/>
      <c r="E298" s="84"/>
    </row>
    <row r="299" spans="1:5" ht="12" customHeight="1">
      <c r="A299" s="5"/>
      <c r="B299" s="1"/>
      <c r="C299" s="1"/>
      <c r="D299" s="84"/>
      <c r="E299" s="84"/>
    </row>
    <row r="300" spans="1:5" ht="12" customHeight="1">
      <c r="A300" s="5"/>
      <c r="B300" s="1"/>
      <c r="C300" s="1"/>
      <c r="D300" s="84"/>
      <c r="E300" s="84"/>
    </row>
    <row r="301" spans="1:5" ht="12" customHeight="1">
      <c r="A301" s="5"/>
      <c r="B301" s="1"/>
      <c r="C301" s="1"/>
      <c r="D301" s="84"/>
      <c r="E301" s="84"/>
    </row>
    <row r="302" spans="1:5" ht="12" customHeight="1">
      <c r="A302" s="5"/>
      <c r="B302" s="1"/>
      <c r="C302" s="1"/>
      <c r="D302" s="84"/>
      <c r="E302" s="84"/>
    </row>
    <row r="303" spans="1:5" ht="12" customHeight="1">
      <c r="A303" s="5"/>
      <c r="B303" s="1"/>
      <c r="C303" s="1"/>
      <c r="D303" s="84"/>
      <c r="E303" s="84"/>
    </row>
    <row r="304" spans="1:5" ht="12" customHeight="1">
      <c r="A304" s="5"/>
      <c r="B304" s="1"/>
      <c r="C304" s="1"/>
      <c r="D304" s="84"/>
      <c r="E304" s="84"/>
    </row>
    <row r="305" spans="1:5" ht="12" customHeight="1">
      <c r="A305" s="5"/>
      <c r="B305" s="1"/>
      <c r="C305" s="1"/>
      <c r="D305" s="84"/>
      <c r="E305" s="84"/>
    </row>
    <row r="306" spans="1:5" ht="12" customHeight="1">
      <c r="A306" s="5"/>
      <c r="B306" s="1"/>
      <c r="C306" s="1"/>
      <c r="D306" s="84"/>
      <c r="E306" s="84"/>
    </row>
    <row r="307" spans="1:5" ht="12" customHeight="1">
      <c r="A307" s="5"/>
      <c r="B307" s="1"/>
      <c r="C307" s="1"/>
      <c r="D307" s="84"/>
      <c r="E307" s="84"/>
    </row>
    <row r="308" spans="1:5" ht="12" customHeight="1">
      <c r="A308" s="5"/>
      <c r="B308" s="1"/>
      <c r="C308" s="1"/>
      <c r="D308" s="84"/>
      <c r="E308" s="84"/>
    </row>
    <row r="309" spans="1:5" ht="12" customHeight="1">
      <c r="A309" s="5"/>
      <c r="B309" s="1"/>
      <c r="C309" s="1"/>
      <c r="D309" s="84"/>
      <c r="E309" s="84"/>
    </row>
    <row r="310" spans="1:5" ht="12" customHeight="1">
      <c r="A310" s="5"/>
      <c r="B310" s="1"/>
      <c r="C310" s="1"/>
      <c r="D310" s="84"/>
      <c r="E310" s="84"/>
    </row>
    <row r="311" spans="1:5" ht="12" customHeight="1">
      <c r="A311" s="5"/>
      <c r="B311" s="1"/>
      <c r="C311" s="1"/>
      <c r="D311" s="84"/>
      <c r="E311" s="84"/>
    </row>
    <row r="312" spans="1:5" ht="12" customHeight="1">
      <c r="A312" s="5"/>
      <c r="B312" s="1"/>
      <c r="C312" s="1"/>
      <c r="D312" s="84"/>
      <c r="E312" s="84"/>
    </row>
    <row r="313" spans="1:5" ht="12" customHeight="1">
      <c r="A313" s="5"/>
      <c r="B313" s="1"/>
      <c r="C313" s="1"/>
      <c r="D313" s="84"/>
      <c r="E313" s="84"/>
    </row>
    <row r="314" spans="1:5" ht="12" customHeight="1">
      <c r="A314" s="5"/>
      <c r="B314" s="1"/>
      <c r="C314" s="1"/>
      <c r="D314" s="84"/>
      <c r="E314" s="84"/>
    </row>
    <row r="315" spans="1:5" ht="12" customHeight="1">
      <c r="A315" s="5"/>
      <c r="B315" s="1"/>
      <c r="C315" s="1"/>
      <c r="D315" s="84"/>
      <c r="E315" s="84"/>
    </row>
    <row r="316" spans="1:5" ht="12" customHeight="1">
      <c r="A316" s="5"/>
      <c r="B316" s="1"/>
      <c r="C316" s="1"/>
      <c r="D316" s="84"/>
      <c r="E316" s="84"/>
    </row>
    <row r="317" spans="1:5" ht="12" customHeight="1">
      <c r="A317" s="5"/>
      <c r="B317" s="1"/>
      <c r="C317" s="1"/>
      <c r="D317" s="84"/>
      <c r="E317" s="84"/>
    </row>
    <row r="318" spans="1:5" ht="12" customHeight="1">
      <c r="A318" s="5"/>
      <c r="B318" s="1"/>
      <c r="C318" s="1"/>
      <c r="D318" s="84"/>
      <c r="E318" s="84"/>
    </row>
    <row r="319" spans="1:5" ht="12" customHeight="1">
      <c r="A319" s="5"/>
      <c r="B319" s="1"/>
      <c r="C319" s="1"/>
      <c r="D319" s="84"/>
      <c r="E319" s="84"/>
    </row>
    <row r="320" spans="1:5" ht="12" customHeight="1">
      <c r="A320" s="5"/>
      <c r="B320" s="1"/>
      <c r="C320" s="1"/>
      <c r="D320" s="84"/>
      <c r="E320" s="84"/>
    </row>
    <row r="321" spans="2:5" ht="12" customHeight="1">
      <c r="B321" s="1"/>
      <c r="C321" s="1"/>
      <c r="D321" s="84"/>
      <c r="E321" s="84"/>
    </row>
    <row r="322" spans="2:5" ht="12" customHeight="1">
      <c r="B322" s="1"/>
      <c r="C322" s="1"/>
      <c r="D322" s="84"/>
      <c r="E322" s="84"/>
    </row>
    <row r="323" spans="2:5" ht="12" customHeight="1">
      <c r="B323" s="1"/>
      <c r="C323" s="1"/>
      <c r="D323" s="84"/>
      <c r="E323" s="84"/>
    </row>
    <row r="324" spans="2:5" ht="12" customHeight="1">
      <c r="B324" s="1"/>
      <c r="C324" s="1"/>
      <c r="D324" s="84"/>
      <c r="E324" s="84"/>
    </row>
    <row r="325" spans="2:5" ht="12" customHeight="1">
      <c r="B325" s="1"/>
      <c r="C325" s="1"/>
      <c r="D325" s="84"/>
      <c r="E325" s="84"/>
    </row>
    <row r="326" spans="2:5" ht="12" customHeight="1">
      <c r="B326" s="1"/>
      <c r="C326" s="1"/>
      <c r="D326" s="84"/>
      <c r="E326" s="84"/>
    </row>
    <row r="327" spans="2:5" ht="12" customHeight="1">
      <c r="B327" s="1"/>
      <c r="C327" s="1"/>
      <c r="D327" s="84"/>
      <c r="E327" s="84"/>
    </row>
    <row r="328" spans="2:5" ht="12" customHeight="1">
      <c r="B328" s="1"/>
      <c r="C328" s="1"/>
      <c r="D328" s="84"/>
      <c r="E328" s="84"/>
    </row>
    <row r="329" spans="2:5" ht="12" customHeight="1">
      <c r="B329" s="1"/>
      <c r="C329" s="1"/>
      <c r="D329" s="84"/>
      <c r="E329" s="84"/>
    </row>
    <row r="330" spans="1:5" ht="12" customHeight="1">
      <c r="A330" s="8"/>
      <c r="B330" s="1"/>
      <c r="C330" s="1"/>
      <c r="D330" s="84"/>
      <c r="E330" s="84"/>
    </row>
    <row r="331" spans="1:5" ht="12" customHeight="1">
      <c r="A331" s="8"/>
      <c r="B331" s="1"/>
      <c r="C331" s="1"/>
      <c r="D331" s="84"/>
      <c r="E331" s="84"/>
    </row>
    <row r="332" spans="1:5" ht="12" customHeight="1">
      <c r="A332" s="8"/>
      <c r="B332" s="1"/>
      <c r="C332" s="1"/>
      <c r="D332" s="84"/>
      <c r="E332" s="84"/>
    </row>
    <row r="333" spans="1:5" ht="12" customHeight="1">
      <c r="A333" s="8"/>
      <c r="B333" s="1"/>
      <c r="C333" s="1"/>
      <c r="D333" s="84"/>
      <c r="E333" s="84"/>
    </row>
    <row r="334" spans="1:5" ht="12" customHeight="1">
      <c r="A334" s="8"/>
      <c r="B334" s="1"/>
      <c r="C334" s="1"/>
      <c r="D334" s="84"/>
      <c r="E334" s="84"/>
    </row>
    <row r="335" spans="1:5" ht="12" customHeight="1">
      <c r="A335" s="8"/>
      <c r="B335" s="1"/>
      <c r="C335" s="1"/>
      <c r="D335" s="84"/>
      <c r="E335" s="84"/>
    </row>
    <row r="336" spans="1:5" ht="12" customHeight="1">
      <c r="A336" s="8"/>
      <c r="B336" s="1"/>
      <c r="C336" s="1"/>
      <c r="D336" s="84"/>
      <c r="E336" s="84"/>
    </row>
    <row r="337" spans="1:5" ht="12" customHeight="1">
      <c r="A337" s="8"/>
      <c r="B337" s="1"/>
      <c r="C337" s="1"/>
      <c r="D337" s="84"/>
      <c r="E337" s="84"/>
    </row>
    <row r="338" spans="1:5" ht="12" customHeight="1">
      <c r="A338" s="8"/>
      <c r="B338" s="1"/>
      <c r="C338" s="1"/>
      <c r="D338" s="84"/>
      <c r="E338" s="84"/>
    </row>
    <row r="339" spans="1:5" ht="12" customHeight="1">
      <c r="A339" s="8"/>
      <c r="B339" s="1"/>
      <c r="C339" s="1"/>
      <c r="D339" s="84"/>
      <c r="E339" s="84"/>
    </row>
    <row r="340" spans="1:5" ht="12" customHeight="1">
      <c r="A340" s="8"/>
      <c r="B340" s="1"/>
      <c r="C340" s="1"/>
      <c r="D340" s="84"/>
      <c r="E340" s="84"/>
    </row>
    <row r="341" spans="1:5" ht="12" customHeight="1">
      <c r="A341" s="8"/>
      <c r="B341" s="1"/>
      <c r="C341" s="1"/>
      <c r="D341" s="84"/>
      <c r="E341" s="84"/>
    </row>
    <row r="342" spans="1:5" ht="12" customHeight="1">
      <c r="A342" s="8"/>
      <c r="B342" s="1"/>
      <c r="C342" s="1"/>
      <c r="D342" s="84"/>
      <c r="E342" s="84"/>
    </row>
    <row r="343" spans="1:5" ht="12" customHeight="1">
      <c r="A343" s="8"/>
      <c r="B343" s="1"/>
      <c r="C343" s="1"/>
      <c r="D343" s="84"/>
      <c r="E343" s="84"/>
    </row>
    <row r="344" spans="1:5" ht="12" customHeight="1">
      <c r="A344" s="8"/>
      <c r="B344" s="1"/>
      <c r="C344" s="1"/>
      <c r="D344" s="84"/>
      <c r="E344" s="84"/>
    </row>
    <row r="345" spans="1:5" ht="12" customHeight="1">
      <c r="A345" s="8"/>
      <c r="B345" s="1"/>
      <c r="C345" s="1"/>
      <c r="D345" s="84"/>
      <c r="E345" s="84"/>
    </row>
    <row r="346" spans="1:5" ht="12" customHeight="1">
      <c r="A346" s="8"/>
      <c r="B346" s="1"/>
      <c r="C346" s="1"/>
      <c r="D346" s="84"/>
      <c r="E346" s="84"/>
    </row>
    <row r="347" spans="1:5" ht="12" customHeight="1">
      <c r="A347" s="8"/>
      <c r="B347" s="1"/>
      <c r="C347" s="1"/>
      <c r="D347" s="84"/>
      <c r="E347" s="84"/>
    </row>
    <row r="348" spans="1:5" ht="12" customHeight="1">
      <c r="A348" s="8"/>
      <c r="B348" s="1"/>
      <c r="C348" s="1"/>
      <c r="D348" s="84"/>
      <c r="E348" s="84"/>
    </row>
    <row r="349" spans="1:5" ht="12" customHeight="1">
      <c r="A349" s="8"/>
      <c r="B349" s="1"/>
      <c r="C349" s="1"/>
      <c r="D349" s="84"/>
      <c r="E349" s="84"/>
    </row>
    <row r="350" spans="1:5" ht="12" customHeight="1">
      <c r="A350" s="8"/>
      <c r="B350" s="1"/>
      <c r="C350" s="1"/>
      <c r="D350" s="84"/>
      <c r="E350" s="84"/>
    </row>
    <row r="351" spans="1:5" ht="12" customHeight="1">
      <c r="A351" s="8"/>
      <c r="B351" s="1"/>
      <c r="C351" s="1"/>
      <c r="D351" s="84"/>
      <c r="E351" s="84"/>
    </row>
    <row r="352" spans="1:5" ht="12" customHeight="1">
      <c r="A352" s="8"/>
      <c r="B352" s="1"/>
      <c r="C352" s="1"/>
      <c r="D352" s="84"/>
      <c r="E352" s="84"/>
    </row>
    <row r="353" spans="1:5" ht="12" customHeight="1">
      <c r="A353" s="8"/>
      <c r="B353" s="1"/>
      <c r="C353" s="1"/>
      <c r="D353" s="84"/>
      <c r="E353" s="84"/>
    </row>
    <row r="354" spans="1:5" ht="12" customHeight="1">
      <c r="A354" s="8"/>
      <c r="B354" s="1"/>
      <c r="C354" s="1"/>
      <c r="D354" s="84"/>
      <c r="E354" s="84"/>
    </row>
    <row r="355" spans="1:5" ht="12" customHeight="1">
      <c r="A355" s="8"/>
      <c r="B355" s="1"/>
      <c r="C355" s="1"/>
      <c r="D355" s="84"/>
      <c r="E355" s="84"/>
    </row>
    <row r="356" spans="1:5" ht="12" customHeight="1">
      <c r="A356" s="8"/>
      <c r="B356" s="1"/>
      <c r="C356" s="1"/>
      <c r="D356" s="84"/>
      <c r="E356" s="84"/>
    </row>
    <row r="357" spans="1:5" ht="12" customHeight="1">
      <c r="A357" s="8"/>
      <c r="B357" s="1"/>
      <c r="C357" s="1"/>
      <c r="D357" s="84"/>
      <c r="E357" s="84"/>
    </row>
    <row r="358" spans="1:5" ht="12" customHeight="1">
      <c r="A358" s="8"/>
      <c r="B358" s="1"/>
      <c r="C358" s="1"/>
      <c r="D358" s="84"/>
      <c r="E358" s="84"/>
    </row>
    <row r="359" spans="1:5" ht="12" customHeight="1">
      <c r="A359" s="8"/>
      <c r="B359" s="1"/>
      <c r="C359" s="1"/>
      <c r="D359" s="84"/>
      <c r="E359" s="84"/>
    </row>
    <row r="360" spans="1:5" ht="12" customHeight="1">
      <c r="A360" s="8"/>
      <c r="B360" s="1"/>
      <c r="C360" s="1"/>
      <c r="D360" s="84"/>
      <c r="E360" s="84"/>
    </row>
    <row r="361" spans="1:5" ht="12" customHeight="1">
      <c r="A361" s="8"/>
      <c r="B361" s="1"/>
      <c r="C361" s="1"/>
      <c r="D361" s="84"/>
      <c r="E361" s="84"/>
    </row>
    <row r="362" spans="1:5" ht="12" customHeight="1">
      <c r="A362" s="8"/>
      <c r="B362" s="1"/>
      <c r="C362" s="1"/>
      <c r="D362" s="84"/>
      <c r="E362" s="84"/>
    </row>
    <row r="363" spans="1:5" ht="12" customHeight="1">
      <c r="A363" s="8"/>
      <c r="B363" s="1"/>
      <c r="C363" s="1"/>
      <c r="D363" s="84"/>
      <c r="E363" s="84"/>
    </row>
    <row r="364" spans="1:5" ht="12" customHeight="1">
      <c r="A364" s="8"/>
      <c r="B364" s="1"/>
      <c r="C364" s="1"/>
      <c r="D364" s="84"/>
      <c r="E364" s="84"/>
    </row>
    <row r="365" spans="1:5" ht="12" customHeight="1">
      <c r="A365" s="8"/>
      <c r="B365" s="1"/>
      <c r="C365" s="1"/>
      <c r="D365" s="84"/>
      <c r="E365" s="84"/>
    </row>
    <row r="366" spans="1:5" ht="12" customHeight="1">
      <c r="A366" s="8"/>
      <c r="B366" s="1"/>
      <c r="C366" s="1"/>
      <c r="D366" s="84"/>
      <c r="E366" s="84"/>
    </row>
    <row r="367" spans="1:5" ht="12" customHeight="1">
      <c r="A367" s="8"/>
      <c r="B367" s="1"/>
      <c r="C367" s="1"/>
      <c r="D367" s="84"/>
      <c r="E367" s="84"/>
    </row>
    <row r="368" spans="1:5" ht="12" customHeight="1">
      <c r="A368" s="8"/>
      <c r="B368" s="1"/>
      <c r="C368" s="1"/>
      <c r="D368" s="84"/>
      <c r="E368" s="84"/>
    </row>
    <row r="369" spans="1:5" ht="12" customHeight="1">
      <c r="A369" s="8"/>
      <c r="B369" s="1"/>
      <c r="C369" s="1"/>
      <c r="D369" s="84"/>
      <c r="E369" s="84"/>
    </row>
    <row r="370" spans="1:5" ht="12" customHeight="1">
      <c r="A370" s="8"/>
      <c r="B370" s="1"/>
      <c r="C370" s="1"/>
      <c r="D370" s="84"/>
      <c r="E370" s="84"/>
    </row>
    <row r="371" spans="1:5" ht="12" customHeight="1">
      <c r="A371" s="8"/>
      <c r="B371" s="1"/>
      <c r="C371" s="1"/>
      <c r="D371" s="84"/>
      <c r="E371" s="84"/>
    </row>
    <row r="372" spans="1:5" ht="12" customHeight="1">
      <c r="A372" s="8"/>
      <c r="B372" s="1"/>
      <c r="C372" s="1"/>
      <c r="D372" s="84"/>
      <c r="E372" s="84"/>
    </row>
    <row r="373" spans="1:5" ht="12" customHeight="1">
      <c r="A373" s="8"/>
      <c r="B373" s="1"/>
      <c r="C373" s="1"/>
      <c r="D373" s="84"/>
      <c r="E373" s="84"/>
    </row>
    <row r="374" spans="1:5" ht="12" customHeight="1">
      <c r="A374" s="8"/>
      <c r="B374" s="1"/>
      <c r="C374" s="1"/>
      <c r="D374" s="84"/>
      <c r="E374" s="84"/>
    </row>
    <row r="375" spans="1:5" ht="12" customHeight="1">
      <c r="A375" s="8"/>
      <c r="B375" s="1"/>
      <c r="C375" s="1"/>
      <c r="D375" s="84"/>
      <c r="E375" s="84"/>
    </row>
    <row r="376" spans="1:5" ht="12" customHeight="1">
      <c r="A376" s="8"/>
      <c r="B376" s="1"/>
      <c r="C376" s="1"/>
      <c r="D376" s="84"/>
      <c r="E376" s="84"/>
    </row>
    <row r="377" spans="1:5" ht="12" customHeight="1">
      <c r="A377" s="8"/>
      <c r="B377" s="1"/>
      <c r="C377" s="1"/>
      <c r="D377" s="84"/>
      <c r="E377" s="84"/>
    </row>
    <row r="378" spans="1:5" ht="12" customHeight="1">
      <c r="A378" s="8"/>
      <c r="B378" s="1"/>
      <c r="C378" s="1"/>
      <c r="D378" s="84"/>
      <c r="E378" s="84"/>
    </row>
    <row r="379" spans="1:5" ht="12" customHeight="1">
      <c r="A379" s="8"/>
      <c r="B379" s="1"/>
      <c r="C379" s="1"/>
      <c r="D379" s="84"/>
      <c r="E379" s="84"/>
    </row>
    <row r="380" spans="1:5" ht="12" customHeight="1">
      <c r="A380" s="8"/>
      <c r="B380" s="1"/>
      <c r="C380" s="1"/>
      <c r="D380" s="84"/>
      <c r="E380" s="84"/>
    </row>
    <row r="381" spans="1:5" ht="12" customHeight="1">
      <c r="A381" s="8"/>
      <c r="B381" s="1"/>
      <c r="C381" s="1"/>
      <c r="D381" s="84"/>
      <c r="E381" s="84"/>
    </row>
    <row r="382" spans="1:5" ht="12" customHeight="1">
      <c r="A382" s="8"/>
      <c r="B382" s="1"/>
      <c r="C382" s="1"/>
      <c r="D382" s="84"/>
      <c r="E382" s="84"/>
    </row>
    <row r="383" spans="1:5" ht="12" customHeight="1">
      <c r="A383" s="8"/>
      <c r="B383" s="1"/>
      <c r="C383" s="1"/>
      <c r="D383" s="84"/>
      <c r="E383" s="84"/>
    </row>
    <row r="384" spans="1:5" ht="12" customHeight="1">
      <c r="A384" s="8"/>
      <c r="B384" s="1"/>
      <c r="C384" s="1"/>
      <c r="D384" s="84"/>
      <c r="E384" s="84"/>
    </row>
    <row r="385" spans="1:5" ht="12" customHeight="1">
      <c r="A385" s="8"/>
      <c r="B385" s="1"/>
      <c r="C385" s="1"/>
      <c r="D385" s="84"/>
      <c r="E385" s="84"/>
    </row>
    <row r="386" spans="1:5" ht="12" customHeight="1">
      <c r="A386" s="8"/>
      <c r="B386" s="1"/>
      <c r="C386" s="1"/>
      <c r="D386" s="84"/>
      <c r="E386" s="84"/>
    </row>
    <row r="387" spans="1:5" ht="12" customHeight="1">
      <c r="A387" s="8"/>
      <c r="B387" s="1"/>
      <c r="C387" s="1"/>
      <c r="D387" s="84"/>
      <c r="E387" s="84"/>
    </row>
    <row r="388" spans="1:5" ht="12" customHeight="1">
      <c r="A388" s="8"/>
      <c r="B388" s="1"/>
      <c r="C388" s="1"/>
      <c r="D388" s="84"/>
      <c r="E388" s="84"/>
    </row>
    <row r="389" spans="1:5" ht="12" customHeight="1">
      <c r="A389" s="8"/>
      <c r="B389" s="1"/>
      <c r="C389" s="1"/>
      <c r="D389" s="84"/>
      <c r="E389" s="84"/>
    </row>
    <row r="390" spans="1:5" ht="12" customHeight="1">
      <c r="A390" s="8"/>
      <c r="B390" s="1"/>
      <c r="C390" s="1"/>
      <c r="D390" s="84"/>
      <c r="E390" s="84"/>
    </row>
    <row r="391" spans="1:5" ht="12" customHeight="1">
      <c r="A391" s="8"/>
      <c r="B391" s="1"/>
      <c r="C391" s="1"/>
      <c r="D391" s="84"/>
      <c r="E391" s="84"/>
    </row>
    <row r="392" spans="1:5" ht="12" customHeight="1">
      <c r="A392" s="8"/>
      <c r="B392" s="1"/>
      <c r="C392" s="1"/>
      <c r="D392" s="84"/>
      <c r="E392" s="84"/>
    </row>
    <row r="393" spans="1:5" ht="12" customHeight="1">
      <c r="A393" s="8"/>
      <c r="B393" s="1"/>
      <c r="C393" s="1"/>
      <c r="D393" s="84"/>
      <c r="E393" s="84"/>
    </row>
    <row r="394" spans="1:5" ht="12" customHeight="1">
      <c r="A394" s="8"/>
      <c r="B394" s="1"/>
      <c r="C394" s="1"/>
      <c r="D394" s="84"/>
      <c r="E394" s="84"/>
    </row>
    <row r="395" spans="1:5" ht="12" customHeight="1">
      <c r="A395" s="8"/>
      <c r="B395" s="1"/>
      <c r="C395" s="1"/>
      <c r="D395" s="84"/>
      <c r="E395" s="84"/>
    </row>
    <row r="396" spans="1:5" ht="12" customHeight="1">
      <c r="A396" s="8"/>
      <c r="B396" s="1"/>
      <c r="C396" s="1"/>
      <c r="D396" s="84"/>
      <c r="E396" s="84"/>
    </row>
    <row r="397" spans="1:5" ht="12" customHeight="1">
      <c r="A397" s="8"/>
      <c r="B397" s="1"/>
      <c r="C397" s="1"/>
      <c r="D397" s="84"/>
      <c r="E397" s="84"/>
    </row>
    <row r="398" spans="1:5" ht="12" customHeight="1">
      <c r="A398" s="8"/>
      <c r="B398" s="1"/>
      <c r="C398" s="1"/>
      <c r="D398" s="84"/>
      <c r="E398" s="84"/>
    </row>
    <row r="399" spans="1:5" ht="12" customHeight="1">
      <c r="A399" s="8"/>
      <c r="B399" s="1"/>
      <c r="C399" s="1"/>
      <c r="D399" s="84"/>
      <c r="E399" s="84"/>
    </row>
    <row r="400" spans="1:5" ht="12" customHeight="1">
      <c r="A400" s="8"/>
      <c r="B400" s="1"/>
      <c r="C400" s="1"/>
      <c r="D400" s="84"/>
      <c r="E400" s="84"/>
    </row>
    <row r="401" spans="1:5" ht="12" customHeight="1">
      <c r="A401" s="8"/>
      <c r="B401" s="1"/>
      <c r="C401" s="1"/>
      <c r="D401" s="84"/>
      <c r="E401" s="84"/>
    </row>
    <row r="402" spans="1:5" ht="12" customHeight="1">
      <c r="A402" s="8"/>
      <c r="B402" s="1"/>
      <c r="C402" s="1"/>
      <c r="D402" s="84"/>
      <c r="E402" s="84"/>
    </row>
    <row r="403" spans="1:5" ht="12" customHeight="1">
      <c r="A403" s="8"/>
      <c r="B403" s="1"/>
      <c r="C403" s="1"/>
      <c r="D403" s="84"/>
      <c r="E403" s="84"/>
    </row>
    <row r="404" spans="1:5" ht="12" customHeight="1">
      <c r="A404" s="8"/>
      <c r="B404" s="1"/>
      <c r="C404" s="1"/>
      <c r="D404" s="84"/>
      <c r="E404" s="84"/>
    </row>
    <row r="405" spans="1:5" ht="12" customHeight="1">
      <c r="A405" s="8"/>
      <c r="B405" s="1"/>
      <c r="C405" s="1"/>
      <c r="D405" s="84"/>
      <c r="E405" s="84"/>
    </row>
    <row r="406" spans="1:5" ht="12" customHeight="1">
      <c r="A406" s="8"/>
      <c r="B406" s="1"/>
      <c r="C406" s="1"/>
      <c r="D406" s="84"/>
      <c r="E406" s="84"/>
    </row>
    <row r="407" spans="1:5" ht="12" customHeight="1">
      <c r="A407" s="8"/>
      <c r="B407" s="1"/>
      <c r="C407" s="1"/>
      <c r="D407" s="84"/>
      <c r="E407" s="84"/>
    </row>
    <row r="408" spans="1:5" ht="12" customHeight="1">
      <c r="A408" s="8"/>
      <c r="B408" s="1"/>
      <c r="C408" s="1"/>
      <c r="D408" s="84"/>
      <c r="E408" s="84"/>
    </row>
    <row r="409" spans="1:5" ht="12" customHeight="1">
      <c r="A409" s="8"/>
      <c r="B409" s="1"/>
      <c r="C409" s="1"/>
      <c r="D409" s="84"/>
      <c r="E409" s="84"/>
    </row>
    <row r="410" spans="1:5" ht="12" customHeight="1">
      <c r="A410" s="8"/>
      <c r="B410" s="1"/>
      <c r="C410" s="1"/>
      <c r="D410" s="84"/>
      <c r="E410" s="84"/>
    </row>
    <row r="411" spans="1:5" ht="12" customHeight="1">
      <c r="A411" s="8"/>
      <c r="B411" s="1"/>
      <c r="C411" s="1"/>
      <c r="D411" s="84"/>
      <c r="E411" s="84"/>
    </row>
    <row r="412" spans="1:5" ht="12" customHeight="1">
      <c r="A412" s="8"/>
      <c r="B412" s="1"/>
      <c r="C412" s="1"/>
      <c r="D412" s="84"/>
      <c r="E412" s="84"/>
    </row>
    <row r="413" spans="1:5" ht="12" customHeight="1">
      <c r="A413" s="8"/>
      <c r="B413" s="1"/>
      <c r="C413" s="1"/>
      <c r="D413" s="84"/>
      <c r="E413" s="84"/>
    </row>
    <row r="414" spans="1:5" ht="12" customHeight="1">
      <c r="A414" s="8"/>
      <c r="B414" s="1"/>
      <c r="C414" s="1"/>
      <c r="D414" s="84"/>
      <c r="E414" s="84"/>
    </row>
    <row r="415" spans="1:5" ht="12" customHeight="1">
      <c r="A415" s="8"/>
      <c r="B415" s="1"/>
      <c r="C415" s="1"/>
      <c r="D415" s="84"/>
      <c r="E415" s="84"/>
    </row>
    <row r="416" spans="1:5" ht="12" customHeight="1">
      <c r="A416" s="8"/>
      <c r="B416" s="1"/>
      <c r="C416" s="1"/>
      <c r="D416" s="84"/>
      <c r="E416" s="84"/>
    </row>
    <row r="417" spans="1:5" ht="12" customHeight="1">
      <c r="A417" s="8"/>
      <c r="B417" s="1"/>
      <c r="C417" s="1"/>
      <c r="D417" s="84"/>
      <c r="E417" s="84"/>
    </row>
    <row r="418" spans="1:5" ht="12" customHeight="1">
      <c r="A418" s="8"/>
      <c r="B418" s="1"/>
      <c r="C418" s="1"/>
      <c r="D418" s="84"/>
      <c r="E418" s="84"/>
    </row>
    <row r="419" spans="1:5" ht="12" customHeight="1">
      <c r="A419" s="8"/>
      <c r="B419" s="1"/>
      <c r="C419" s="1"/>
      <c r="D419" s="84"/>
      <c r="E419" s="84"/>
    </row>
    <row r="420" spans="1:5" ht="12" customHeight="1">
      <c r="A420" s="8"/>
      <c r="B420" s="1"/>
      <c r="C420" s="1"/>
      <c r="D420" s="84"/>
      <c r="E420" s="84"/>
    </row>
    <row r="421" spans="1:5" ht="12" customHeight="1">
      <c r="A421" s="8"/>
      <c r="B421" s="1"/>
      <c r="C421" s="1"/>
      <c r="D421" s="84"/>
      <c r="E421" s="84"/>
    </row>
    <row r="422" spans="1:5" ht="12" customHeight="1">
      <c r="A422" s="8"/>
      <c r="B422" s="1"/>
      <c r="C422" s="1"/>
      <c r="D422" s="84"/>
      <c r="E422" s="84"/>
    </row>
    <row r="423" spans="1:5" ht="12" customHeight="1">
      <c r="A423" s="8"/>
      <c r="B423" s="1"/>
      <c r="C423" s="1"/>
      <c r="D423" s="84"/>
      <c r="E423" s="84"/>
    </row>
    <row r="424" spans="1:5" ht="12" customHeight="1">
      <c r="A424" s="8"/>
      <c r="B424" s="1"/>
      <c r="C424" s="1"/>
      <c r="D424" s="84"/>
      <c r="E424" s="84"/>
    </row>
    <row r="425" spans="1:5" ht="12" customHeight="1">
      <c r="A425" s="8"/>
      <c r="B425" s="1"/>
      <c r="C425" s="1"/>
      <c r="D425" s="84"/>
      <c r="E425" s="84"/>
    </row>
    <row r="426" spans="1:5" ht="12" customHeight="1">
      <c r="A426" s="8"/>
      <c r="B426" s="1"/>
      <c r="C426" s="1"/>
      <c r="D426" s="84"/>
      <c r="E426" s="84"/>
    </row>
    <row r="427" spans="1:5" ht="12" customHeight="1">
      <c r="A427" s="8"/>
      <c r="B427" s="1"/>
      <c r="C427" s="1"/>
      <c r="D427" s="84"/>
      <c r="E427" s="84"/>
    </row>
    <row r="428" spans="1:5" ht="12" customHeight="1">
      <c r="A428" s="8"/>
      <c r="B428" s="1"/>
      <c r="C428" s="1"/>
      <c r="D428" s="84"/>
      <c r="E428" s="84"/>
    </row>
    <row r="429" spans="1:5" ht="12" customHeight="1">
      <c r="A429" s="8"/>
      <c r="B429" s="1"/>
      <c r="C429" s="1"/>
      <c r="D429" s="84"/>
      <c r="E429" s="84"/>
    </row>
    <row r="430" spans="1:5" ht="12" customHeight="1">
      <c r="A430" s="8"/>
      <c r="B430" s="1"/>
      <c r="C430" s="1"/>
      <c r="D430" s="84"/>
      <c r="E430" s="84"/>
    </row>
    <row r="431" spans="1:5" ht="12" customHeight="1">
      <c r="A431" s="8"/>
      <c r="B431" s="1"/>
      <c r="C431" s="1"/>
      <c r="D431" s="84"/>
      <c r="E431" s="84"/>
    </row>
    <row r="432" spans="1:5" ht="12" customHeight="1">
      <c r="A432" s="8"/>
      <c r="B432" s="1"/>
      <c r="C432" s="1"/>
      <c r="D432" s="84"/>
      <c r="E432" s="84"/>
    </row>
    <row r="433" spans="1:5" ht="12" customHeight="1">
      <c r="A433" s="8"/>
      <c r="B433" s="1"/>
      <c r="C433" s="1"/>
      <c r="D433" s="84"/>
      <c r="E433" s="84"/>
    </row>
    <row r="434" spans="1:5" ht="12" customHeight="1">
      <c r="A434" s="8"/>
      <c r="B434" s="1"/>
      <c r="C434" s="1"/>
      <c r="D434" s="84"/>
      <c r="E434" s="84"/>
    </row>
    <row r="435" spans="1:5" ht="12" customHeight="1">
      <c r="A435" s="8"/>
      <c r="B435" s="1"/>
      <c r="C435" s="1"/>
      <c r="D435" s="84"/>
      <c r="E435" s="84"/>
    </row>
    <row r="436" spans="1:5" ht="12" customHeight="1">
      <c r="A436" s="8"/>
      <c r="B436" s="1"/>
      <c r="C436" s="1"/>
      <c r="D436" s="84"/>
      <c r="E436" s="84"/>
    </row>
    <row r="437" spans="1:5" ht="12" customHeight="1">
      <c r="A437" s="8"/>
      <c r="B437" s="1"/>
      <c r="C437" s="1"/>
      <c r="D437" s="84"/>
      <c r="E437" s="84"/>
    </row>
    <row r="438" spans="1:5" ht="12" customHeight="1">
      <c r="A438" s="8"/>
      <c r="B438" s="1"/>
      <c r="C438" s="1"/>
      <c r="D438" s="84"/>
      <c r="E438" s="84"/>
    </row>
    <row r="439" spans="1:5" ht="12" customHeight="1">
      <c r="A439" s="8"/>
      <c r="B439" s="1"/>
      <c r="C439" s="1"/>
      <c r="D439" s="84"/>
      <c r="E439" s="84"/>
    </row>
    <row r="440" spans="1:5" ht="12" customHeight="1">
      <c r="A440" s="8"/>
      <c r="B440" s="1"/>
      <c r="C440" s="1"/>
      <c r="D440" s="84"/>
      <c r="E440" s="84"/>
    </row>
    <row r="441" spans="1:5" ht="12" customHeight="1">
      <c r="A441" s="8"/>
      <c r="B441" s="1"/>
      <c r="C441" s="1"/>
      <c r="D441" s="84"/>
      <c r="E441" s="84"/>
    </row>
    <row r="442" spans="1:5" ht="12" customHeight="1">
      <c r="A442" s="8"/>
      <c r="B442" s="1"/>
      <c r="C442" s="1"/>
      <c r="D442" s="84"/>
      <c r="E442" s="84"/>
    </row>
    <row r="443" spans="1:5" ht="12" customHeight="1">
      <c r="A443" s="8"/>
      <c r="B443" s="1"/>
      <c r="C443" s="1"/>
      <c r="D443" s="84"/>
      <c r="E443" s="84"/>
    </row>
    <row r="444" spans="1:5" ht="12" customHeight="1">
      <c r="A444" s="8"/>
      <c r="B444" s="1"/>
      <c r="C444" s="1"/>
      <c r="D444" s="84"/>
      <c r="E444" s="84"/>
    </row>
    <row r="445" spans="1:5" ht="12" customHeight="1">
      <c r="A445" s="8"/>
      <c r="B445" s="1"/>
      <c r="C445" s="1"/>
      <c r="D445" s="84"/>
      <c r="E445" s="84"/>
    </row>
    <row r="446" spans="1:5" ht="12" customHeight="1">
      <c r="A446" s="8"/>
      <c r="B446" s="1"/>
      <c r="C446" s="1"/>
      <c r="D446" s="84"/>
      <c r="E446" s="84"/>
    </row>
    <row r="447" spans="1:5" ht="12" customHeight="1">
      <c r="A447" s="8"/>
      <c r="B447" s="1"/>
      <c r="C447" s="1"/>
      <c r="D447" s="84"/>
      <c r="E447" s="84"/>
    </row>
    <row r="448" spans="1:5" ht="12" customHeight="1">
      <c r="A448" s="8"/>
      <c r="B448" s="1"/>
      <c r="C448" s="1"/>
      <c r="D448" s="84"/>
      <c r="E448" s="84"/>
    </row>
    <row r="449" spans="1:5" ht="12" customHeight="1">
      <c r="A449" s="8"/>
      <c r="B449" s="1"/>
      <c r="C449" s="1"/>
      <c r="D449" s="84"/>
      <c r="E449" s="84"/>
    </row>
    <row r="450" spans="1:5" ht="12" customHeight="1">
      <c r="A450" s="8"/>
      <c r="B450" s="1"/>
      <c r="C450" s="1"/>
      <c r="D450" s="84"/>
      <c r="E450" s="84"/>
    </row>
    <row r="451" spans="1:5" ht="12" customHeight="1">
      <c r="A451" s="8"/>
      <c r="B451" s="1"/>
      <c r="C451" s="1"/>
      <c r="D451" s="84"/>
      <c r="E451" s="84"/>
    </row>
    <row r="452" spans="1:5" ht="12" customHeight="1">
      <c r="A452" s="8"/>
      <c r="B452" s="1"/>
      <c r="C452" s="1"/>
      <c r="D452" s="84"/>
      <c r="E452" s="84"/>
    </row>
    <row r="453" spans="1:5" ht="12" customHeight="1">
      <c r="A453" s="8"/>
      <c r="B453" s="1"/>
      <c r="C453" s="1"/>
      <c r="D453" s="84"/>
      <c r="E453" s="84"/>
    </row>
    <row r="454" spans="1:5" ht="12" customHeight="1">
      <c r="A454" s="8"/>
      <c r="B454" s="1"/>
      <c r="C454" s="1"/>
      <c r="D454" s="84"/>
      <c r="E454" s="84"/>
    </row>
    <row r="455" spans="1:5" ht="12" customHeight="1">
      <c r="A455" s="8"/>
      <c r="B455" s="1"/>
      <c r="C455" s="1"/>
      <c r="D455" s="84"/>
      <c r="E455" s="84"/>
    </row>
    <row r="456" spans="1:5" ht="12" customHeight="1">
      <c r="A456" s="8"/>
      <c r="B456" s="1"/>
      <c r="C456" s="1"/>
      <c r="D456" s="84"/>
      <c r="E456" s="84"/>
    </row>
    <row r="457" spans="1:5" ht="12" customHeight="1">
      <c r="A457" s="8"/>
      <c r="B457" s="1"/>
      <c r="C457" s="1"/>
      <c r="D457" s="84"/>
      <c r="E457" s="84"/>
    </row>
    <row r="458" spans="1:5" ht="12" customHeight="1">
      <c r="A458" s="8"/>
      <c r="B458" s="1"/>
      <c r="C458" s="1"/>
      <c r="D458" s="84"/>
      <c r="E458" s="84"/>
    </row>
    <row r="459" spans="1:5" ht="12" customHeight="1">
      <c r="A459" s="8"/>
      <c r="B459" s="1"/>
      <c r="C459" s="1"/>
      <c r="D459" s="84"/>
      <c r="E459" s="84"/>
    </row>
    <row r="460" spans="1:5" ht="12" customHeight="1">
      <c r="A460" s="8"/>
      <c r="B460" s="1"/>
      <c r="C460" s="1"/>
      <c r="D460" s="84"/>
      <c r="E460" s="84"/>
    </row>
    <row r="461" spans="1:5" ht="12" customHeight="1">
      <c r="A461" s="8"/>
      <c r="B461" s="1"/>
      <c r="C461" s="1"/>
      <c r="D461" s="84"/>
      <c r="E461" s="84"/>
    </row>
    <row r="462" spans="1:5" ht="12" customHeight="1">
      <c r="A462" s="8"/>
      <c r="B462" s="1"/>
      <c r="C462" s="1"/>
      <c r="D462" s="84"/>
      <c r="E462" s="84"/>
    </row>
    <row r="463" spans="1:5" ht="12" customHeight="1">
      <c r="A463" s="8"/>
      <c r="B463" s="1"/>
      <c r="C463" s="1"/>
      <c r="D463" s="84"/>
      <c r="E463" s="84"/>
    </row>
    <row r="464" spans="1:5" ht="12" customHeight="1">
      <c r="A464" s="8"/>
      <c r="B464" s="1"/>
      <c r="C464" s="1"/>
      <c r="D464" s="84"/>
      <c r="E464" s="84"/>
    </row>
    <row r="465" spans="1:5" ht="12" customHeight="1">
      <c r="A465" s="8"/>
      <c r="B465" s="1"/>
      <c r="C465" s="1"/>
      <c r="D465" s="84"/>
      <c r="E465" s="84"/>
    </row>
    <row r="466" spans="1:5" ht="12" customHeight="1">
      <c r="A466" s="8"/>
      <c r="B466" s="1"/>
      <c r="C466" s="1"/>
      <c r="D466" s="84"/>
      <c r="E466" s="84"/>
    </row>
    <row r="467" spans="1:5" ht="12" customHeight="1">
      <c r="A467" s="8"/>
      <c r="B467" s="1"/>
      <c r="C467" s="1"/>
      <c r="D467" s="84"/>
      <c r="E467" s="84"/>
    </row>
    <row r="468" spans="1:5" ht="12" customHeight="1">
      <c r="A468" s="8"/>
      <c r="B468" s="1"/>
      <c r="C468" s="1"/>
      <c r="D468" s="84"/>
      <c r="E468" s="84"/>
    </row>
    <row r="469" spans="1:5" ht="12" customHeight="1">
      <c r="A469" s="8"/>
      <c r="B469" s="1"/>
      <c r="C469" s="1"/>
      <c r="D469" s="84"/>
      <c r="E469" s="84"/>
    </row>
    <row r="470" spans="1:5" ht="12" customHeight="1">
      <c r="A470" s="8"/>
      <c r="B470" s="1"/>
      <c r="C470" s="1"/>
      <c r="D470" s="84"/>
      <c r="E470" s="84"/>
    </row>
    <row r="471" spans="1:5" ht="12" customHeight="1">
      <c r="A471" s="8"/>
      <c r="B471" s="1"/>
      <c r="C471" s="1"/>
      <c r="D471" s="84"/>
      <c r="E471" s="84"/>
    </row>
    <row r="472" spans="1:5" ht="12" customHeight="1">
      <c r="A472" s="8"/>
      <c r="B472" s="1"/>
      <c r="C472" s="1"/>
      <c r="D472" s="84"/>
      <c r="E472" s="84"/>
    </row>
    <row r="473" spans="1:5" ht="12" customHeight="1">
      <c r="A473" s="8"/>
      <c r="B473" s="1"/>
      <c r="C473" s="1"/>
      <c r="D473" s="84"/>
      <c r="E473" s="84"/>
    </row>
    <row r="474" spans="1:5" ht="12" customHeight="1">
      <c r="A474" s="8"/>
      <c r="B474" s="1"/>
      <c r="C474" s="1"/>
      <c r="D474" s="84"/>
      <c r="E474" s="84"/>
    </row>
    <row r="475" spans="1:5" ht="12" customHeight="1">
      <c r="A475" s="8"/>
      <c r="B475" s="1"/>
      <c r="C475" s="1"/>
      <c r="D475" s="84"/>
      <c r="E475" s="84"/>
    </row>
    <row r="476" spans="1:5" ht="12" customHeight="1">
      <c r="A476" s="8"/>
      <c r="B476" s="1"/>
      <c r="C476" s="1"/>
      <c r="D476" s="84"/>
      <c r="E476" s="84"/>
    </row>
    <row r="477" spans="1:5" ht="12" customHeight="1">
      <c r="A477" s="8"/>
      <c r="B477" s="1"/>
      <c r="C477" s="1"/>
      <c r="D477" s="84"/>
      <c r="E477" s="84"/>
    </row>
    <row r="478" spans="1:5" ht="12" customHeight="1">
      <c r="A478" s="8"/>
      <c r="B478" s="1"/>
      <c r="C478" s="1"/>
      <c r="D478" s="84"/>
      <c r="E478" s="84"/>
    </row>
    <row r="479" spans="1:5" ht="12" customHeight="1">
      <c r="A479" s="8"/>
      <c r="B479" s="1"/>
      <c r="C479" s="1"/>
      <c r="D479" s="84"/>
      <c r="E479" s="84"/>
    </row>
    <row r="480" spans="1:5" ht="12" customHeight="1">
      <c r="A480" s="8"/>
      <c r="B480" s="1"/>
      <c r="C480" s="1"/>
      <c r="D480" s="84"/>
      <c r="E480" s="84"/>
    </row>
    <row r="481" spans="1:5" ht="12" customHeight="1">
      <c r="A481" s="8"/>
      <c r="B481" s="1"/>
      <c r="C481" s="1"/>
      <c r="D481" s="84"/>
      <c r="E481" s="84"/>
    </row>
    <row r="482" spans="1:5" ht="12" customHeight="1">
      <c r="A482" s="8"/>
      <c r="B482" s="1"/>
      <c r="C482" s="1"/>
      <c r="D482" s="84"/>
      <c r="E482" s="84"/>
    </row>
    <row r="483" spans="1:5" ht="12" customHeight="1">
      <c r="A483" s="8"/>
      <c r="B483" s="1"/>
      <c r="C483" s="1"/>
      <c r="D483" s="84"/>
      <c r="E483" s="84"/>
    </row>
    <row r="484" spans="1:5" ht="12" customHeight="1">
      <c r="A484" s="8"/>
      <c r="B484" s="1"/>
      <c r="C484" s="1"/>
      <c r="D484" s="84"/>
      <c r="E484" s="84"/>
    </row>
    <row r="485" spans="1:5" ht="12" customHeight="1">
      <c r="A485" s="8"/>
      <c r="B485" s="1"/>
      <c r="C485" s="1"/>
      <c r="D485" s="84"/>
      <c r="E485" s="84"/>
    </row>
    <row r="486" spans="1:5" ht="12" customHeight="1">
      <c r="A486" s="8"/>
      <c r="B486" s="1"/>
      <c r="C486" s="1"/>
      <c r="D486" s="84"/>
      <c r="E486" s="84"/>
    </row>
    <row r="487" spans="1:5" ht="12" customHeight="1">
      <c r="A487" s="8"/>
      <c r="B487" s="1"/>
      <c r="C487" s="1"/>
      <c r="D487" s="84"/>
      <c r="E487" s="84"/>
    </row>
    <row r="488" spans="1:5" ht="12" customHeight="1">
      <c r="A488" s="8"/>
      <c r="B488" s="1"/>
      <c r="C488" s="1"/>
      <c r="D488" s="84"/>
      <c r="E488" s="84"/>
    </row>
    <row r="489" spans="1:5" ht="12" customHeight="1">
      <c r="A489" s="8"/>
      <c r="B489" s="1"/>
      <c r="C489" s="1"/>
      <c r="D489" s="84"/>
      <c r="E489" s="84"/>
    </row>
    <row r="490" spans="1:5" ht="12" customHeight="1">
      <c r="A490" s="8"/>
      <c r="B490" s="1"/>
      <c r="C490" s="1"/>
      <c r="D490" s="84"/>
      <c r="E490" s="84"/>
    </row>
    <row r="491" spans="1:5" ht="12" customHeight="1">
      <c r="A491" s="8"/>
      <c r="B491" s="1"/>
      <c r="C491" s="1"/>
      <c r="D491" s="84"/>
      <c r="E491" s="84"/>
    </row>
    <row r="492" spans="1:5" ht="12" customHeight="1">
      <c r="A492" s="8"/>
      <c r="B492" s="1"/>
      <c r="C492" s="1"/>
      <c r="D492" s="84"/>
      <c r="E492" s="84"/>
    </row>
    <row r="493" spans="1:5" ht="12" customHeight="1">
      <c r="A493" s="8"/>
      <c r="B493" s="1"/>
      <c r="C493" s="1"/>
      <c r="D493" s="84"/>
      <c r="E493" s="84"/>
    </row>
    <row r="494" spans="1:5" ht="12" customHeight="1">
      <c r="A494" s="8"/>
      <c r="B494" s="1"/>
      <c r="C494" s="1"/>
      <c r="D494" s="84"/>
      <c r="E494" s="84"/>
    </row>
    <row r="495" spans="1:5" ht="12" customHeight="1">
      <c r="A495" s="8"/>
      <c r="B495" s="1"/>
      <c r="C495" s="1"/>
      <c r="D495" s="84"/>
      <c r="E495" s="84"/>
    </row>
    <row r="496" spans="1:5" ht="12" customHeight="1">
      <c r="A496" s="8"/>
      <c r="B496" s="1"/>
      <c r="C496" s="1"/>
      <c r="D496" s="84"/>
      <c r="E496" s="84"/>
    </row>
    <row r="497" spans="1:5" ht="12" customHeight="1">
      <c r="A497" s="8"/>
      <c r="B497" s="1"/>
      <c r="C497" s="1"/>
      <c r="D497" s="84"/>
      <c r="E497" s="84"/>
    </row>
    <row r="498" spans="1:5" ht="12" customHeight="1">
      <c r="A498" s="8"/>
      <c r="B498" s="1"/>
      <c r="C498" s="1"/>
      <c r="D498" s="84"/>
      <c r="E498" s="84"/>
    </row>
    <row r="499" spans="1:5" ht="12" customHeight="1">
      <c r="A499" s="8"/>
      <c r="B499" s="1"/>
      <c r="C499" s="1"/>
      <c r="D499" s="84"/>
      <c r="E499" s="84"/>
    </row>
    <row r="500" spans="1:5" ht="12" customHeight="1">
      <c r="A500" s="8"/>
      <c r="B500" s="1"/>
      <c r="C500" s="1"/>
      <c r="D500" s="84"/>
      <c r="E500" s="84"/>
    </row>
    <row r="501" spans="1:5" ht="12" customHeight="1">
      <c r="A501" s="8"/>
      <c r="B501" s="1"/>
      <c r="C501" s="1"/>
      <c r="D501" s="84"/>
      <c r="E501" s="84"/>
    </row>
    <row r="502" spans="1:5" ht="12" customHeight="1">
      <c r="A502" s="8"/>
      <c r="B502" s="1"/>
      <c r="C502" s="1"/>
      <c r="D502" s="84"/>
      <c r="E502" s="84"/>
    </row>
    <row r="503" spans="1:5" ht="12" customHeight="1">
      <c r="A503" s="8"/>
      <c r="B503" s="1"/>
      <c r="C503" s="1"/>
      <c r="D503" s="84"/>
      <c r="E503" s="84"/>
    </row>
    <row r="504" spans="1:5" ht="12" customHeight="1">
      <c r="A504" s="8"/>
      <c r="B504" s="1"/>
      <c r="C504" s="1"/>
      <c r="D504" s="84"/>
      <c r="E504" s="84"/>
    </row>
    <row r="505" spans="1:5" ht="12" customHeight="1">
      <c r="A505" s="8"/>
      <c r="B505" s="1"/>
      <c r="C505" s="1"/>
      <c r="D505" s="84"/>
      <c r="E505" s="84"/>
    </row>
    <row r="506" spans="1:5" ht="12" customHeight="1">
      <c r="A506" s="8"/>
      <c r="B506" s="1"/>
      <c r="C506" s="1"/>
      <c r="D506" s="84"/>
      <c r="E506" s="84"/>
    </row>
    <row r="507" spans="1:5" ht="12" customHeight="1">
      <c r="A507" s="8"/>
      <c r="B507" s="1"/>
      <c r="C507" s="1"/>
      <c r="D507" s="84"/>
      <c r="E507" s="84"/>
    </row>
    <row r="508" spans="1:5" ht="12" customHeight="1">
      <c r="A508" s="8"/>
      <c r="B508" s="1"/>
      <c r="C508" s="1"/>
      <c r="D508" s="84"/>
      <c r="E508" s="84"/>
    </row>
    <row r="509" spans="1:5" ht="12" customHeight="1">
      <c r="A509" s="8"/>
      <c r="B509" s="1"/>
      <c r="C509" s="1"/>
      <c r="D509" s="84"/>
      <c r="E509" s="84"/>
    </row>
    <row r="510" spans="1:5" ht="12" customHeight="1">
      <c r="A510" s="8"/>
      <c r="B510" s="1"/>
      <c r="C510" s="1"/>
      <c r="D510" s="84"/>
      <c r="E510" s="84"/>
    </row>
    <row r="511" spans="1:5" ht="12" customHeight="1">
      <c r="A511" s="8"/>
      <c r="B511" s="1"/>
      <c r="C511" s="1"/>
      <c r="D511" s="84"/>
      <c r="E511" s="84"/>
    </row>
    <row r="512" spans="1:5" ht="12" customHeight="1">
      <c r="A512" s="8"/>
      <c r="B512" s="1"/>
      <c r="C512" s="1"/>
      <c r="D512" s="84"/>
      <c r="E512" s="84"/>
    </row>
    <row r="513" spans="1:5" ht="12" customHeight="1">
      <c r="A513" s="8"/>
      <c r="B513" s="1"/>
      <c r="C513" s="1"/>
      <c r="D513" s="84"/>
      <c r="E513" s="84"/>
    </row>
    <row r="514" spans="1:5" ht="12" customHeight="1">
      <c r="A514" s="8"/>
      <c r="B514" s="1"/>
      <c r="C514" s="1"/>
      <c r="D514" s="84"/>
      <c r="E514" s="84"/>
    </row>
    <row r="515" spans="1:5" ht="12" customHeight="1">
      <c r="A515" s="8"/>
      <c r="B515" s="1"/>
      <c r="C515" s="1"/>
      <c r="D515" s="84"/>
      <c r="E515" s="84"/>
    </row>
    <row r="516" spans="1:5" ht="12" customHeight="1">
      <c r="A516" s="8"/>
      <c r="B516" s="1"/>
      <c r="C516" s="1"/>
      <c r="D516" s="84"/>
      <c r="E516" s="84"/>
    </row>
    <row r="517" spans="1:5" ht="12" customHeight="1">
      <c r="A517" s="8"/>
      <c r="B517" s="1"/>
      <c r="C517" s="1"/>
      <c r="D517" s="84"/>
      <c r="E517" s="84"/>
    </row>
    <row r="518" spans="1:5" ht="12" customHeight="1">
      <c r="A518" s="8"/>
      <c r="B518" s="1"/>
      <c r="C518" s="1"/>
      <c r="D518" s="84"/>
      <c r="E518" s="84"/>
    </row>
    <row r="519" spans="1:5" ht="12" customHeight="1">
      <c r="A519" s="8"/>
      <c r="B519" s="1"/>
      <c r="C519" s="1"/>
      <c r="D519" s="84"/>
      <c r="E519" s="84"/>
    </row>
    <row r="520" spans="1:5" ht="12" customHeight="1">
      <c r="A520" s="8"/>
      <c r="B520" s="1"/>
      <c r="C520" s="1"/>
      <c r="D520" s="84"/>
      <c r="E520" s="84"/>
    </row>
    <row r="521" spans="1:5" ht="12" customHeight="1">
      <c r="A521" s="8"/>
      <c r="B521" s="1"/>
      <c r="C521" s="1"/>
      <c r="D521" s="84"/>
      <c r="E521" s="84"/>
    </row>
    <row r="522" spans="1:5" ht="12" customHeight="1">
      <c r="A522" s="8"/>
      <c r="B522" s="1"/>
      <c r="C522" s="1"/>
      <c r="D522" s="84"/>
      <c r="E522" s="84"/>
    </row>
    <row r="523" spans="1:5" ht="12" customHeight="1">
      <c r="A523" s="8"/>
      <c r="B523" s="1"/>
      <c r="C523" s="1"/>
      <c r="D523" s="84"/>
      <c r="E523" s="84"/>
    </row>
    <row r="524" spans="1:5" ht="12" customHeight="1">
      <c r="A524" s="8"/>
      <c r="B524" s="1"/>
      <c r="C524" s="1"/>
      <c r="D524" s="84"/>
      <c r="E524" s="84"/>
    </row>
    <row r="525" spans="1:5" ht="12" customHeight="1">
      <c r="A525" s="8"/>
      <c r="B525" s="1"/>
      <c r="C525" s="1"/>
      <c r="D525" s="84"/>
      <c r="E525" s="84"/>
    </row>
    <row r="526" spans="1:5" ht="12" customHeight="1">
      <c r="A526" s="8"/>
      <c r="B526" s="1"/>
      <c r="C526" s="1"/>
      <c r="D526" s="84"/>
      <c r="E526" s="84"/>
    </row>
    <row r="527" spans="1:5" ht="12" customHeight="1">
      <c r="A527" s="8"/>
      <c r="B527" s="1"/>
      <c r="C527" s="1"/>
      <c r="D527" s="84"/>
      <c r="E527" s="84"/>
    </row>
    <row r="528" spans="1:5" ht="12" customHeight="1">
      <c r="A528" s="8"/>
      <c r="B528" s="1"/>
      <c r="C528" s="1"/>
      <c r="D528" s="84"/>
      <c r="E528" s="84"/>
    </row>
    <row r="529" spans="1:5" ht="12" customHeight="1">
      <c r="A529" s="8"/>
      <c r="B529" s="1"/>
      <c r="C529" s="1"/>
      <c r="D529" s="84"/>
      <c r="E529" s="84"/>
    </row>
    <row r="530" spans="1:5" ht="12" customHeight="1">
      <c r="A530" s="8"/>
      <c r="B530" s="1"/>
      <c r="C530" s="1"/>
      <c r="D530" s="84"/>
      <c r="E530" s="84"/>
    </row>
    <row r="531" spans="1:5" ht="12" customHeight="1">
      <c r="A531" s="8"/>
      <c r="B531" s="1"/>
      <c r="C531" s="1"/>
      <c r="D531" s="84"/>
      <c r="E531" s="84"/>
    </row>
    <row r="532" spans="1:5" ht="12" customHeight="1">
      <c r="A532" s="8"/>
      <c r="B532" s="1"/>
      <c r="C532" s="1"/>
      <c r="D532" s="84"/>
      <c r="E532" s="84"/>
    </row>
    <row r="533" spans="1:5" ht="12" customHeight="1">
      <c r="A533" s="8"/>
      <c r="B533" s="1"/>
      <c r="C533" s="1"/>
      <c r="D533" s="84"/>
      <c r="E533" s="84"/>
    </row>
    <row r="534" spans="1:5" ht="12" customHeight="1">
      <c r="A534" s="8"/>
      <c r="B534" s="1"/>
      <c r="C534" s="1"/>
      <c r="D534" s="84"/>
      <c r="E534" s="84"/>
    </row>
    <row r="535" spans="1:5" ht="12" customHeight="1">
      <c r="A535" s="8"/>
      <c r="B535" s="1"/>
      <c r="C535" s="1"/>
      <c r="D535" s="84"/>
      <c r="E535" s="84"/>
    </row>
    <row r="536" spans="1:5" ht="12" customHeight="1">
      <c r="A536" s="8"/>
      <c r="B536" s="1"/>
      <c r="C536" s="1"/>
      <c r="D536" s="84"/>
      <c r="E536" s="84"/>
    </row>
    <row r="537" spans="1:5" ht="12" customHeight="1">
      <c r="A537" s="8"/>
      <c r="B537" s="1"/>
      <c r="C537" s="1"/>
      <c r="D537" s="84"/>
      <c r="E537" s="84"/>
    </row>
    <row r="538" spans="1:5" ht="12" customHeight="1">
      <c r="A538" s="8"/>
      <c r="B538" s="1"/>
      <c r="C538" s="1"/>
      <c r="D538" s="84"/>
      <c r="E538" s="84"/>
    </row>
    <row r="539" spans="1:5" ht="12" customHeight="1">
      <c r="A539" s="8"/>
      <c r="B539" s="1"/>
      <c r="C539" s="1"/>
      <c r="D539" s="84"/>
      <c r="E539" s="84"/>
    </row>
    <row r="540" spans="1:5" ht="12" customHeight="1">
      <c r="A540" s="8"/>
      <c r="B540" s="1"/>
      <c r="C540" s="1"/>
      <c r="D540" s="84"/>
      <c r="E540" s="84"/>
    </row>
    <row r="541" spans="1:5" ht="12" customHeight="1">
      <c r="A541" s="8"/>
      <c r="B541" s="1"/>
      <c r="C541" s="1"/>
      <c r="D541" s="84"/>
      <c r="E541" s="84"/>
    </row>
    <row r="542" spans="1:5" ht="12" customHeight="1">
      <c r="A542" s="8"/>
      <c r="B542" s="1"/>
      <c r="C542" s="1"/>
      <c r="D542" s="84"/>
      <c r="E542" s="84"/>
    </row>
    <row r="543" spans="1:5" ht="12" customHeight="1">
      <c r="A543" s="8"/>
      <c r="B543" s="1"/>
      <c r="C543" s="1"/>
      <c r="D543" s="84"/>
      <c r="E543" s="84"/>
    </row>
    <row r="544" spans="1:5" ht="12" customHeight="1">
      <c r="A544" s="8"/>
      <c r="B544" s="1"/>
      <c r="C544" s="1"/>
      <c r="D544" s="84"/>
      <c r="E544" s="84"/>
    </row>
    <row r="545" spans="1:5" ht="12" customHeight="1">
      <c r="A545" s="8"/>
      <c r="B545" s="1"/>
      <c r="C545" s="1"/>
      <c r="D545" s="84"/>
      <c r="E545" s="84"/>
    </row>
    <row r="546" spans="1:5" ht="12" customHeight="1">
      <c r="A546" s="8"/>
      <c r="B546" s="1"/>
      <c r="C546" s="1"/>
      <c r="D546" s="84"/>
      <c r="E546" s="84"/>
    </row>
    <row r="547" spans="1:5" ht="12" customHeight="1">
      <c r="A547" s="8"/>
      <c r="B547" s="1"/>
      <c r="C547" s="1"/>
      <c r="D547" s="84"/>
      <c r="E547" s="84"/>
    </row>
    <row r="548" spans="1:5" ht="12" customHeight="1">
      <c r="A548" s="8"/>
      <c r="B548" s="1"/>
      <c r="C548" s="1"/>
      <c r="D548" s="84"/>
      <c r="E548" s="84"/>
    </row>
    <row r="549" spans="1:5" ht="12" customHeight="1">
      <c r="A549" s="8"/>
      <c r="B549" s="1"/>
      <c r="C549" s="1"/>
      <c r="D549" s="84"/>
      <c r="E549" s="84"/>
    </row>
    <row r="550" spans="1:5" ht="12" customHeight="1">
      <c r="A550" s="8"/>
      <c r="B550" s="1"/>
      <c r="C550" s="1"/>
      <c r="D550" s="84"/>
      <c r="E550" s="84"/>
    </row>
    <row r="551" spans="1:5" ht="12" customHeight="1">
      <c r="A551" s="8"/>
      <c r="B551" s="1"/>
      <c r="C551" s="1"/>
      <c r="D551" s="84"/>
      <c r="E551" s="84"/>
    </row>
    <row r="552" spans="1:5" ht="12.75">
      <c r="A552" s="8"/>
      <c r="B552" s="1"/>
      <c r="C552" s="1"/>
      <c r="D552" s="84"/>
      <c r="E552" s="84"/>
    </row>
    <row r="553" spans="1:5" ht="12.75">
      <c r="A553" s="8"/>
      <c r="B553" s="1"/>
      <c r="C553" s="1"/>
      <c r="D553" s="84"/>
      <c r="E553" s="84"/>
    </row>
    <row r="554" spans="1:5" ht="12.75">
      <c r="A554" s="8"/>
      <c r="B554" s="1"/>
      <c r="C554" s="1"/>
      <c r="D554" s="84"/>
      <c r="E554" s="84"/>
    </row>
    <row r="555" spans="1:5" ht="12.75">
      <c r="A555" s="8"/>
      <c r="B555" s="1"/>
      <c r="C555" s="1"/>
      <c r="D555" s="84"/>
      <c r="E555" s="84"/>
    </row>
    <row r="556" spans="1:5" ht="12.75">
      <c r="A556" s="8"/>
      <c r="B556" s="1"/>
      <c r="C556" s="1"/>
      <c r="D556" s="84"/>
      <c r="E556" s="84"/>
    </row>
    <row r="557" spans="1:5" ht="12.75">
      <c r="A557" s="8"/>
      <c r="B557" s="1"/>
      <c r="C557" s="1"/>
      <c r="D557" s="84"/>
      <c r="E557" s="84"/>
    </row>
    <row r="558" spans="1:5" ht="12.75">
      <c r="A558" s="8"/>
      <c r="B558" s="1"/>
      <c r="C558" s="1"/>
      <c r="D558" s="84"/>
      <c r="E558" s="84"/>
    </row>
    <row r="559" spans="1:5" ht="12.75">
      <c r="A559" s="8"/>
      <c r="B559" s="1"/>
      <c r="C559" s="1"/>
      <c r="D559" s="84"/>
      <c r="E559" s="84"/>
    </row>
    <row r="560" spans="1:5" ht="12.75">
      <c r="A560" s="8"/>
      <c r="B560" s="1"/>
      <c r="C560" s="1"/>
      <c r="D560" s="84"/>
      <c r="E560" s="84"/>
    </row>
    <row r="561" spans="1:5" ht="12.75">
      <c r="A561" s="8"/>
      <c r="B561" s="1"/>
      <c r="C561" s="1"/>
      <c r="D561" s="84"/>
      <c r="E561" s="84"/>
    </row>
    <row r="562" spans="1:5" ht="12.75">
      <c r="A562" s="8"/>
      <c r="B562" s="1"/>
      <c r="C562" s="1"/>
      <c r="D562" s="84"/>
      <c r="E562" s="84"/>
    </row>
    <row r="563" spans="1:5" ht="12.75">
      <c r="A563" s="8"/>
      <c r="B563" s="1"/>
      <c r="C563" s="1"/>
      <c r="D563" s="84"/>
      <c r="E563" s="84"/>
    </row>
    <row r="564" spans="1:5" ht="12.75">
      <c r="A564" s="8"/>
      <c r="B564" s="1"/>
      <c r="C564" s="1"/>
      <c r="D564" s="84"/>
      <c r="E564" s="84"/>
    </row>
    <row r="565" spans="1:5" ht="12.75">
      <c r="A565" s="8"/>
      <c r="B565" s="1"/>
      <c r="C565" s="1"/>
      <c r="D565" s="84"/>
      <c r="E565" s="84"/>
    </row>
    <row r="566" spans="1:5" ht="12.75">
      <c r="A566" s="8"/>
      <c r="B566" s="1"/>
      <c r="C566" s="1"/>
      <c r="D566" s="84"/>
      <c r="E566" s="84"/>
    </row>
    <row r="567" spans="1:5" ht="12.75">
      <c r="A567" s="8"/>
      <c r="B567" s="1"/>
      <c r="C567" s="1"/>
      <c r="D567" s="84"/>
      <c r="E567" s="84"/>
    </row>
    <row r="568" spans="1:5" ht="12.75">
      <c r="A568" s="8"/>
      <c r="B568" s="1"/>
      <c r="C568" s="1"/>
      <c r="D568" s="84"/>
      <c r="E568" s="84"/>
    </row>
    <row r="569" spans="1:5" ht="12.75">
      <c r="A569" s="8"/>
      <c r="B569" s="1"/>
      <c r="C569" s="1"/>
      <c r="D569" s="84"/>
      <c r="E569" s="84"/>
    </row>
    <row r="570" spans="1:5" ht="12.75">
      <c r="A570" s="8"/>
      <c r="B570" s="1"/>
      <c r="C570" s="1"/>
      <c r="D570" s="84"/>
      <c r="E570" s="84"/>
    </row>
    <row r="571" spans="1:5" ht="12.75">
      <c r="A571" s="8"/>
      <c r="B571" s="1"/>
      <c r="C571" s="1"/>
      <c r="D571" s="84"/>
      <c r="E571" s="84"/>
    </row>
    <row r="572" spans="1:5" ht="12.75">
      <c r="A572" s="8"/>
      <c r="B572" s="1"/>
      <c r="C572" s="1"/>
      <c r="D572" s="84"/>
      <c r="E572" s="84"/>
    </row>
    <row r="573" spans="1:5" ht="12.75">
      <c r="A573" s="8"/>
      <c r="B573" s="1"/>
      <c r="C573" s="1"/>
      <c r="D573" s="84"/>
      <c r="E573" s="84"/>
    </row>
    <row r="574" spans="1:5" ht="12.75">
      <c r="A574" s="8"/>
      <c r="B574" s="1"/>
      <c r="C574" s="1"/>
      <c r="D574" s="84"/>
      <c r="E574" s="84"/>
    </row>
    <row r="575" spans="1:5" ht="12.75">
      <c r="A575" s="8"/>
      <c r="B575" s="1"/>
      <c r="C575" s="1"/>
      <c r="D575" s="84"/>
      <c r="E575" s="84"/>
    </row>
    <row r="576" spans="1:5" ht="12.75">
      <c r="A576" s="8"/>
      <c r="B576" s="1"/>
      <c r="C576" s="1"/>
      <c r="D576" s="84"/>
      <c r="E576" s="84"/>
    </row>
    <row r="577" spans="1:5" ht="12.75">
      <c r="A577" s="8"/>
      <c r="B577" s="1"/>
      <c r="C577" s="1"/>
      <c r="D577" s="84"/>
      <c r="E577" s="84"/>
    </row>
    <row r="578" spans="1:5" ht="12.75">
      <c r="A578" s="8"/>
      <c r="B578" s="1"/>
      <c r="C578" s="1"/>
      <c r="D578" s="84"/>
      <c r="E578" s="84"/>
    </row>
    <row r="579" spans="1:5" ht="12.75">
      <c r="A579" s="8"/>
      <c r="B579" s="1"/>
      <c r="C579" s="1"/>
      <c r="D579" s="84"/>
      <c r="E579" s="84"/>
    </row>
    <row r="580" spans="1:5" ht="12.75">
      <c r="A580" s="8"/>
      <c r="B580" s="1"/>
      <c r="C580" s="1"/>
      <c r="D580" s="84"/>
      <c r="E580" s="84"/>
    </row>
    <row r="581" spans="1:5" ht="12.75">
      <c r="A581" s="8"/>
      <c r="B581" s="1"/>
      <c r="C581" s="1"/>
      <c r="D581" s="84"/>
      <c r="E581" s="84"/>
    </row>
    <row r="582" spans="1:5" ht="12.75">
      <c r="A582" s="8"/>
      <c r="B582" s="1"/>
      <c r="C582" s="1"/>
      <c r="D582" s="84"/>
      <c r="E582" s="84"/>
    </row>
    <row r="583" spans="1:5" ht="12.75">
      <c r="A583" s="8"/>
      <c r="B583" s="1"/>
      <c r="C583" s="1"/>
      <c r="D583" s="84"/>
      <c r="E583" s="84"/>
    </row>
    <row r="584" spans="1:5" ht="12.75">
      <c r="A584" s="8"/>
      <c r="B584" s="1"/>
      <c r="C584" s="1"/>
      <c r="D584" s="84"/>
      <c r="E584" s="84"/>
    </row>
    <row r="585" spans="1:5" ht="12.75">
      <c r="A585" s="8"/>
      <c r="B585" s="1"/>
      <c r="C585" s="1"/>
      <c r="D585" s="84"/>
      <c r="E585" s="84"/>
    </row>
    <row r="586" spans="1:5" ht="12.75">
      <c r="A586" s="8"/>
      <c r="B586" s="1"/>
      <c r="C586" s="1"/>
      <c r="D586" s="84"/>
      <c r="E586" s="84"/>
    </row>
    <row r="587" spans="1:5" ht="12.75">
      <c r="A587" s="8"/>
      <c r="B587" s="1"/>
      <c r="C587" s="1"/>
      <c r="D587" s="84"/>
      <c r="E587" s="84"/>
    </row>
    <row r="588" spans="1:5" ht="12.75">
      <c r="A588" s="8"/>
      <c r="B588" s="1"/>
      <c r="C588" s="1"/>
      <c r="D588" s="84"/>
      <c r="E588" s="84"/>
    </row>
    <row r="589" spans="1:5" ht="12.75">
      <c r="A589" s="8"/>
      <c r="B589" s="1"/>
      <c r="C589" s="1"/>
      <c r="D589" s="84"/>
      <c r="E589" s="84"/>
    </row>
    <row r="590" spans="1:5" ht="12.75">
      <c r="A590" s="8"/>
      <c r="B590" s="1"/>
      <c r="C590" s="1"/>
      <c r="D590" s="84"/>
      <c r="E590" s="84"/>
    </row>
    <row r="591" spans="1:5" ht="12.75">
      <c r="A591" s="8"/>
      <c r="B591" s="1"/>
      <c r="C591" s="1"/>
      <c r="D591" s="84"/>
      <c r="E591" s="84"/>
    </row>
    <row r="592" spans="1:5" ht="12.75">
      <c r="A592" s="8"/>
      <c r="B592" s="1"/>
      <c r="C592" s="1"/>
      <c r="D592" s="84"/>
      <c r="E592" s="84"/>
    </row>
    <row r="593" spans="1:5" ht="12.75">
      <c r="A593" s="8"/>
      <c r="B593" s="1"/>
      <c r="C593" s="1"/>
      <c r="D593" s="84"/>
      <c r="E593" s="84"/>
    </row>
    <row r="594" spans="1:5" ht="12.75">
      <c r="A594" s="8"/>
      <c r="B594" s="1"/>
      <c r="C594" s="1"/>
      <c r="D594" s="84"/>
      <c r="E594" s="84"/>
    </row>
    <row r="595" spans="1:5" ht="12.75">
      <c r="A595" s="8"/>
      <c r="B595" s="1"/>
      <c r="C595" s="1"/>
      <c r="D595" s="84"/>
      <c r="E595" s="84"/>
    </row>
    <row r="596" spans="1:5" ht="12.75">
      <c r="A596" s="8"/>
      <c r="B596" s="1"/>
      <c r="C596" s="1"/>
      <c r="D596" s="84"/>
      <c r="E596" s="84"/>
    </row>
    <row r="597" spans="1:5" ht="12.75">
      <c r="A597" s="8"/>
      <c r="B597" s="1"/>
      <c r="C597" s="1"/>
      <c r="D597" s="84"/>
      <c r="E597" s="84"/>
    </row>
    <row r="598" spans="1:5" ht="12.75">
      <c r="A598" s="8"/>
      <c r="B598" s="1"/>
      <c r="C598" s="1"/>
      <c r="D598" s="84"/>
      <c r="E598" s="84"/>
    </row>
    <row r="599" spans="1:5" ht="12.75">
      <c r="A599" s="8"/>
      <c r="B599" s="1"/>
      <c r="C599" s="1"/>
      <c r="D599" s="84"/>
      <c r="E599" s="84"/>
    </row>
    <row r="600" spans="1:5" ht="12.75">
      <c r="A600" s="8"/>
      <c r="B600" s="1"/>
      <c r="C600" s="1"/>
      <c r="D600" s="84"/>
      <c r="E600" s="84"/>
    </row>
    <row r="601" spans="1:5" ht="12.75">
      <c r="A601" s="8"/>
      <c r="B601" s="1"/>
      <c r="C601" s="1"/>
      <c r="D601" s="84"/>
      <c r="E601" s="84"/>
    </row>
    <row r="602" spans="1:5" ht="12.75">
      <c r="A602" s="8"/>
      <c r="B602" s="1"/>
      <c r="C602" s="1"/>
      <c r="D602" s="84"/>
      <c r="E602" s="84"/>
    </row>
    <row r="603" spans="1:5" ht="12.75">
      <c r="A603" s="8"/>
      <c r="B603" s="1"/>
      <c r="C603" s="1"/>
      <c r="D603" s="84"/>
      <c r="E603" s="84"/>
    </row>
    <row r="604" spans="1:5" ht="12.75">
      <c r="A604" s="8"/>
      <c r="B604" s="1"/>
      <c r="C604" s="1"/>
      <c r="D604" s="84"/>
      <c r="E604" s="84"/>
    </row>
    <row r="605" spans="1:5" ht="12.75">
      <c r="A605" s="8"/>
      <c r="B605" s="1"/>
      <c r="C605" s="1"/>
      <c r="D605" s="84"/>
      <c r="E605" s="84"/>
    </row>
    <row r="606" spans="1:5" ht="12.75">
      <c r="A606" s="8"/>
      <c r="B606" s="1"/>
      <c r="C606" s="1"/>
      <c r="D606" s="84"/>
      <c r="E606" s="84"/>
    </row>
    <row r="607" spans="1:5" ht="12.75">
      <c r="A607" s="8"/>
      <c r="B607" s="1"/>
      <c r="C607" s="1"/>
      <c r="D607" s="84"/>
      <c r="E607" s="84"/>
    </row>
    <row r="608" spans="1:5" ht="12.75">
      <c r="A608" s="8"/>
      <c r="B608" s="1"/>
      <c r="C608" s="1"/>
      <c r="D608" s="84"/>
      <c r="E608" s="84"/>
    </row>
    <row r="609" spans="1:5" ht="12.75">
      <c r="A609" s="8"/>
      <c r="B609" s="1"/>
      <c r="C609" s="1"/>
      <c r="D609" s="84"/>
      <c r="E609" s="84"/>
    </row>
    <row r="610" spans="1:5" ht="12.75">
      <c r="A610" s="8"/>
      <c r="B610" s="1"/>
      <c r="C610" s="1"/>
      <c r="D610" s="84"/>
      <c r="E610" s="84"/>
    </row>
    <row r="611" spans="1:5" ht="12.75">
      <c r="A611" s="8"/>
      <c r="B611" s="1"/>
      <c r="C611" s="1"/>
      <c r="D611" s="84"/>
      <c r="E611" s="84"/>
    </row>
    <row r="612" spans="1:5" ht="12.75">
      <c r="A612" s="8"/>
      <c r="B612" s="1"/>
      <c r="C612" s="1"/>
      <c r="D612" s="84"/>
      <c r="E612" s="84"/>
    </row>
    <row r="613" spans="1:5" ht="12.75">
      <c r="A613" s="8"/>
      <c r="B613" s="1"/>
      <c r="C613" s="1"/>
      <c r="D613" s="84"/>
      <c r="E613" s="84"/>
    </row>
    <row r="614" spans="1:5" ht="12.75">
      <c r="A614" s="8"/>
      <c r="B614" s="1"/>
      <c r="C614" s="1"/>
      <c r="D614" s="84"/>
      <c r="E614" s="84"/>
    </row>
    <row r="615" spans="1:5" ht="12.75">
      <c r="A615" s="8"/>
      <c r="B615" s="1"/>
      <c r="C615" s="1"/>
      <c r="D615" s="84"/>
      <c r="E615" s="84"/>
    </row>
    <row r="616" spans="1:5" ht="12.75">
      <c r="A616" s="8"/>
      <c r="B616" s="1"/>
      <c r="C616" s="1"/>
      <c r="D616" s="84"/>
      <c r="E616" s="84"/>
    </row>
    <row r="617" spans="1:5" ht="12.75">
      <c r="A617" s="8"/>
      <c r="B617" s="1"/>
      <c r="C617" s="1"/>
      <c r="D617" s="84"/>
      <c r="E617" s="84"/>
    </row>
    <row r="618" spans="1:5" ht="12.75">
      <c r="A618" s="8"/>
      <c r="B618" s="1"/>
      <c r="C618" s="1"/>
      <c r="D618" s="84"/>
      <c r="E618" s="84"/>
    </row>
    <row r="619" spans="1:5" ht="12.75">
      <c r="A619" s="8"/>
      <c r="B619" s="1"/>
      <c r="C619" s="1"/>
      <c r="D619" s="84"/>
      <c r="E619" s="84"/>
    </row>
    <row r="620" spans="1:5" ht="12.75">
      <c r="A620" s="8"/>
      <c r="B620" s="1"/>
      <c r="C620" s="1"/>
      <c r="D620" s="84"/>
      <c r="E620" s="84"/>
    </row>
    <row r="621" spans="1:5" ht="12.75">
      <c r="A621" s="8"/>
      <c r="B621" s="1"/>
      <c r="C621" s="1"/>
      <c r="D621" s="84"/>
      <c r="E621" s="84"/>
    </row>
    <row r="622" spans="1:5" ht="12.75">
      <c r="A622" s="8"/>
      <c r="B622" s="1"/>
      <c r="C622" s="1"/>
      <c r="D622" s="84"/>
      <c r="E622" s="84"/>
    </row>
    <row r="623" spans="1:5" ht="12.75">
      <c r="A623" s="8"/>
      <c r="B623" s="1"/>
      <c r="C623" s="1"/>
      <c r="D623" s="84"/>
      <c r="E623" s="84"/>
    </row>
    <row r="624" spans="1:5" ht="12.75">
      <c r="A624" s="8"/>
      <c r="B624" s="1"/>
      <c r="C624" s="1"/>
      <c r="D624" s="84"/>
      <c r="E624" s="84"/>
    </row>
    <row r="625" spans="1:5" ht="12.75">
      <c r="A625" s="8"/>
      <c r="B625" s="1"/>
      <c r="C625" s="1"/>
      <c r="D625" s="84"/>
      <c r="E625" s="84"/>
    </row>
    <row r="626" spans="1:5" ht="12.75">
      <c r="A626" s="8"/>
      <c r="B626" s="1"/>
      <c r="C626" s="1"/>
      <c r="D626" s="84"/>
      <c r="E626" s="84"/>
    </row>
    <row r="627" spans="1:5" ht="12.75">
      <c r="A627" s="8"/>
      <c r="B627" s="1"/>
      <c r="C627" s="1"/>
      <c r="D627" s="84"/>
      <c r="E627" s="84"/>
    </row>
    <row r="628" spans="1:5" ht="12.75">
      <c r="A628" s="8"/>
      <c r="B628" s="1"/>
      <c r="C628" s="1"/>
      <c r="D628" s="84"/>
      <c r="E628" s="84"/>
    </row>
    <row r="629" spans="1:5" ht="12.75">
      <c r="A629" s="8"/>
      <c r="B629" s="1"/>
      <c r="C629" s="1"/>
      <c r="D629" s="84"/>
      <c r="E629" s="84"/>
    </row>
    <row r="630" spans="1:5" ht="12.75">
      <c r="A630" s="8"/>
      <c r="B630" s="1"/>
      <c r="C630" s="1"/>
      <c r="D630" s="84"/>
      <c r="E630" s="84"/>
    </row>
    <row r="631" spans="1:5" ht="12.75">
      <c r="A631" s="8"/>
      <c r="B631" s="1"/>
      <c r="C631" s="1"/>
      <c r="D631" s="84"/>
      <c r="E631" s="84"/>
    </row>
    <row r="632" spans="1:5" ht="12.75">
      <c r="A632" s="8"/>
      <c r="B632" s="1"/>
      <c r="C632" s="1"/>
      <c r="D632" s="84"/>
      <c r="E632" s="84"/>
    </row>
    <row r="633" spans="1:5" ht="12.75">
      <c r="A633" s="8"/>
      <c r="B633" s="1"/>
      <c r="C633" s="1"/>
      <c r="D633" s="84"/>
      <c r="E633" s="84"/>
    </row>
    <row r="634" spans="1:5" ht="12.75">
      <c r="A634" s="8"/>
      <c r="B634" s="1"/>
      <c r="C634" s="1"/>
      <c r="D634" s="84"/>
      <c r="E634" s="84"/>
    </row>
    <row r="635" spans="1:5" ht="12.75">
      <c r="A635" s="8"/>
      <c r="B635" s="1"/>
      <c r="C635" s="1"/>
      <c r="D635" s="84"/>
      <c r="E635" s="84"/>
    </row>
    <row r="636" spans="1:5" ht="12.75">
      <c r="A636" s="8"/>
      <c r="B636" s="1"/>
      <c r="C636" s="1"/>
      <c r="D636" s="84"/>
      <c r="E636" s="84"/>
    </row>
    <row r="637" spans="1:5" ht="12.75">
      <c r="A637" s="8"/>
      <c r="B637" s="1"/>
      <c r="C637" s="1"/>
      <c r="D637" s="84"/>
      <c r="E637" s="84"/>
    </row>
    <row r="638" spans="1:5" ht="12.75">
      <c r="A638" s="8"/>
      <c r="B638" s="1"/>
      <c r="C638" s="1"/>
      <c r="D638" s="84"/>
      <c r="E638" s="84"/>
    </row>
    <row r="639" spans="1:5" ht="12.75">
      <c r="A639" s="8"/>
      <c r="B639" s="1"/>
      <c r="C639" s="1"/>
      <c r="D639" s="84"/>
      <c r="E639" s="84"/>
    </row>
    <row r="640" spans="1:5" ht="12.75">
      <c r="A640" s="8"/>
      <c r="B640" s="1"/>
      <c r="C640" s="1"/>
      <c r="D640" s="84"/>
      <c r="E640" s="84"/>
    </row>
    <row r="641" spans="1:5" ht="12.75">
      <c r="A641" s="8"/>
      <c r="B641" s="1"/>
      <c r="C641" s="1"/>
      <c r="D641" s="84"/>
      <c r="E641" s="84"/>
    </row>
    <row r="642" spans="1:5" ht="12.75">
      <c r="A642" s="8"/>
      <c r="B642" s="1"/>
      <c r="C642" s="1"/>
      <c r="D642" s="84"/>
      <c r="E642" s="84"/>
    </row>
    <row r="643" spans="1:5" ht="12.75">
      <c r="A643" s="8"/>
      <c r="B643" s="1"/>
      <c r="C643" s="1"/>
      <c r="D643" s="84"/>
      <c r="E643" s="84"/>
    </row>
    <row r="644" spans="1:5" ht="12.75">
      <c r="A644" s="8"/>
      <c r="B644" s="1"/>
      <c r="C644" s="1"/>
      <c r="D644" s="84"/>
      <c r="E644" s="84"/>
    </row>
    <row r="645" spans="1:5" ht="12.75">
      <c r="A645" s="8"/>
      <c r="B645" s="1"/>
      <c r="C645" s="1"/>
      <c r="D645" s="84"/>
      <c r="E645" s="84"/>
    </row>
    <row r="646" spans="1:5" ht="12.75">
      <c r="A646" s="8"/>
      <c r="B646" s="1"/>
      <c r="C646" s="1"/>
      <c r="D646" s="84"/>
      <c r="E646" s="84"/>
    </row>
    <row r="647" spans="1:5" ht="12.75">
      <c r="A647" s="8"/>
      <c r="B647" s="1"/>
      <c r="C647" s="1"/>
      <c r="D647" s="84"/>
      <c r="E647" s="84"/>
    </row>
    <row r="648" spans="1:5" ht="12.75">
      <c r="A648" s="8"/>
      <c r="B648" s="1"/>
      <c r="C648" s="1"/>
      <c r="D648" s="84"/>
      <c r="E648" s="84"/>
    </row>
    <row r="649" spans="1:5" ht="12.75">
      <c r="A649" s="8"/>
      <c r="B649" s="1"/>
      <c r="C649" s="1"/>
      <c r="D649" s="84"/>
      <c r="E649" s="84"/>
    </row>
    <row r="650" spans="1:5" ht="12.75">
      <c r="A650" s="8"/>
      <c r="B650" s="1"/>
      <c r="C650" s="1"/>
      <c r="D650" s="84"/>
      <c r="E650" s="84"/>
    </row>
    <row r="651" spans="1:5" ht="12.75">
      <c r="A651" s="8"/>
      <c r="B651" s="1"/>
      <c r="C651" s="1"/>
      <c r="D651" s="84"/>
      <c r="E651" s="84"/>
    </row>
    <row r="652" spans="1:5" ht="12.75">
      <c r="A652" s="8"/>
      <c r="B652" s="1"/>
      <c r="C652" s="1"/>
      <c r="D652" s="84"/>
      <c r="E652" s="84"/>
    </row>
    <row r="653" spans="1:5" ht="12.75">
      <c r="A653" s="8"/>
      <c r="B653" s="1"/>
      <c r="C653" s="1"/>
      <c r="D653" s="84"/>
      <c r="E653" s="84"/>
    </row>
    <row r="654" spans="1:5" ht="12.75">
      <c r="A654" s="8"/>
      <c r="B654" s="1"/>
      <c r="C654" s="1"/>
      <c r="D654" s="84"/>
      <c r="E654" s="84"/>
    </row>
    <row r="655" spans="1:5" ht="12.75">
      <c r="A655" s="8"/>
      <c r="B655" s="1"/>
      <c r="C655" s="1"/>
      <c r="D655" s="84"/>
      <c r="E655" s="84"/>
    </row>
    <row r="656" spans="1:5" ht="12.75">
      <c r="A656" s="8"/>
      <c r="B656" s="1"/>
      <c r="C656" s="1"/>
      <c r="D656" s="84"/>
      <c r="E656" s="84"/>
    </row>
    <row r="657" spans="1:5" ht="12.75">
      <c r="A657" s="8"/>
      <c r="B657" s="1"/>
      <c r="C657" s="1"/>
      <c r="D657" s="84"/>
      <c r="E657" s="84"/>
    </row>
    <row r="658" spans="1:5" ht="12.75">
      <c r="A658" s="8"/>
      <c r="B658" s="1"/>
      <c r="C658" s="1"/>
      <c r="D658" s="84"/>
      <c r="E658" s="84"/>
    </row>
    <row r="659" spans="1:5" ht="12.75">
      <c r="A659" s="8"/>
      <c r="B659" s="1"/>
      <c r="C659" s="1"/>
      <c r="D659" s="84"/>
      <c r="E659" s="84"/>
    </row>
    <row r="660" spans="1:5" ht="12.75">
      <c r="A660" s="8"/>
      <c r="B660" s="1"/>
      <c r="C660" s="1"/>
      <c r="D660" s="84"/>
      <c r="E660" s="84"/>
    </row>
    <row r="661" spans="1:5" ht="12.75">
      <c r="A661" s="8"/>
      <c r="B661" s="1"/>
      <c r="C661" s="1"/>
      <c r="D661" s="84"/>
      <c r="E661" s="84"/>
    </row>
    <row r="662" spans="1:5" ht="12.75">
      <c r="A662" s="8"/>
      <c r="B662" s="1"/>
      <c r="C662" s="1"/>
      <c r="D662" s="84"/>
      <c r="E662" s="84"/>
    </row>
    <row r="663" spans="1:5" ht="12.75">
      <c r="A663" s="8"/>
      <c r="B663" s="1"/>
      <c r="C663" s="1"/>
      <c r="D663" s="84"/>
      <c r="E663" s="84"/>
    </row>
    <row r="664" spans="1:5" ht="12.75">
      <c r="A664" s="8"/>
      <c r="B664" s="1"/>
      <c r="C664" s="1"/>
      <c r="D664" s="84"/>
      <c r="E664" s="84"/>
    </row>
    <row r="665" spans="1:5" ht="12.75">
      <c r="A665" s="8"/>
      <c r="B665" s="1"/>
      <c r="C665" s="1"/>
      <c r="D665" s="84"/>
      <c r="E665" s="84"/>
    </row>
    <row r="666" spans="1:5" ht="12.75">
      <c r="A666" s="8"/>
      <c r="B666" s="1"/>
      <c r="C666" s="1"/>
      <c r="D666" s="84"/>
      <c r="E666" s="84"/>
    </row>
    <row r="667" spans="1:5" ht="12.75">
      <c r="A667" s="8"/>
      <c r="B667" s="1"/>
      <c r="C667" s="1"/>
      <c r="D667" s="84"/>
      <c r="E667" s="84"/>
    </row>
    <row r="668" spans="1:5" ht="12.75">
      <c r="A668" s="8"/>
      <c r="B668" s="1"/>
      <c r="C668" s="1"/>
      <c r="D668" s="84"/>
      <c r="E668" s="84"/>
    </row>
    <row r="669" spans="1:5" ht="12.75">
      <c r="A669" s="8"/>
      <c r="B669" s="1"/>
      <c r="C669" s="1"/>
      <c r="D669" s="84"/>
      <c r="E669" s="84"/>
    </row>
    <row r="670" spans="1:5" ht="12.75">
      <c r="A670" s="8"/>
      <c r="B670" s="1"/>
      <c r="C670" s="1"/>
      <c r="D670" s="84"/>
      <c r="E670" s="84"/>
    </row>
    <row r="671" spans="1:5" ht="12.75">
      <c r="A671" s="8"/>
      <c r="B671" s="1"/>
      <c r="C671" s="1"/>
      <c r="D671" s="84"/>
      <c r="E671" s="84"/>
    </row>
    <row r="672" spans="1:5" ht="12.75">
      <c r="A672" s="8"/>
      <c r="B672" s="1"/>
      <c r="C672" s="1"/>
      <c r="D672" s="84"/>
      <c r="E672" s="84"/>
    </row>
    <row r="673" spans="1:5" ht="12.75">
      <c r="A673" s="8"/>
      <c r="B673" s="1"/>
      <c r="C673" s="1"/>
      <c r="D673" s="84"/>
      <c r="E673" s="84"/>
    </row>
    <row r="674" spans="1:5" ht="12.75">
      <c r="A674" s="8"/>
      <c r="B674" s="1"/>
      <c r="C674" s="1"/>
      <c r="D674" s="84"/>
      <c r="E674" s="84"/>
    </row>
    <row r="675" spans="1:5" ht="12.75">
      <c r="A675" s="8"/>
      <c r="B675" s="1"/>
      <c r="C675" s="1"/>
      <c r="D675" s="84"/>
      <c r="E675" s="84"/>
    </row>
    <row r="676" spans="1:5" ht="12.75">
      <c r="A676" s="8"/>
      <c r="B676" s="1"/>
      <c r="C676" s="1"/>
      <c r="D676" s="84"/>
      <c r="E676" s="84"/>
    </row>
    <row r="677" spans="1:5" ht="12.75">
      <c r="A677" s="8"/>
      <c r="B677" s="1"/>
      <c r="C677" s="1"/>
      <c r="D677" s="84"/>
      <c r="E677" s="84"/>
    </row>
    <row r="678" spans="1:5" ht="12.75">
      <c r="A678" s="8"/>
      <c r="B678" s="1"/>
      <c r="C678" s="1"/>
      <c r="D678" s="84"/>
      <c r="E678" s="84"/>
    </row>
    <row r="679" spans="1:5" ht="12.75">
      <c r="A679" s="8"/>
      <c r="B679" s="1"/>
      <c r="C679" s="1"/>
      <c r="D679" s="84"/>
      <c r="E679" s="84"/>
    </row>
    <row r="680" spans="1:5" ht="12.75">
      <c r="A680" s="8"/>
      <c r="B680" s="1"/>
      <c r="C680" s="1"/>
      <c r="D680" s="84"/>
      <c r="E680" s="84"/>
    </row>
    <row r="681" spans="1:5" ht="12.75">
      <c r="A681" s="8"/>
      <c r="B681" s="1"/>
      <c r="C681" s="1"/>
      <c r="D681" s="84"/>
      <c r="E681" s="84"/>
    </row>
    <row r="682" spans="1:5" ht="12.75">
      <c r="A682" s="8"/>
      <c r="B682" s="1"/>
      <c r="C682" s="1"/>
      <c r="D682" s="84"/>
      <c r="E682" s="84"/>
    </row>
    <row r="683" spans="1:5" ht="12.75">
      <c r="A683" s="8"/>
      <c r="B683" s="1"/>
      <c r="C683" s="1"/>
      <c r="D683" s="84"/>
      <c r="E683" s="84"/>
    </row>
    <row r="684" spans="1:5" ht="12.75">
      <c r="A684" s="8"/>
      <c r="B684" s="1"/>
      <c r="C684" s="1"/>
      <c r="D684" s="84"/>
      <c r="E684" s="84"/>
    </row>
    <row r="685" spans="1:5" ht="12.75">
      <c r="A685" s="8"/>
      <c r="B685" s="1"/>
      <c r="C685" s="1"/>
      <c r="D685" s="84"/>
      <c r="E685" s="84"/>
    </row>
    <row r="686" spans="1:5" ht="12.75">
      <c r="A686" s="8"/>
      <c r="B686" s="1"/>
      <c r="C686" s="1"/>
      <c r="D686" s="84"/>
      <c r="E686" s="84"/>
    </row>
    <row r="687" spans="1:5" ht="12.75">
      <c r="A687" s="8"/>
      <c r="B687" s="1"/>
      <c r="C687" s="1"/>
      <c r="D687" s="84"/>
      <c r="E687" s="84"/>
    </row>
    <row r="688" spans="1:5" ht="12.75">
      <c r="A688" s="8"/>
      <c r="B688" s="1"/>
      <c r="C688" s="1"/>
      <c r="D688" s="84"/>
      <c r="E688" s="84"/>
    </row>
    <row r="689" spans="1:5" ht="12.75">
      <c r="A689" s="8"/>
      <c r="B689" s="1"/>
      <c r="C689" s="1"/>
      <c r="D689" s="84"/>
      <c r="E689" s="84"/>
    </row>
    <row r="690" spans="1:5" ht="12.75">
      <c r="A690" s="8"/>
      <c r="B690" s="1"/>
      <c r="C690" s="1"/>
      <c r="D690" s="84"/>
      <c r="E690" s="84"/>
    </row>
    <row r="691" spans="1:5" ht="12.75">
      <c r="A691" s="8"/>
      <c r="B691" s="1"/>
      <c r="C691" s="1"/>
      <c r="D691" s="84"/>
      <c r="E691" s="84"/>
    </row>
    <row r="692" spans="1:5" ht="12.75">
      <c r="A692" s="8"/>
      <c r="B692" s="1"/>
      <c r="C692" s="1"/>
      <c r="D692" s="84"/>
      <c r="E692" s="84"/>
    </row>
    <row r="693" spans="1:5" ht="12.75">
      <c r="A693" s="8"/>
      <c r="B693" s="1"/>
      <c r="C693" s="1"/>
      <c r="D693" s="84"/>
      <c r="E693" s="84"/>
    </row>
    <row r="694" spans="1:5" ht="12.75">
      <c r="A694" s="8"/>
      <c r="B694" s="1"/>
      <c r="C694" s="1"/>
      <c r="D694" s="84"/>
      <c r="E694" s="84"/>
    </row>
    <row r="695" spans="1:5" ht="12.75">
      <c r="A695" s="8"/>
      <c r="B695" s="1"/>
      <c r="C695" s="1"/>
      <c r="D695" s="84"/>
      <c r="E695" s="84"/>
    </row>
    <row r="696" spans="1:5" ht="12.75">
      <c r="A696" s="8"/>
      <c r="B696" s="1"/>
      <c r="C696" s="1"/>
      <c r="D696" s="84"/>
      <c r="E696" s="84"/>
    </row>
    <row r="697" spans="1:5" ht="12.75">
      <c r="A697" s="8"/>
      <c r="B697" s="1"/>
      <c r="C697" s="1"/>
      <c r="D697" s="84"/>
      <c r="E697" s="84"/>
    </row>
    <row r="698" spans="1:5" ht="12.75">
      <c r="A698" s="8"/>
      <c r="B698" s="1"/>
      <c r="C698" s="1"/>
      <c r="D698" s="84"/>
      <c r="E698" s="84"/>
    </row>
    <row r="699" spans="1:5" ht="12.75">
      <c r="A699" s="8"/>
      <c r="B699" s="1"/>
      <c r="C699" s="1"/>
      <c r="D699" s="84"/>
      <c r="E699" s="84"/>
    </row>
    <row r="700" spans="1:5" ht="12.75">
      <c r="A700" s="8"/>
      <c r="B700" s="1"/>
      <c r="C700" s="1"/>
      <c r="D700" s="84"/>
      <c r="E700" s="84"/>
    </row>
    <row r="701" spans="1:5" ht="12.75">
      <c r="A701" s="8"/>
      <c r="B701" s="1"/>
      <c r="C701" s="1"/>
      <c r="D701" s="84"/>
      <c r="E701" s="84"/>
    </row>
    <row r="702" spans="1:5" ht="12.75">
      <c r="A702" s="8"/>
      <c r="B702" s="1"/>
      <c r="C702" s="1"/>
      <c r="D702" s="84"/>
      <c r="E702" s="84"/>
    </row>
    <row r="703" spans="1:5" ht="12.75">
      <c r="A703" s="8"/>
      <c r="B703" s="1"/>
      <c r="C703" s="1"/>
      <c r="D703" s="84"/>
      <c r="E703" s="84"/>
    </row>
    <row r="704" spans="1:5" ht="12.75">
      <c r="A704" s="8"/>
      <c r="B704" s="1"/>
      <c r="C704" s="1"/>
      <c r="D704" s="84"/>
      <c r="E704" s="84"/>
    </row>
    <row r="705" spans="1:5" ht="12.75">
      <c r="A705" s="8"/>
      <c r="B705" s="1"/>
      <c r="C705" s="1"/>
      <c r="D705" s="84"/>
      <c r="E705" s="84"/>
    </row>
    <row r="706" spans="1:5" ht="12.75">
      <c r="A706" s="8"/>
      <c r="B706" s="1"/>
      <c r="C706" s="1"/>
      <c r="D706" s="84"/>
      <c r="E706" s="84"/>
    </row>
    <row r="707" spans="1:5" ht="12.75">
      <c r="A707" s="8"/>
      <c r="B707" s="1"/>
      <c r="C707" s="1"/>
      <c r="D707" s="84"/>
      <c r="E707" s="84"/>
    </row>
    <row r="708" spans="1:5" ht="12.75">
      <c r="A708" s="8"/>
      <c r="B708" s="1"/>
      <c r="C708" s="1"/>
      <c r="D708" s="84"/>
      <c r="E708" s="84"/>
    </row>
    <row r="709" spans="1:5" ht="12.75">
      <c r="A709" s="8"/>
      <c r="B709" s="1"/>
      <c r="C709" s="1"/>
      <c r="D709" s="84"/>
      <c r="E709" s="84"/>
    </row>
    <row r="710" spans="1:5" ht="12.75">
      <c r="A710" s="8"/>
      <c r="B710" s="1"/>
      <c r="C710" s="1"/>
      <c r="D710" s="84"/>
      <c r="E710" s="84"/>
    </row>
    <row r="711" spans="1:5" ht="12.75">
      <c r="A711" s="8"/>
      <c r="B711" s="1"/>
      <c r="C711" s="1"/>
      <c r="D711" s="84"/>
      <c r="E711" s="84"/>
    </row>
    <row r="712" spans="1:5" ht="12.75">
      <c r="A712" s="8"/>
      <c r="B712" s="1"/>
      <c r="C712" s="1"/>
      <c r="D712" s="84"/>
      <c r="E712" s="84"/>
    </row>
    <row r="713" spans="1:5" ht="12.75">
      <c r="A713" s="8"/>
      <c r="B713" s="1"/>
      <c r="C713" s="1"/>
      <c r="D713" s="84"/>
      <c r="E713" s="84"/>
    </row>
    <row r="714" spans="1:5" ht="12.75">
      <c r="A714" s="8"/>
      <c r="B714" s="1"/>
      <c r="C714" s="1"/>
      <c r="D714" s="84"/>
      <c r="E714" s="84"/>
    </row>
    <row r="715" spans="1:5" ht="12.75">
      <c r="A715" s="8"/>
      <c r="B715" s="1"/>
      <c r="C715" s="1"/>
      <c r="D715" s="84"/>
      <c r="E715" s="84"/>
    </row>
    <row r="716" spans="1:5" ht="12.75">
      <c r="A716" s="8"/>
      <c r="B716" s="1"/>
      <c r="C716" s="1"/>
      <c r="D716" s="84"/>
      <c r="E716" s="84"/>
    </row>
    <row r="717" spans="1:5" ht="12.75">
      <c r="A717" s="8"/>
      <c r="B717" s="1"/>
      <c r="C717" s="1"/>
      <c r="D717" s="84"/>
      <c r="E717" s="84"/>
    </row>
    <row r="718" spans="1:5" ht="12.75">
      <c r="A718" s="8"/>
      <c r="B718" s="1"/>
      <c r="C718" s="1"/>
      <c r="D718" s="84"/>
      <c r="E718" s="84"/>
    </row>
    <row r="719" spans="1:5" ht="12.75">
      <c r="A719" s="8"/>
      <c r="B719" s="1"/>
      <c r="C719" s="1"/>
      <c r="D719" s="84"/>
      <c r="E719" s="84"/>
    </row>
    <row r="720" spans="1:5" ht="12.75">
      <c r="A720" s="8"/>
      <c r="B720" s="1"/>
      <c r="C720" s="1"/>
      <c r="D720" s="84"/>
      <c r="E720" s="84"/>
    </row>
    <row r="721" spans="1:5" ht="12.75">
      <c r="A721" s="8"/>
      <c r="B721" s="1"/>
      <c r="C721" s="1"/>
      <c r="D721" s="84"/>
      <c r="E721" s="84"/>
    </row>
    <row r="722" spans="1:5" ht="12.75">
      <c r="A722" s="8"/>
      <c r="B722" s="1"/>
      <c r="C722" s="1"/>
      <c r="D722" s="84"/>
      <c r="E722" s="84"/>
    </row>
    <row r="723" spans="1:5" ht="12.75">
      <c r="A723" s="8"/>
      <c r="B723" s="1"/>
      <c r="C723" s="1"/>
      <c r="D723" s="84"/>
      <c r="E723" s="84"/>
    </row>
    <row r="724" spans="1:5" ht="12.75">
      <c r="A724" s="8"/>
      <c r="B724" s="1"/>
      <c r="C724" s="1"/>
      <c r="D724" s="84"/>
      <c r="E724" s="84"/>
    </row>
    <row r="725" spans="1:5" ht="12.75">
      <c r="A725" s="8"/>
      <c r="B725" s="1"/>
      <c r="C725" s="1"/>
      <c r="D725" s="84"/>
      <c r="E725" s="84"/>
    </row>
    <row r="726" spans="1:5" ht="12.75">
      <c r="A726" s="8"/>
      <c r="B726" s="1"/>
      <c r="C726" s="1"/>
      <c r="D726" s="84"/>
      <c r="E726" s="84"/>
    </row>
    <row r="727" spans="1:5" ht="12.75">
      <c r="A727" s="8"/>
      <c r="B727" s="1"/>
      <c r="C727" s="1"/>
      <c r="D727" s="84"/>
      <c r="E727" s="84"/>
    </row>
    <row r="728" spans="1:5" ht="12.75">
      <c r="A728" s="8"/>
      <c r="B728" s="1"/>
      <c r="C728" s="1"/>
      <c r="D728" s="84"/>
      <c r="E728" s="84"/>
    </row>
    <row r="729" spans="1:5" ht="12.75">
      <c r="A729" s="8"/>
      <c r="B729" s="1"/>
      <c r="C729" s="1"/>
      <c r="D729" s="84"/>
      <c r="E729" s="84"/>
    </row>
    <row r="730" spans="1:5" ht="12.75">
      <c r="A730" s="8"/>
      <c r="B730" s="1"/>
      <c r="C730" s="1"/>
      <c r="D730" s="84"/>
      <c r="E730" s="84"/>
    </row>
    <row r="731" spans="1:5" ht="12.75">
      <c r="A731" s="8"/>
      <c r="B731" s="1"/>
      <c r="C731" s="1"/>
      <c r="D731" s="84"/>
      <c r="E731" s="84"/>
    </row>
    <row r="732" spans="1:5" ht="12.75">
      <c r="A732" s="8"/>
      <c r="B732" s="1"/>
      <c r="C732" s="1"/>
      <c r="D732" s="84"/>
      <c r="E732" s="84"/>
    </row>
    <row r="733" spans="1:5" ht="12.75">
      <c r="A733" s="8"/>
      <c r="B733" s="1"/>
      <c r="C733" s="1"/>
      <c r="D733" s="84"/>
      <c r="E733" s="84"/>
    </row>
    <row r="734" spans="1:5" ht="12.75">
      <c r="A734" s="8"/>
      <c r="B734" s="1"/>
      <c r="C734" s="1"/>
      <c r="D734" s="84"/>
      <c r="E734" s="84"/>
    </row>
    <row r="735" spans="1:5" ht="12.75">
      <c r="A735" s="8"/>
      <c r="B735" s="1"/>
      <c r="C735" s="1"/>
      <c r="D735" s="84"/>
      <c r="E735" s="84"/>
    </row>
    <row r="736" spans="1:5" ht="12.75">
      <c r="A736" s="8"/>
      <c r="B736" s="1"/>
      <c r="C736" s="1"/>
      <c r="D736" s="84"/>
      <c r="E736" s="84"/>
    </row>
    <row r="737" spans="1:5" ht="12.75">
      <c r="A737" s="8"/>
      <c r="B737" s="1"/>
      <c r="C737" s="1"/>
      <c r="D737" s="84"/>
      <c r="E737" s="84"/>
    </row>
    <row r="738" spans="1:5" ht="12.75">
      <c r="A738" s="8"/>
      <c r="B738" s="1"/>
      <c r="C738" s="1"/>
      <c r="D738" s="84"/>
      <c r="E738" s="84"/>
    </row>
    <row r="739" spans="1:5" ht="12.75">
      <c r="A739" s="8"/>
      <c r="B739" s="1"/>
      <c r="C739" s="1"/>
      <c r="D739" s="84"/>
      <c r="E739" s="84"/>
    </row>
    <row r="740" spans="1:5" ht="12.75">
      <c r="A740" s="8"/>
      <c r="B740" s="1"/>
      <c r="C740" s="1"/>
      <c r="D740" s="84"/>
      <c r="E740" s="84"/>
    </row>
    <row r="741" spans="1:5" ht="12.75">
      <c r="A741" s="8"/>
      <c r="B741" s="1"/>
      <c r="C741" s="1"/>
      <c r="D741" s="84"/>
      <c r="E741" s="84"/>
    </row>
    <row r="742" spans="1:5" ht="12.75">
      <c r="A742" s="8"/>
      <c r="B742" s="1"/>
      <c r="C742" s="1"/>
      <c r="D742" s="84"/>
      <c r="E742" s="84"/>
    </row>
    <row r="743" spans="1:5" ht="12.75">
      <c r="A743" s="8"/>
      <c r="B743" s="1"/>
      <c r="C743" s="1"/>
      <c r="D743" s="84"/>
      <c r="E743" s="84"/>
    </row>
    <row r="744" spans="1:5" ht="12.75">
      <c r="A744" s="8"/>
      <c r="B744" s="1"/>
      <c r="C744" s="1"/>
      <c r="D744" s="84"/>
      <c r="E744" s="84"/>
    </row>
    <row r="745" spans="1:5" ht="12.75">
      <c r="A745" s="8"/>
      <c r="B745" s="1"/>
      <c r="C745" s="1"/>
      <c r="D745" s="84"/>
      <c r="E745" s="84"/>
    </row>
    <row r="746" spans="1:5" ht="12.75">
      <c r="A746" s="8"/>
      <c r="B746" s="1"/>
      <c r="C746" s="1"/>
      <c r="D746" s="84"/>
      <c r="E746" s="84"/>
    </row>
    <row r="747" spans="1:5" ht="12.75">
      <c r="A747" s="8"/>
      <c r="B747" s="1"/>
      <c r="C747" s="1"/>
      <c r="D747" s="84"/>
      <c r="E747" s="84"/>
    </row>
    <row r="748" spans="1:5" ht="12.75">
      <c r="A748" s="8"/>
      <c r="B748" s="1"/>
      <c r="C748" s="1"/>
      <c r="D748" s="84"/>
      <c r="E748" s="84"/>
    </row>
    <row r="749" spans="1:5" ht="12.75">
      <c r="A749" s="8"/>
      <c r="B749" s="1"/>
      <c r="C749" s="1"/>
      <c r="D749" s="84"/>
      <c r="E749" s="84"/>
    </row>
    <row r="750" spans="1:5" ht="12.75">
      <c r="A750" s="8"/>
      <c r="B750" s="1"/>
      <c r="C750" s="1"/>
      <c r="D750" s="84"/>
      <c r="E750" s="84"/>
    </row>
    <row r="751" spans="1:5" ht="12.75">
      <c r="A751" s="8"/>
      <c r="B751" s="1"/>
      <c r="C751" s="1"/>
      <c r="D751" s="84"/>
      <c r="E751" s="84"/>
    </row>
    <row r="752" spans="1:5" ht="12.75">
      <c r="A752" s="8"/>
      <c r="B752" s="1"/>
      <c r="C752" s="1"/>
      <c r="D752" s="84"/>
      <c r="E752" s="84"/>
    </row>
    <row r="753" spans="1:5" ht="12.75">
      <c r="A753" s="8"/>
      <c r="B753" s="1"/>
      <c r="C753" s="1"/>
      <c r="D753" s="84"/>
      <c r="E753" s="84"/>
    </row>
    <row r="754" spans="1:5" ht="12.75">
      <c r="A754" s="8"/>
      <c r="B754" s="1"/>
      <c r="C754" s="1"/>
      <c r="D754" s="84"/>
      <c r="E754" s="84"/>
    </row>
    <row r="755" spans="1:5" ht="12.75">
      <c r="A755" s="8"/>
      <c r="B755" s="1"/>
      <c r="C755" s="1"/>
      <c r="D755" s="84"/>
      <c r="E755" s="84"/>
    </row>
    <row r="756" spans="1:5" ht="12.75">
      <c r="A756" s="8"/>
      <c r="B756" s="1"/>
      <c r="C756" s="1"/>
      <c r="D756" s="84"/>
      <c r="E756" s="84"/>
    </row>
    <row r="757" spans="1:5" ht="12.75">
      <c r="A757" s="8"/>
      <c r="B757" s="1"/>
      <c r="C757" s="1"/>
      <c r="D757" s="84"/>
      <c r="E757" s="84"/>
    </row>
    <row r="758" spans="1:5" ht="12.75">
      <c r="A758" s="8"/>
      <c r="B758" s="1"/>
      <c r="C758" s="1"/>
      <c r="D758" s="84"/>
      <c r="E758" s="84"/>
    </row>
    <row r="759" spans="1:5" ht="12.75">
      <c r="A759" s="8"/>
      <c r="B759" s="1"/>
      <c r="C759" s="1"/>
      <c r="D759" s="84"/>
      <c r="E759" s="84"/>
    </row>
    <row r="760" spans="1:5" ht="12.75">
      <c r="A760" s="8"/>
      <c r="B760" s="1"/>
      <c r="C760" s="1"/>
      <c r="D760" s="84"/>
      <c r="E760" s="84"/>
    </row>
    <row r="761" spans="1:5" ht="12.75">
      <c r="A761" s="8"/>
      <c r="B761" s="1"/>
      <c r="C761" s="1"/>
      <c r="D761" s="84"/>
      <c r="E761" s="84"/>
    </row>
    <row r="762" spans="1:5" ht="12.75">
      <c r="A762" s="8"/>
      <c r="B762" s="1"/>
      <c r="C762" s="1"/>
      <c r="D762" s="84"/>
      <c r="E762" s="84"/>
    </row>
    <row r="763" spans="1:5" ht="12.75">
      <c r="A763" s="8"/>
      <c r="B763" s="1"/>
      <c r="C763" s="1"/>
      <c r="D763" s="84"/>
      <c r="E763" s="84"/>
    </row>
    <row r="764" spans="1:5" ht="12.75">
      <c r="A764" s="8"/>
      <c r="B764" s="1"/>
      <c r="C764" s="1"/>
      <c r="D764" s="84"/>
      <c r="E764" s="84"/>
    </row>
    <row r="765" spans="1:5" ht="12.75">
      <c r="A765" s="8"/>
      <c r="B765" s="1"/>
      <c r="C765" s="1"/>
      <c r="D765" s="84"/>
      <c r="E765" s="84"/>
    </row>
    <row r="766" spans="1:5" ht="12.75">
      <c r="A766" s="8"/>
      <c r="B766" s="1"/>
      <c r="C766" s="1"/>
      <c r="D766" s="84"/>
      <c r="E766" s="84"/>
    </row>
    <row r="767" spans="1:5" ht="12.75">
      <c r="A767" s="8"/>
      <c r="B767" s="1"/>
      <c r="C767" s="1"/>
      <c r="D767" s="84"/>
      <c r="E767" s="84"/>
    </row>
    <row r="768" spans="1:5" ht="12.75">
      <c r="A768" s="8"/>
      <c r="B768" s="1"/>
      <c r="C768" s="1"/>
      <c r="D768" s="84"/>
      <c r="E768" s="84"/>
    </row>
    <row r="769" spans="1:5" ht="12.75">
      <c r="A769" s="8"/>
      <c r="B769" s="1"/>
      <c r="C769" s="1"/>
      <c r="D769" s="84"/>
      <c r="E769" s="84"/>
    </row>
    <row r="770" spans="1:5" ht="12.75">
      <c r="A770" s="8"/>
      <c r="B770" s="1"/>
      <c r="C770" s="1"/>
      <c r="D770" s="84"/>
      <c r="E770" s="84"/>
    </row>
    <row r="771" spans="1:5" ht="12.75">
      <c r="A771" s="8"/>
      <c r="B771" s="1"/>
      <c r="C771" s="1"/>
      <c r="D771" s="84"/>
      <c r="E771" s="84"/>
    </row>
    <row r="772" spans="1:5" ht="12.75">
      <c r="A772" s="8"/>
      <c r="B772" s="1"/>
      <c r="C772" s="1"/>
      <c r="D772" s="84"/>
      <c r="E772" s="84"/>
    </row>
    <row r="773" spans="1:5" ht="12.75">
      <c r="A773" s="8"/>
      <c r="B773" s="1"/>
      <c r="C773" s="1"/>
      <c r="D773" s="84"/>
      <c r="E773" s="84"/>
    </row>
    <row r="774" spans="1:5" ht="12.75">
      <c r="A774" s="8"/>
      <c r="B774" s="1"/>
      <c r="C774" s="1"/>
      <c r="D774" s="84"/>
      <c r="E774" s="84"/>
    </row>
    <row r="775" spans="1:5" ht="12.75">
      <c r="A775" s="8"/>
      <c r="B775" s="1"/>
      <c r="C775" s="1"/>
      <c r="D775" s="84"/>
      <c r="E775" s="84"/>
    </row>
    <row r="776" spans="1:5" ht="12.75">
      <c r="A776" s="8"/>
      <c r="B776" s="1"/>
      <c r="C776" s="1"/>
      <c r="D776" s="84"/>
      <c r="E776" s="84"/>
    </row>
    <row r="777" spans="1:5" ht="12.75">
      <c r="A777" s="8"/>
      <c r="B777" s="1"/>
      <c r="C777" s="1"/>
      <c r="D777" s="84"/>
      <c r="E777" s="84"/>
    </row>
    <row r="778" spans="1:5" ht="12.75">
      <c r="A778" s="8"/>
      <c r="B778" s="1"/>
      <c r="C778" s="1"/>
      <c r="D778" s="84"/>
      <c r="E778" s="84"/>
    </row>
    <row r="779" spans="1:5" ht="12.75">
      <c r="A779" s="8"/>
      <c r="B779" s="1"/>
      <c r="C779" s="1"/>
      <c r="D779" s="84"/>
      <c r="E779" s="84"/>
    </row>
    <row r="780" spans="1:5" ht="12.75">
      <c r="A780" s="8"/>
      <c r="B780" s="1"/>
      <c r="C780" s="1"/>
      <c r="D780" s="84"/>
      <c r="E780" s="84"/>
    </row>
    <row r="781" spans="1:5" ht="12.75">
      <c r="A781" s="8"/>
      <c r="B781" s="1"/>
      <c r="C781" s="1"/>
      <c r="D781" s="84"/>
      <c r="E781" s="84"/>
    </row>
    <row r="782" spans="1:5" ht="12.75">
      <c r="A782" s="8"/>
      <c r="B782" s="1"/>
      <c r="C782" s="1"/>
      <c r="D782" s="84"/>
      <c r="E782" s="84"/>
    </row>
    <row r="783" spans="1:5" ht="12.75">
      <c r="A783" s="8"/>
      <c r="B783" s="1"/>
      <c r="C783" s="1"/>
      <c r="D783" s="84"/>
      <c r="E783" s="84"/>
    </row>
    <row r="784" spans="1:5" ht="12.75">
      <c r="A784" s="8"/>
      <c r="B784" s="1"/>
      <c r="C784" s="1"/>
      <c r="D784" s="84"/>
      <c r="E784" s="84"/>
    </row>
    <row r="785" spans="1:5" ht="12.75">
      <c r="A785" s="8"/>
      <c r="B785" s="1"/>
      <c r="C785" s="1"/>
      <c r="D785" s="84"/>
      <c r="E785" s="84"/>
    </row>
    <row r="786" spans="1:5" ht="12.75">
      <c r="A786" s="8"/>
      <c r="B786" s="1"/>
      <c r="C786" s="1"/>
      <c r="D786" s="84"/>
      <c r="E786" s="84"/>
    </row>
    <row r="787" spans="1:5" ht="12.75">
      <c r="A787" s="8"/>
      <c r="B787" s="1"/>
      <c r="C787" s="1"/>
      <c r="D787" s="84"/>
      <c r="E787" s="84"/>
    </row>
    <row r="788" spans="1:5" ht="12.75">
      <c r="A788" s="8"/>
      <c r="B788" s="1"/>
      <c r="C788" s="1"/>
      <c r="D788" s="84"/>
      <c r="E788" s="84"/>
    </row>
    <row r="789" spans="1:5" ht="12.75">
      <c r="A789" s="8"/>
      <c r="B789" s="1"/>
      <c r="C789" s="1"/>
      <c r="D789" s="84"/>
      <c r="E789" s="84"/>
    </row>
    <row r="790" spans="1:5" ht="12.75">
      <c r="A790" s="8"/>
      <c r="B790" s="1"/>
      <c r="C790" s="1"/>
      <c r="D790" s="84"/>
      <c r="E790" s="84"/>
    </row>
    <row r="791" spans="1:5" ht="12.75">
      <c r="A791" s="8"/>
      <c r="B791" s="1"/>
      <c r="C791" s="1"/>
      <c r="D791" s="84"/>
      <c r="E791" s="84"/>
    </row>
    <row r="792" spans="1:5" ht="12.75">
      <c r="A792" s="8"/>
      <c r="B792" s="1"/>
      <c r="C792" s="1"/>
      <c r="D792" s="84"/>
      <c r="E792" s="84"/>
    </row>
    <row r="793" spans="1:5" ht="12.75">
      <c r="A793" s="8"/>
      <c r="B793" s="1"/>
      <c r="C793" s="1"/>
      <c r="D793" s="84"/>
      <c r="E793" s="84"/>
    </row>
    <row r="794" spans="1:5" ht="12.75">
      <c r="A794" s="8"/>
      <c r="B794" s="1"/>
      <c r="C794" s="1"/>
      <c r="D794" s="84"/>
      <c r="E794" s="84"/>
    </row>
    <row r="795" spans="1:5" ht="12.75">
      <c r="A795" s="8"/>
      <c r="B795" s="1"/>
      <c r="C795" s="1"/>
      <c r="D795" s="84"/>
      <c r="E795" s="84"/>
    </row>
    <row r="796" spans="1:5" ht="12.75">
      <c r="A796" s="8"/>
      <c r="B796" s="1"/>
      <c r="C796" s="1"/>
      <c r="D796" s="84"/>
      <c r="E796" s="84"/>
    </row>
    <row r="797" spans="1:5" ht="12.75">
      <c r="A797" s="8"/>
      <c r="B797" s="1"/>
      <c r="C797" s="1"/>
      <c r="D797" s="84"/>
      <c r="E797" s="84"/>
    </row>
    <row r="798" spans="1:5" ht="12.75">
      <c r="A798" s="8"/>
      <c r="B798" s="1"/>
      <c r="C798" s="1"/>
      <c r="D798" s="84"/>
      <c r="E798" s="84"/>
    </row>
    <row r="799" spans="1:5" ht="12.75">
      <c r="A799" s="8"/>
      <c r="B799" s="1"/>
      <c r="C799" s="1"/>
      <c r="D799" s="84"/>
      <c r="E799" s="84"/>
    </row>
    <row r="800" spans="1:5" ht="12.75">
      <c r="A800" s="8"/>
      <c r="B800" s="1"/>
      <c r="C800" s="1"/>
      <c r="D800" s="84"/>
      <c r="E800" s="84"/>
    </row>
    <row r="801" spans="1:5" ht="12.75">
      <c r="A801" s="8"/>
      <c r="B801" s="1"/>
      <c r="C801" s="1"/>
      <c r="D801" s="84"/>
      <c r="E801" s="84"/>
    </row>
    <row r="802" spans="1:5" ht="12.75">
      <c r="A802" s="8"/>
      <c r="B802" s="1"/>
      <c r="C802" s="1"/>
      <c r="D802" s="84"/>
      <c r="E802" s="84"/>
    </row>
    <row r="803" spans="1:5" ht="12.75">
      <c r="A803" s="8"/>
      <c r="B803" s="1"/>
      <c r="C803" s="1"/>
      <c r="D803" s="84"/>
      <c r="E803" s="84"/>
    </row>
    <row r="804" spans="1:5" ht="12.75">
      <c r="A804" s="8"/>
      <c r="B804" s="1"/>
      <c r="C804" s="1"/>
      <c r="D804" s="84"/>
      <c r="E804" s="84"/>
    </row>
    <row r="805" spans="1:5" ht="12.75">
      <c r="A805" s="8"/>
      <c r="B805" s="1"/>
      <c r="C805" s="1"/>
      <c r="D805" s="84"/>
      <c r="E805" s="84"/>
    </row>
    <row r="806" spans="1:5" ht="12.75">
      <c r="A806" s="8"/>
      <c r="B806" s="1"/>
      <c r="C806" s="1"/>
      <c r="D806" s="84"/>
      <c r="E806" s="84"/>
    </row>
    <row r="807" spans="1:5" ht="12.75">
      <c r="A807" s="8"/>
      <c r="B807" s="1"/>
      <c r="C807" s="1"/>
      <c r="D807" s="84"/>
      <c r="E807" s="84"/>
    </row>
    <row r="808" spans="1:5" ht="12.75">
      <c r="A808" s="8"/>
      <c r="B808" s="1"/>
      <c r="C808" s="1"/>
      <c r="D808" s="84"/>
      <c r="E808" s="84"/>
    </row>
    <row r="809" spans="1:5" ht="12.75">
      <c r="A809" s="8"/>
      <c r="B809" s="1"/>
      <c r="C809" s="1"/>
      <c r="D809" s="84"/>
      <c r="E809" s="84"/>
    </row>
    <row r="810" spans="1:5" ht="12.75">
      <c r="A810" s="8"/>
      <c r="B810" s="1"/>
      <c r="C810" s="1"/>
      <c r="D810" s="84"/>
      <c r="E810" s="84"/>
    </row>
    <row r="811" spans="1:5" ht="12.75">
      <c r="A811" s="8"/>
      <c r="B811" s="1"/>
      <c r="C811" s="1"/>
      <c r="D811" s="84"/>
      <c r="E811" s="84"/>
    </row>
    <row r="812" spans="1:5" ht="12.75">
      <c r="A812" s="8"/>
      <c r="B812" s="1"/>
      <c r="C812" s="1"/>
      <c r="D812" s="84"/>
      <c r="E812" s="84"/>
    </row>
    <row r="813" spans="1:5" ht="12.75">
      <c r="A813" s="8"/>
      <c r="B813" s="1"/>
      <c r="C813" s="1"/>
      <c r="D813" s="84"/>
      <c r="E813" s="84"/>
    </row>
    <row r="814" spans="1:5" ht="12.75">
      <c r="A814" s="8"/>
      <c r="B814" s="1"/>
      <c r="C814" s="1"/>
      <c r="D814" s="84"/>
      <c r="E814" s="84"/>
    </row>
    <row r="815" spans="1:5" ht="12.75">
      <c r="A815" s="8"/>
      <c r="B815" s="1"/>
      <c r="C815" s="1"/>
      <c r="D815" s="84"/>
      <c r="E815" s="84"/>
    </row>
    <row r="816" spans="1:5" ht="12.75">
      <c r="A816" s="8"/>
      <c r="B816" s="1"/>
      <c r="C816" s="1"/>
      <c r="D816" s="84"/>
      <c r="E816" s="84"/>
    </row>
    <row r="817" spans="1:5" ht="12.75">
      <c r="A817" s="8"/>
      <c r="B817" s="1"/>
      <c r="C817" s="1"/>
      <c r="D817" s="84"/>
      <c r="E817" s="84"/>
    </row>
    <row r="818" spans="1:5" ht="12.75">
      <c r="A818" s="8"/>
      <c r="B818" s="1"/>
      <c r="C818" s="1"/>
      <c r="D818" s="84"/>
      <c r="E818" s="84"/>
    </row>
    <row r="819" spans="1:5" ht="12.75">
      <c r="A819" s="8"/>
      <c r="B819" s="1"/>
      <c r="C819" s="1"/>
      <c r="D819" s="84"/>
      <c r="E819" s="84"/>
    </row>
    <row r="820" spans="1:5" ht="12.75">
      <c r="A820" s="8"/>
      <c r="B820" s="1"/>
      <c r="C820" s="1"/>
      <c r="D820" s="84"/>
      <c r="E820" s="84"/>
    </row>
    <row r="821" spans="1:5" ht="12.75">
      <c r="A821" s="8"/>
      <c r="B821" s="1"/>
      <c r="C821" s="1"/>
      <c r="D821" s="84"/>
      <c r="E821" s="84"/>
    </row>
    <row r="822" spans="1:5" ht="12.75">
      <c r="A822" s="8"/>
      <c r="B822" s="1"/>
      <c r="C822" s="1"/>
      <c r="D822" s="84"/>
      <c r="E822" s="84"/>
    </row>
    <row r="823" spans="1:5" ht="12.75">
      <c r="A823" s="8"/>
      <c r="B823" s="1"/>
      <c r="C823" s="1"/>
      <c r="D823" s="84"/>
      <c r="E823" s="84"/>
    </row>
    <row r="824" spans="1:5" ht="12.75">
      <c r="A824" s="8"/>
      <c r="B824" s="1"/>
      <c r="C824" s="1"/>
      <c r="D824" s="84"/>
      <c r="E824" s="84"/>
    </row>
    <row r="825" spans="1:5" ht="12.75">
      <c r="A825" s="8"/>
      <c r="B825" s="1"/>
      <c r="C825" s="1"/>
      <c r="D825" s="84"/>
      <c r="E825" s="84"/>
    </row>
    <row r="826" spans="1:5" ht="12.75">
      <c r="A826" s="8"/>
      <c r="B826" s="1"/>
      <c r="C826" s="1"/>
      <c r="D826" s="84"/>
      <c r="E826" s="84"/>
    </row>
    <row r="827" spans="1:5" ht="12.75">
      <c r="A827" s="8"/>
      <c r="B827" s="1"/>
      <c r="C827" s="1"/>
      <c r="D827" s="84"/>
      <c r="E827" s="84"/>
    </row>
    <row r="828" spans="1:5" ht="12.75">
      <c r="A828" s="8"/>
      <c r="B828" s="1"/>
      <c r="C828" s="1"/>
      <c r="D828" s="84"/>
      <c r="E828" s="84"/>
    </row>
    <row r="829" spans="1:5" ht="12.75">
      <c r="A829" s="8"/>
      <c r="B829" s="1"/>
      <c r="C829" s="1"/>
      <c r="D829" s="84"/>
      <c r="E829" s="84"/>
    </row>
    <row r="830" spans="1:5" ht="12.75">
      <c r="A830" s="8"/>
      <c r="B830" s="1"/>
      <c r="C830" s="1"/>
      <c r="D830" s="84"/>
      <c r="E830" s="84"/>
    </row>
    <row r="831" spans="1:5" ht="12.75">
      <c r="A831" s="8"/>
      <c r="B831" s="1"/>
      <c r="C831" s="1"/>
      <c r="D831" s="84"/>
      <c r="E831" s="84"/>
    </row>
    <row r="832" spans="1:5" ht="12.75">
      <c r="A832" s="8"/>
      <c r="B832" s="1"/>
      <c r="C832" s="1"/>
      <c r="D832" s="84"/>
      <c r="E832" s="84"/>
    </row>
    <row r="833" spans="1:5" ht="12.75">
      <c r="A833" s="8"/>
      <c r="B833" s="1"/>
      <c r="C833" s="1"/>
      <c r="D833" s="84"/>
      <c r="E833" s="84"/>
    </row>
    <row r="834" spans="1:5" ht="12.75">
      <c r="A834" s="8"/>
      <c r="B834" s="1"/>
      <c r="C834" s="1"/>
      <c r="D834" s="84"/>
      <c r="E834" s="84"/>
    </row>
    <row r="835" spans="1:5" ht="12.75">
      <c r="A835" s="8"/>
      <c r="B835" s="1"/>
      <c r="C835" s="1"/>
      <c r="D835" s="84"/>
      <c r="E835" s="84"/>
    </row>
    <row r="836" spans="1:5" ht="12.75">
      <c r="A836" s="8"/>
      <c r="B836" s="1"/>
      <c r="C836" s="1"/>
      <c r="D836" s="84"/>
      <c r="E836" s="84"/>
    </row>
    <row r="837" spans="1:5" ht="12.75">
      <c r="A837" s="8"/>
      <c r="B837" s="1"/>
      <c r="C837" s="1"/>
      <c r="D837" s="84"/>
      <c r="E837" s="84"/>
    </row>
    <row r="838" spans="1:5" ht="12.75">
      <c r="A838" s="8"/>
      <c r="B838" s="1"/>
      <c r="C838" s="1"/>
      <c r="D838" s="84"/>
      <c r="E838" s="84"/>
    </row>
    <row r="839" spans="1:5" ht="12.75">
      <c r="A839" s="8"/>
      <c r="B839" s="1"/>
      <c r="C839" s="1"/>
      <c r="D839" s="84"/>
      <c r="E839" s="84"/>
    </row>
    <row r="840" spans="1:5" ht="12.75">
      <c r="A840" s="8"/>
      <c r="B840" s="1"/>
      <c r="C840" s="1"/>
      <c r="D840" s="84"/>
      <c r="E840" s="84"/>
    </row>
    <row r="841" spans="1:5" ht="12.75">
      <c r="A841" s="8"/>
      <c r="B841" s="1"/>
      <c r="C841" s="1"/>
      <c r="D841" s="84"/>
      <c r="E841" s="84"/>
    </row>
    <row r="842" spans="1:5" ht="12.75">
      <c r="A842" s="8"/>
      <c r="B842" s="1"/>
      <c r="C842" s="1"/>
      <c r="D842" s="84"/>
      <c r="E842" s="84"/>
    </row>
    <row r="843" spans="1:5" ht="12.75">
      <c r="A843" s="8"/>
      <c r="B843" s="1"/>
      <c r="C843" s="1"/>
      <c r="D843" s="84"/>
      <c r="E843" s="84"/>
    </row>
    <row r="844" spans="1:5" ht="12.75">
      <c r="A844" s="8"/>
      <c r="B844" s="1"/>
      <c r="C844" s="1"/>
      <c r="D844" s="84"/>
      <c r="E844" s="84"/>
    </row>
    <row r="845" spans="1:5" ht="12.75">
      <c r="A845" s="8"/>
      <c r="B845" s="1"/>
      <c r="C845" s="1"/>
      <c r="D845" s="84"/>
      <c r="E845" s="84"/>
    </row>
    <row r="846" spans="1:5" ht="12.75">
      <c r="A846" s="8"/>
      <c r="B846" s="1"/>
      <c r="C846" s="1"/>
      <c r="D846" s="84"/>
      <c r="E846" s="84"/>
    </row>
    <row r="847" spans="1:5" ht="12.75">
      <c r="A847" s="8"/>
      <c r="B847" s="1"/>
      <c r="C847" s="1"/>
      <c r="D847" s="84"/>
      <c r="E847" s="84"/>
    </row>
    <row r="848" spans="1:5" ht="12.75">
      <c r="A848" s="8"/>
      <c r="D848" s="84"/>
      <c r="E848" s="84"/>
    </row>
    <row r="849" spans="1:5" ht="12.75">
      <c r="A849" s="8"/>
      <c r="D849" s="84"/>
      <c r="E849" s="84"/>
    </row>
    <row r="850" spans="1:5" ht="12.75">
      <c r="A850" s="8"/>
      <c r="D850" s="84"/>
      <c r="E850" s="84"/>
    </row>
    <row r="851" spans="1:5" ht="12.75">
      <c r="A851" s="8"/>
      <c r="D851" s="84"/>
      <c r="E851" s="84"/>
    </row>
    <row r="852" spans="1:5" ht="12.75">
      <c r="A852" s="8"/>
      <c r="D852" s="84"/>
      <c r="E852" s="84"/>
    </row>
    <row r="853" spans="1:5" ht="12.75">
      <c r="A853" s="8"/>
      <c r="D853" s="84"/>
      <c r="E853" s="84"/>
    </row>
    <row r="854" spans="1:5" ht="12.75">
      <c r="A854" s="8"/>
      <c r="D854" s="84"/>
      <c r="E854" s="84"/>
    </row>
    <row r="855" spans="1:5" ht="12.75">
      <c r="A855" s="8"/>
      <c r="D855" s="84"/>
      <c r="E855" s="84"/>
    </row>
    <row r="856" spans="1:5" ht="12.75">
      <c r="A856" s="8"/>
      <c r="D856" s="84"/>
      <c r="E856" s="84"/>
    </row>
    <row r="857" spans="1:5" ht="12.75">
      <c r="A857" s="8"/>
      <c r="D857" s="84"/>
      <c r="E857" s="84"/>
    </row>
    <row r="858" spans="1:5" ht="12.75">
      <c r="A858" s="8"/>
      <c r="B858" s="8"/>
      <c r="C858" s="8"/>
      <c r="D858" s="84"/>
      <c r="E858" s="84"/>
    </row>
    <row r="859" spans="1:5" ht="12.75">
      <c r="A859" s="8"/>
      <c r="B859" s="8"/>
      <c r="C859" s="8"/>
      <c r="D859" s="84"/>
      <c r="E859" s="84"/>
    </row>
    <row r="860" spans="1:5" ht="12.75">
      <c r="A860" s="8"/>
      <c r="B860" s="8"/>
      <c r="C860" s="8"/>
      <c r="D860" s="84"/>
      <c r="E860" s="84"/>
    </row>
    <row r="861" spans="1:5" ht="12.75">
      <c r="A861" s="8"/>
      <c r="B861" s="8"/>
      <c r="C861" s="8"/>
      <c r="D861" s="84"/>
      <c r="E861" s="84"/>
    </row>
    <row r="862" spans="1:5" ht="12.75">
      <c r="A862" s="8"/>
      <c r="B862" s="8"/>
      <c r="C862" s="8"/>
      <c r="D862" s="84"/>
      <c r="E862" s="84"/>
    </row>
    <row r="863" spans="1:5" ht="12.75">
      <c r="A863" s="8"/>
      <c r="B863" s="8"/>
      <c r="C863" s="8"/>
      <c r="D863" s="84"/>
      <c r="E863" s="84"/>
    </row>
    <row r="864" spans="1:5" ht="12.75">
      <c r="A864" s="8"/>
      <c r="B864" s="8"/>
      <c r="C864" s="8"/>
      <c r="D864" s="84"/>
      <c r="E864" s="84"/>
    </row>
    <row r="865" spans="1:5" ht="12.75">
      <c r="A865" s="8"/>
      <c r="B865" s="8"/>
      <c r="C865" s="8"/>
      <c r="D865" s="84"/>
      <c r="E865" s="84"/>
    </row>
    <row r="866" spans="1:5" ht="12.75">
      <c r="A866" s="8"/>
      <c r="B866" s="8"/>
      <c r="C866" s="8"/>
      <c r="D866" s="84"/>
      <c r="E866" s="84"/>
    </row>
    <row r="867" spans="1:5" ht="12.75">
      <c r="A867" s="8"/>
      <c r="B867" s="8"/>
      <c r="C867" s="8"/>
      <c r="D867" s="84"/>
      <c r="E867" s="84"/>
    </row>
    <row r="868" spans="1:5" ht="12.75">
      <c r="A868" s="8"/>
      <c r="B868" s="8"/>
      <c r="C868" s="8"/>
      <c r="D868" s="84"/>
      <c r="E868" s="84"/>
    </row>
    <row r="869" spans="1:5" ht="12.75">
      <c r="A869" s="8"/>
      <c r="B869" s="8"/>
      <c r="C869" s="8"/>
      <c r="D869" s="84"/>
      <c r="E869" s="84"/>
    </row>
    <row r="870" spans="1:5" ht="12.75">
      <c r="A870" s="8"/>
      <c r="B870" s="8"/>
      <c r="C870" s="8"/>
      <c r="D870" s="84"/>
      <c r="E870" s="84"/>
    </row>
    <row r="871" spans="1:5" ht="12.75">
      <c r="A871" s="8"/>
      <c r="B871" s="8"/>
      <c r="C871" s="8"/>
      <c r="D871" s="84"/>
      <c r="E871" s="84"/>
    </row>
    <row r="872" spans="1:5" ht="12.75">
      <c r="A872" s="8"/>
      <c r="B872" s="8"/>
      <c r="C872" s="8"/>
      <c r="D872" s="84"/>
      <c r="E872" s="84"/>
    </row>
    <row r="873" spans="1:5" ht="12.75">
      <c r="A873" s="8"/>
      <c r="B873" s="8"/>
      <c r="C873" s="8"/>
      <c r="D873" s="84"/>
      <c r="E873" s="84"/>
    </row>
    <row r="874" spans="1:5" ht="12.75">
      <c r="A874" s="8"/>
      <c r="B874" s="8"/>
      <c r="C874" s="8"/>
      <c r="D874" s="84"/>
      <c r="E874" s="84"/>
    </row>
    <row r="875" spans="1:5" ht="12.75">
      <c r="A875" s="8"/>
      <c r="B875" s="8"/>
      <c r="C875" s="8"/>
      <c r="D875" s="84"/>
      <c r="E875" s="84"/>
    </row>
    <row r="876" spans="1:5" ht="12.75">
      <c r="A876" s="8"/>
      <c r="B876" s="8"/>
      <c r="C876" s="8"/>
      <c r="D876" s="84"/>
      <c r="E876" s="84"/>
    </row>
    <row r="877" spans="1:5" ht="12.75">
      <c r="A877" s="8"/>
      <c r="B877" s="8"/>
      <c r="C877" s="8"/>
      <c r="D877" s="84"/>
      <c r="E877" s="84"/>
    </row>
    <row r="878" spans="1:5" ht="12.75">
      <c r="A878" s="8"/>
      <c r="B878" s="8"/>
      <c r="C878" s="8"/>
      <c r="D878" s="84"/>
      <c r="E878" s="84"/>
    </row>
    <row r="879" spans="1:5" ht="12.75">
      <c r="A879" s="8"/>
      <c r="B879" s="8"/>
      <c r="C879" s="8"/>
      <c r="D879" s="84"/>
      <c r="E879" s="84"/>
    </row>
    <row r="880" spans="1:5" ht="12.75">
      <c r="A880" s="8"/>
      <c r="B880" s="8"/>
      <c r="C880" s="8"/>
      <c r="D880" s="84"/>
      <c r="E880" s="84"/>
    </row>
    <row r="881" spans="1:5" ht="12.75">
      <c r="A881" s="8"/>
      <c r="B881" s="8"/>
      <c r="C881" s="8"/>
      <c r="D881" s="84"/>
      <c r="E881" s="84"/>
    </row>
    <row r="882" spans="1:5" ht="12.75">
      <c r="A882" s="8"/>
      <c r="B882" s="8"/>
      <c r="C882" s="8"/>
      <c r="D882" s="84"/>
      <c r="E882" s="84"/>
    </row>
    <row r="883" spans="1:5" ht="12.75">
      <c r="A883" s="8"/>
      <c r="B883" s="8"/>
      <c r="C883" s="8"/>
      <c r="D883" s="84"/>
      <c r="E883" s="84"/>
    </row>
    <row r="884" spans="1:5" ht="12.75">
      <c r="A884" s="8"/>
      <c r="B884" s="8"/>
      <c r="C884" s="8"/>
      <c r="D884" s="84"/>
      <c r="E884" s="84"/>
    </row>
    <row r="885" spans="1:5" ht="12.75">
      <c r="A885" s="8"/>
      <c r="B885" s="8"/>
      <c r="C885" s="8"/>
      <c r="D885" s="84"/>
      <c r="E885" s="84"/>
    </row>
    <row r="886" spans="1:5" ht="12.75">
      <c r="A886" s="8"/>
      <c r="B886" s="8"/>
      <c r="C886" s="8"/>
      <c r="D886" s="84"/>
      <c r="E886" s="84"/>
    </row>
    <row r="887" spans="1:5" ht="12.75">
      <c r="A887" s="8"/>
      <c r="B887" s="8"/>
      <c r="C887" s="8"/>
      <c r="D887" s="84"/>
      <c r="E887" s="84"/>
    </row>
    <row r="888" spans="1:5" ht="12.75">
      <c r="A888" s="8"/>
      <c r="B888" s="8"/>
      <c r="C888" s="8"/>
      <c r="D888" s="84"/>
      <c r="E888" s="84"/>
    </row>
    <row r="889" spans="1:5" ht="12.75">
      <c r="A889" s="8"/>
      <c r="B889" s="8"/>
      <c r="C889" s="8"/>
      <c r="D889" s="84"/>
      <c r="E889" s="84"/>
    </row>
    <row r="890" spans="1:5" ht="12.75">
      <c r="A890" s="8"/>
      <c r="B890" s="8"/>
      <c r="C890" s="8"/>
      <c r="D890" s="84"/>
      <c r="E890" s="84"/>
    </row>
    <row r="891" spans="1:5" ht="12.75">
      <c r="A891" s="8"/>
      <c r="B891" s="8"/>
      <c r="C891" s="8"/>
      <c r="D891" s="84"/>
      <c r="E891" s="84"/>
    </row>
    <row r="892" spans="1:5" ht="12.75">
      <c r="A892" s="8"/>
      <c r="B892" s="8"/>
      <c r="C892" s="8"/>
      <c r="D892" s="84"/>
      <c r="E892" s="84"/>
    </row>
    <row r="893" spans="1:5" ht="12.75">
      <c r="A893" s="8"/>
      <c r="B893" s="8"/>
      <c r="C893" s="8"/>
      <c r="D893" s="84"/>
      <c r="E893" s="84"/>
    </row>
    <row r="894" spans="1:5" ht="12.75">
      <c r="A894" s="8"/>
      <c r="B894" s="8"/>
      <c r="C894" s="8"/>
      <c r="D894" s="84"/>
      <c r="E894" s="84"/>
    </row>
    <row r="895" spans="1:5" ht="12.75">
      <c r="A895" s="8"/>
      <c r="B895" s="8"/>
      <c r="C895" s="8"/>
      <c r="D895" s="84"/>
      <c r="E895" s="84"/>
    </row>
    <row r="896" spans="1:5" ht="12.75">
      <c r="A896" s="8"/>
      <c r="B896" s="8"/>
      <c r="C896" s="8"/>
      <c r="D896" s="84"/>
      <c r="E896" s="84"/>
    </row>
    <row r="897" spans="1:5" ht="12.75">
      <c r="A897" s="8"/>
      <c r="B897" s="8"/>
      <c r="C897" s="8"/>
      <c r="D897" s="84"/>
      <c r="E897" s="84"/>
    </row>
    <row r="898" spans="1:5" ht="12.75">
      <c r="A898" s="8"/>
      <c r="B898" s="8"/>
      <c r="C898" s="8"/>
      <c r="D898" s="84"/>
      <c r="E898" s="84"/>
    </row>
    <row r="899" spans="1:5" ht="12.75">
      <c r="A899" s="8"/>
      <c r="B899" s="8"/>
      <c r="C899" s="8"/>
      <c r="D899" s="84"/>
      <c r="E899" s="84"/>
    </row>
    <row r="900" spans="1:5" ht="12.75">
      <c r="A900" s="8"/>
      <c r="B900" s="8"/>
      <c r="C900" s="8"/>
      <c r="D900" s="84"/>
      <c r="E900" s="84"/>
    </row>
    <row r="901" spans="1:5" ht="12.75">
      <c r="A901" s="8"/>
      <c r="B901" s="8"/>
      <c r="C901" s="8"/>
      <c r="D901" s="84"/>
      <c r="E901" s="84"/>
    </row>
    <row r="902" spans="1:5" ht="12.75">
      <c r="A902" s="8"/>
      <c r="B902" s="8"/>
      <c r="C902" s="8"/>
      <c r="D902" s="84"/>
      <c r="E902" s="84"/>
    </row>
    <row r="903" spans="1:5" ht="12.75">
      <c r="A903" s="8"/>
      <c r="B903" s="8"/>
      <c r="C903" s="8"/>
      <c r="D903" s="84"/>
      <c r="E903" s="84"/>
    </row>
    <row r="904" spans="1:5" ht="12.75">
      <c r="A904" s="8"/>
      <c r="B904" s="8"/>
      <c r="C904" s="8"/>
      <c r="D904" s="84"/>
      <c r="E904" s="84"/>
    </row>
    <row r="905" spans="1:5" ht="12.75">
      <c r="A905" s="8"/>
      <c r="B905" s="8"/>
      <c r="C905" s="8"/>
      <c r="D905" s="84"/>
      <c r="E905" s="84"/>
    </row>
    <row r="906" spans="1:5" ht="12.75">
      <c r="A906" s="8"/>
      <c r="B906" s="8"/>
      <c r="C906" s="8"/>
      <c r="D906" s="84"/>
      <c r="E906" s="84"/>
    </row>
    <row r="907" spans="1:5" ht="12.75">
      <c r="A907" s="8"/>
      <c r="B907" s="8"/>
      <c r="C907" s="8"/>
      <c r="D907" s="84"/>
      <c r="E907" s="84"/>
    </row>
    <row r="908" spans="1:5" ht="12.75">
      <c r="A908" s="8"/>
      <c r="B908" s="8"/>
      <c r="C908" s="8"/>
      <c r="D908" s="84"/>
      <c r="E908" s="84"/>
    </row>
    <row r="909" spans="1:5" ht="12.75">
      <c r="A909" s="8"/>
      <c r="B909" s="8"/>
      <c r="C909" s="8"/>
      <c r="D909" s="84"/>
      <c r="E909" s="84"/>
    </row>
    <row r="910" spans="1:5" ht="12.75">
      <c r="A910" s="8"/>
      <c r="B910" s="8"/>
      <c r="C910" s="8"/>
      <c r="D910" s="84"/>
      <c r="E910" s="84"/>
    </row>
    <row r="911" spans="1:5" ht="12.75">
      <c r="A911" s="8"/>
      <c r="B911" s="8"/>
      <c r="C911" s="8"/>
      <c r="D911" s="84"/>
      <c r="E911" s="84"/>
    </row>
    <row r="912" spans="1:5" ht="12.75">
      <c r="A912" s="8"/>
      <c r="B912" s="8"/>
      <c r="C912" s="8"/>
      <c r="D912" s="84"/>
      <c r="E912" s="84"/>
    </row>
    <row r="913" spans="1:5" ht="12.75">
      <c r="A913" s="8"/>
      <c r="B913" s="8"/>
      <c r="C913" s="8"/>
      <c r="D913" s="84"/>
      <c r="E913" s="84"/>
    </row>
    <row r="914" spans="1:5" ht="12.75">
      <c r="A914" s="8"/>
      <c r="B914" s="8"/>
      <c r="C914" s="8"/>
      <c r="D914" s="84"/>
      <c r="E914" s="84"/>
    </row>
    <row r="915" spans="1:5" ht="12.75">
      <c r="A915" s="8"/>
      <c r="B915" s="8"/>
      <c r="C915" s="8"/>
      <c r="D915" s="84"/>
      <c r="E915" s="84"/>
    </row>
    <row r="916" spans="1:5" ht="12.75">
      <c r="A916" s="8"/>
      <c r="B916" s="8"/>
      <c r="C916" s="8"/>
      <c r="D916" s="84"/>
      <c r="E916" s="84"/>
    </row>
    <row r="917" spans="1:5" ht="12.75">
      <c r="A917" s="8"/>
      <c r="B917" s="8"/>
      <c r="C917" s="8"/>
      <c r="D917" s="84"/>
      <c r="E917" s="84"/>
    </row>
    <row r="918" spans="1:5" ht="12.75">
      <c r="A918" s="8"/>
      <c r="B918" s="8"/>
      <c r="C918" s="8"/>
      <c r="D918" s="84"/>
      <c r="E918" s="84"/>
    </row>
    <row r="919" spans="1:5" ht="12.75">
      <c r="A919" s="8"/>
      <c r="B919" s="8"/>
      <c r="C919" s="8"/>
      <c r="D919" s="84"/>
      <c r="E919" s="84"/>
    </row>
    <row r="920" spans="1:5" ht="12.75">
      <c r="A920" s="8"/>
      <c r="B920" s="8"/>
      <c r="C920" s="8"/>
      <c r="D920" s="84"/>
      <c r="E920" s="84"/>
    </row>
    <row r="921" spans="1:5" ht="12.75">
      <c r="A921" s="8"/>
      <c r="B921" s="8"/>
      <c r="C921" s="8"/>
      <c r="D921" s="84"/>
      <c r="E921" s="84"/>
    </row>
    <row r="922" spans="1:5" ht="12.75">
      <c r="A922" s="8"/>
      <c r="B922" s="8"/>
      <c r="C922" s="8"/>
      <c r="D922" s="84"/>
      <c r="E922" s="84"/>
    </row>
    <row r="923" spans="1:5" ht="12.75">
      <c r="A923" s="8"/>
      <c r="B923" s="8"/>
      <c r="C923" s="8"/>
      <c r="D923" s="84"/>
      <c r="E923" s="84"/>
    </row>
    <row r="924" spans="1:5" ht="12.75">
      <c r="A924" s="8"/>
      <c r="B924" s="8"/>
      <c r="C924" s="8"/>
      <c r="D924" s="84"/>
      <c r="E924" s="84"/>
    </row>
    <row r="925" spans="1:5" ht="12.75">
      <c r="A925" s="8"/>
      <c r="B925" s="8"/>
      <c r="C925" s="8"/>
      <c r="D925" s="84"/>
      <c r="E925" s="84"/>
    </row>
    <row r="926" spans="1:5" ht="12.75">
      <c r="A926" s="8"/>
      <c r="B926" s="8"/>
      <c r="C926" s="8"/>
      <c r="D926" s="84"/>
      <c r="E926" s="84"/>
    </row>
    <row r="927" spans="1:5" ht="12.75">
      <c r="A927" s="8"/>
      <c r="B927" s="8"/>
      <c r="C927" s="8"/>
      <c r="D927" s="84"/>
      <c r="E927" s="84"/>
    </row>
    <row r="928" spans="1:5" ht="12.75">
      <c r="A928" s="8"/>
      <c r="B928" s="8"/>
      <c r="C928" s="8"/>
      <c r="D928" s="84"/>
      <c r="E928" s="84"/>
    </row>
    <row r="929" spans="1:5" ht="12.75">
      <c r="A929" s="8"/>
      <c r="B929" s="8"/>
      <c r="C929" s="8"/>
      <c r="D929" s="84"/>
      <c r="E929" s="84"/>
    </row>
    <row r="930" spans="1:5" ht="12.75">
      <c r="A930" s="8"/>
      <c r="B930" s="8"/>
      <c r="C930" s="8"/>
      <c r="D930" s="84"/>
      <c r="E930" s="84"/>
    </row>
    <row r="931" spans="1:5" ht="12.75">
      <c r="A931" s="8"/>
      <c r="B931" s="8"/>
      <c r="C931" s="8"/>
      <c r="D931" s="84"/>
      <c r="E931" s="84"/>
    </row>
    <row r="932" spans="1:5" ht="12.75">
      <c r="A932" s="8"/>
      <c r="B932" s="8"/>
      <c r="C932" s="8"/>
      <c r="D932" s="84"/>
      <c r="E932" s="84"/>
    </row>
    <row r="933" spans="1:5" ht="12.75">
      <c r="A933" s="8"/>
      <c r="B933" s="8"/>
      <c r="C933" s="8"/>
      <c r="D933" s="84"/>
      <c r="E933" s="84"/>
    </row>
    <row r="934" spans="1:5" ht="12.75">
      <c r="A934" s="8"/>
      <c r="B934" s="8"/>
      <c r="C934" s="8"/>
      <c r="D934" s="84"/>
      <c r="E934" s="84"/>
    </row>
    <row r="935" spans="1:5" ht="12.75">
      <c r="A935" s="8"/>
      <c r="B935" s="8"/>
      <c r="C935" s="8"/>
      <c r="D935" s="84"/>
      <c r="E935" s="84"/>
    </row>
    <row r="936" spans="1:5" ht="12.75">
      <c r="A936" s="8"/>
      <c r="B936" s="8"/>
      <c r="C936" s="8"/>
      <c r="D936" s="84"/>
      <c r="E936" s="84"/>
    </row>
    <row r="937" spans="1:5" ht="12.75">
      <c r="A937" s="8"/>
      <c r="B937" s="8"/>
      <c r="C937" s="8"/>
      <c r="D937" s="84"/>
      <c r="E937" s="84"/>
    </row>
    <row r="938" spans="1:5" ht="12.75">
      <c r="A938" s="8"/>
      <c r="B938" s="8"/>
      <c r="C938" s="8"/>
      <c r="D938" s="84"/>
      <c r="E938" s="84"/>
    </row>
    <row r="939" spans="1:5" ht="12.75">
      <c r="A939" s="8"/>
      <c r="B939" s="8"/>
      <c r="C939" s="8"/>
      <c r="D939" s="84"/>
      <c r="E939" s="84"/>
    </row>
    <row r="940" spans="1:5" ht="12.75">
      <c r="A940" s="8"/>
      <c r="B940" s="8"/>
      <c r="C940" s="8"/>
      <c r="D940" s="84"/>
      <c r="E940" s="84"/>
    </row>
    <row r="941" spans="1:5" ht="12.75">
      <c r="A941" s="8"/>
      <c r="B941" s="8"/>
      <c r="C941" s="8"/>
      <c r="D941" s="84"/>
      <c r="E941" s="84"/>
    </row>
    <row r="942" spans="1:5" ht="12.75">
      <c r="A942" s="8"/>
      <c r="B942" s="8"/>
      <c r="C942" s="8"/>
      <c r="D942" s="84"/>
      <c r="E942" s="84"/>
    </row>
    <row r="943" spans="1:5" ht="12.75">
      <c r="A943" s="8"/>
      <c r="B943" s="8"/>
      <c r="C943" s="8"/>
      <c r="D943" s="84"/>
      <c r="E943" s="84"/>
    </row>
    <row r="944" spans="1:5" ht="12.75">
      <c r="A944" s="8"/>
      <c r="B944" s="8"/>
      <c r="C944" s="8"/>
      <c r="D944" s="84"/>
      <c r="E944" s="84"/>
    </row>
    <row r="945" spans="1:5" ht="12.75">
      <c r="A945" s="8"/>
      <c r="B945" s="8"/>
      <c r="C945" s="8"/>
      <c r="D945" s="84"/>
      <c r="E945" s="84"/>
    </row>
    <row r="946" spans="1:5" ht="12.75">
      <c r="A946" s="8"/>
      <c r="B946" s="8"/>
      <c r="C946" s="8"/>
      <c r="D946" s="84"/>
      <c r="E946" s="84"/>
    </row>
    <row r="947" spans="1:5" ht="12.75">
      <c r="A947" s="8"/>
      <c r="B947" s="8"/>
      <c r="C947" s="8"/>
      <c r="D947" s="84"/>
      <c r="E947" s="84"/>
    </row>
    <row r="948" spans="1:5" ht="12.75">
      <c r="A948" s="8"/>
      <c r="B948" s="8"/>
      <c r="C948" s="8"/>
      <c r="D948" s="84"/>
      <c r="E948" s="84"/>
    </row>
    <row r="949" spans="1:5" ht="12.75">
      <c r="A949" s="8"/>
      <c r="B949" s="8"/>
      <c r="C949" s="8"/>
      <c r="D949" s="84"/>
      <c r="E949" s="84"/>
    </row>
    <row r="950" spans="1:5" ht="12.75">
      <c r="A950" s="8"/>
      <c r="B950" s="8"/>
      <c r="C950" s="8"/>
      <c r="D950" s="84"/>
      <c r="E950" s="84"/>
    </row>
    <row r="951" spans="1:5" ht="12.75">
      <c r="A951" s="8"/>
      <c r="B951" s="8"/>
      <c r="C951" s="8"/>
      <c r="D951" s="84"/>
      <c r="E951" s="84"/>
    </row>
    <row r="952" spans="1:5" ht="12.75">
      <c r="A952" s="8"/>
      <c r="B952" s="8"/>
      <c r="C952" s="8"/>
      <c r="D952" s="84"/>
      <c r="E952" s="84"/>
    </row>
    <row r="953" spans="1:5" ht="12.75">
      <c r="A953" s="8"/>
      <c r="B953" s="8"/>
      <c r="C953" s="8"/>
      <c r="D953" s="84"/>
      <c r="E953" s="84"/>
    </row>
    <row r="954" spans="1:5" ht="12.75">
      <c r="A954" s="8"/>
      <c r="B954" s="8"/>
      <c r="C954" s="8"/>
      <c r="D954" s="84"/>
      <c r="E954" s="84"/>
    </row>
    <row r="955" spans="1:5" ht="12.75">
      <c r="A955" s="8"/>
      <c r="B955" s="8"/>
      <c r="C955" s="8"/>
      <c r="D955" s="84"/>
      <c r="E955" s="84"/>
    </row>
    <row r="956" spans="1:5" ht="12.75">
      <c r="A956" s="8"/>
      <c r="B956" s="8"/>
      <c r="C956" s="8"/>
      <c r="D956" s="84"/>
      <c r="E956" s="84"/>
    </row>
    <row r="957" spans="1:5" ht="12.75">
      <c r="A957" s="8"/>
      <c r="B957" s="8"/>
      <c r="C957" s="8"/>
      <c r="D957" s="84"/>
      <c r="E957" s="84"/>
    </row>
    <row r="958" spans="1:5" ht="12.75">
      <c r="A958" s="8"/>
      <c r="B958" s="8"/>
      <c r="C958" s="8"/>
      <c r="D958" s="84"/>
      <c r="E958" s="84"/>
    </row>
    <row r="959" spans="1:5" ht="12.75">
      <c r="A959" s="8"/>
      <c r="B959" s="8"/>
      <c r="C959" s="8"/>
      <c r="D959" s="84"/>
      <c r="E959" s="84"/>
    </row>
    <row r="960" spans="1:5" ht="12.75">
      <c r="A960" s="8"/>
      <c r="B960" s="8"/>
      <c r="C960" s="8"/>
      <c r="D960" s="84"/>
      <c r="E960" s="84"/>
    </row>
    <row r="961" spans="1:5" ht="12.75">
      <c r="A961" s="8"/>
      <c r="B961" s="8"/>
      <c r="C961" s="8"/>
      <c r="D961" s="84"/>
      <c r="E961" s="84"/>
    </row>
    <row r="962" spans="1:5" ht="12.75">
      <c r="A962" s="8"/>
      <c r="B962" s="8"/>
      <c r="C962" s="8"/>
      <c r="D962" s="84"/>
      <c r="E962" s="84"/>
    </row>
    <row r="963" spans="1:5" ht="12.75">
      <c r="A963" s="8"/>
      <c r="B963" s="8"/>
      <c r="C963" s="8"/>
      <c r="D963" s="84"/>
      <c r="E963" s="84"/>
    </row>
    <row r="964" spans="1:5" ht="12.75">
      <c r="A964" s="8"/>
      <c r="B964" s="8"/>
      <c r="C964" s="8"/>
      <c r="D964" s="84"/>
      <c r="E964" s="84"/>
    </row>
    <row r="965" spans="1:5" ht="12.75">
      <c r="A965" s="8"/>
      <c r="B965" s="8"/>
      <c r="C965" s="8"/>
      <c r="D965" s="84"/>
      <c r="E965" s="84"/>
    </row>
    <row r="966" spans="1:5" ht="12.75">
      <c r="A966" s="8"/>
      <c r="B966" s="8"/>
      <c r="C966" s="8"/>
      <c r="D966" s="84"/>
      <c r="E966" s="84"/>
    </row>
    <row r="967" spans="1:5" ht="12.75">
      <c r="A967" s="8"/>
      <c r="B967" s="8"/>
      <c r="C967" s="8"/>
      <c r="D967" s="84"/>
      <c r="E967" s="84"/>
    </row>
    <row r="968" spans="1:5" ht="12.75">
      <c r="A968" s="8"/>
      <c r="B968" s="8"/>
      <c r="C968" s="8"/>
      <c r="D968" s="84"/>
      <c r="E968" s="84"/>
    </row>
    <row r="969" spans="1:5" ht="12.75">
      <c r="A969" s="8"/>
      <c r="B969" s="8"/>
      <c r="C969" s="8"/>
      <c r="D969" s="84"/>
      <c r="E969" s="84"/>
    </row>
    <row r="970" spans="1:5" ht="12.75">
      <c r="A970" s="8"/>
      <c r="B970" s="8"/>
      <c r="C970" s="8"/>
      <c r="D970" s="84"/>
      <c r="E970" s="84"/>
    </row>
    <row r="971" spans="1:5" ht="12.75">
      <c r="A971" s="8"/>
      <c r="B971" s="8"/>
      <c r="C971" s="8"/>
      <c r="D971" s="84"/>
      <c r="E971" s="84"/>
    </row>
    <row r="972" spans="1:5" ht="12.75">
      <c r="A972" s="8"/>
      <c r="B972" s="8"/>
      <c r="C972" s="8"/>
      <c r="D972" s="84"/>
      <c r="E972" s="84"/>
    </row>
    <row r="973" spans="1:5" ht="12.75">
      <c r="A973" s="8"/>
      <c r="B973" s="8"/>
      <c r="C973" s="8"/>
      <c r="D973" s="84"/>
      <c r="E973" s="84"/>
    </row>
    <row r="974" spans="1:5" ht="12.75">
      <c r="A974" s="8"/>
      <c r="B974" s="8"/>
      <c r="C974" s="8"/>
      <c r="D974" s="84"/>
      <c r="E974" s="84"/>
    </row>
    <row r="975" spans="1:5" ht="12.75">
      <c r="A975" s="8"/>
      <c r="B975" s="8"/>
      <c r="C975" s="8"/>
      <c r="D975" s="84"/>
      <c r="E975" s="84"/>
    </row>
    <row r="976" spans="1:5" ht="12.75">
      <c r="A976" s="8"/>
      <c r="B976" s="8"/>
      <c r="C976" s="8"/>
      <c r="D976" s="84"/>
      <c r="E976" s="84"/>
    </row>
    <row r="977" spans="1:5" ht="12.75">
      <c r="A977" s="8"/>
      <c r="B977" s="8"/>
      <c r="C977" s="8"/>
      <c r="D977" s="84"/>
      <c r="E977" s="84"/>
    </row>
    <row r="978" spans="1:5" ht="12.75">
      <c r="A978" s="8"/>
      <c r="B978" s="8"/>
      <c r="C978" s="8"/>
      <c r="D978" s="84"/>
      <c r="E978" s="84"/>
    </row>
    <row r="979" spans="1:5" ht="12.75">
      <c r="A979" s="8"/>
      <c r="B979" s="8"/>
      <c r="C979" s="8"/>
      <c r="D979" s="84"/>
      <c r="E979" s="84"/>
    </row>
    <row r="980" spans="1:5" ht="12.75">
      <c r="A980" s="8"/>
      <c r="B980" s="8"/>
      <c r="C980" s="8"/>
      <c r="D980" s="84"/>
      <c r="E980" s="84"/>
    </row>
    <row r="981" spans="1:5" ht="12.75">
      <c r="A981" s="8"/>
      <c r="B981" s="8"/>
      <c r="C981" s="8"/>
      <c r="D981" s="84"/>
      <c r="E981" s="84"/>
    </row>
    <row r="982" spans="1:5" ht="12.75">
      <c r="A982" s="8"/>
      <c r="B982" s="8"/>
      <c r="C982" s="8"/>
      <c r="D982" s="84"/>
      <c r="E982" s="84"/>
    </row>
    <row r="983" spans="1:5" ht="12.75">
      <c r="A983" s="8"/>
      <c r="B983" s="8"/>
      <c r="C983" s="8"/>
      <c r="D983" s="84"/>
      <c r="E983" s="84"/>
    </row>
    <row r="984" spans="1:5" ht="12.75">
      <c r="A984" s="8"/>
      <c r="B984" s="8"/>
      <c r="C984" s="8"/>
      <c r="D984" s="84"/>
      <c r="E984" s="84"/>
    </row>
    <row r="985" spans="1:5" ht="12.75">
      <c r="A985" s="8"/>
      <c r="B985" s="8"/>
      <c r="C985" s="8"/>
      <c r="D985" s="84"/>
      <c r="E985" s="84"/>
    </row>
    <row r="986" spans="1:5" ht="12.75">
      <c r="A986" s="8"/>
      <c r="B986" s="8"/>
      <c r="C986" s="8"/>
      <c r="D986" s="84"/>
      <c r="E986" s="84"/>
    </row>
    <row r="987" spans="1:5" ht="12.75">
      <c r="A987" s="8"/>
      <c r="B987" s="8"/>
      <c r="C987" s="8"/>
      <c r="D987" s="84"/>
      <c r="E987" s="84"/>
    </row>
    <row r="988" spans="1:5" ht="12.75">
      <c r="A988" s="8"/>
      <c r="B988" s="8"/>
      <c r="C988" s="8"/>
      <c r="D988" s="84"/>
      <c r="E988" s="84"/>
    </row>
    <row r="989" spans="1:5" ht="12.75">
      <c r="A989" s="8"/>
      <c r="B989" s="8"/>
      <c r="C989" s="8"/>
      <c r="D989" s="84"/>
      <c r="E989" s="84"/>
    </row>
    <row r="990" spans="1:5" ht="12.75">
      <c r="A990" s="8"/>
      <c r="B990" s="8"/>
      <c r="C990" s="8"/>
      <c r="D990" s="84"/>
      <c r="E990" s="84"/>
    </row>
    <row r="991" spans="1:5" ht="12.75">
      <c r="A991" s="8"/>
      <c r="B991" s="8"/>
      <c r="C991" s="8"/>
      <c r="D991" s="84"/>
      <c r="E991" s="84"/>
    </row>
    <row r="992" spans="1:5" ht="12.75">
      <c r="A992" s="8"/>
      <c r="B992" s="8"/>
      <c r="C992" s="8"/>
      <c r="D992" s="84"/>
      <c r="E992" s="84"/>
    </row>
    <row r="993" spans="1:5" ht="12.75">
      <c r="A993" s="8"/>
      <c r="B993" s="8"/>
      <c r="C993" s="8"/>
      <c r="D993" s="84"/>
      <c r="E993" s="84"/>
    </row>
    <row r="994" spans="1:5" ht="12.75">
      <c r="A994" s="8"/>
      <c r="B994" s="8"/>
      <c r="C994" s="8"/>
      <c r="D994" s="84"/>
      <c r="E994" s="84"/>
    </row>
    <row r="995" spans="1:5" ht="12.75">
      <c r="A995" s="8"/>
      <c r="B995" s="8"/>
      <c r="C995" s="8"/>
      <c r="D995" s="84"/>
      <c r="E995" s="84"/>
    </row>
    <row r="996" spans="1:5" ht="12.75">
      <c r="A996" s="8"/>
      <c r="B996" s="8"/>
      <c r="C996" s="8"/>
      <c r="D996" s="84"/>
      <c r="E996" s="84"/>
    </row>
  </sheetData>
  <printOptions/>
  <pageMargins left="0.53" right="0.5" top="1" bottom="1" header="0.5" footer="0.5"/>
  <pageSetup horizontalDpi="600" verticalDpi="600" orientation="landscape" paperSize="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O59"/>
  <sheetViews>
    <sheetView workbookViewId="0" topLeftCell="A43">
      <selection activeCell="J6" sqref="J6"/>
    </sheetView>
  </sheetViews>
  <sheetFormatPr defaultColWidth="9.140625" defaultRowHeight="12.75"/>
  <cols>
    <col min="1" max="1" width="6.8515625" style="0" customWidth="1"/>
    <col min="2" max="2" width="18.7109375" style="7" customWidth="1"/>
    <col min="3" max="3" width="23.28125" style="7" customWidth="1"/>
    <col min="4" max="4" width="9.28125" style="7" bestFit="1" customWidth="1"/>
    <col min="5" max="5" width="11.8515625" style="7" bestFit="1" customWidth="1"/>
    <col min="6" max="6" width="12.8515625" style="7" bestFit="1" customWidth="1"/>
    <col min="7" max="7" width="14.00390625" style="7" bestFit="1" customWidth="1"/>
    <col min="8" max="8" width="10.8515625" style="7" bestFit="1" customWidth="1"/>
    <col min="9" max="9" width="12.8515625" style="7" bestFit="1" customWidth="1"/>
    <col min="10" max="10" width="11.28125" style="7" bestFit="1" customWidth="1"/>
    <col min="11" max="11" width="14.00390625" style="7" bestFit="1" customWidth="1"/>
    <col min="13" max="13" width="14.7109375" style="0" customWidth="1"/>
    <col min="14" max="14" width="15.57421875" style="0" customWidth="1"/>
    <col min="15" max="15" width="20.57421875" style="0" bestFit="1" customWidth="1"/>
  </cols>
  <sheetData>
    <row r="1" spans="2:4" ht="12.75">
      <c r="B1" s="163" t="s">
        <v>430</v>
      </c>
      <c r="C1" s="162">
        <v>3075</v>
      </c>
      <c r="D1" s="179" t="s">
        <v>706</v>
      </c>
    </row>
    <row r="2" ht="12.75">
      <c r="A2" s="38" t="s">
        <v>708</v>
      </c>
    </row>
    <row r="4" spans="1:15" ht="76.5">
      <c r="A4" s="160" t="s">
        <v>198</v>
      </c>
      <c r="B4" s="161" t="s">
        <v>419</v>
      </c>
      <c r="C4" s="161" t="s">
        <v>420</v>
      </c>
      <c r="D4" s="161" t="s">
        <v>421</v>
      </c>
      <c r="E4" s="161" t="s">
        <v>422</v>
      </c>
      <c r="F4" s="161" t="s">
        <v>423</v>
      </c>
      <c r="G4" s="164" t="s">
        <v>424</v>
      </c>
      <c r="H4" s="161" t="s">
        <v>425</v>
      </c>
      <c r="I4" s="161" t="s">
        <v>426</v>
      </c>
      <c r="J4" s="164" t="s">
        <v>427</v>
      </c>
      <c r="K4" s="161" t="s">
        <v>428</v>
      </c>
      <c r="L4" s="160"/>
      <c r="M4" s="164" t="s">
        <v>431</v>
      </c>
      <c r="N4" s="164" t="s">
        <v>432</v>
      </c>
      <c r="O4" s="164" t="s">
        <v>145</v>
      </c>
    </row>
    <row r="5" spans="1:14" ht="12.75">
      <c r="A5">
        <v>2018</v>
      </c>
      <c r="C5" s="362"/>
      <c r="M5" s="15"/>
      <c r="N5" s="15"/>
    </row>
    <row r="6" spans="1:15" ht="12.75">
      <c r="A6">
        <v>2019</v>
      </c>
      <c r="B6" s="7">
        <v>1134249.656</v>
      </c>
      <c r="C6" s="7">
        <v>487443.65</v>
      </c>
      <c r="D6" s="7">
        <v>0</v>
      </c>
      <c r="E6" s="7">
        <v>-189500</v>
      </c>
      <c r="F6" s="7">
        <v>238532.7165</v>
      </c>
      <c r="G6" s="7">
        <v>423333.707</v>
      </c>
      <c r="H6" s="7">
        <v>0</v>
      </c>
      <c r="I6" s="7">
        <v>117835.69</v>
      </c>
      <c r="J6" s="7">
        <v>56603.893</v>
      </c>
      <c r="K6" s="7">
        <v>0</v>
      </c>
      <c r="M6" s="15">
        <f>+C6+D6+E6+F6</f>
        <v>536476.3665</v>
      </c>
      <c r="N6" s="15">
        <f>+H6+I6</f>
        <v>117835.69</v>
      </c>
      <c r="O6">
        <v>-632</v>
      </c>
    </row>
    <row r="7" spans="1:15" ht="12.75">
      <c r="A7">
        <v>2020</v>
      </c>
      <c r="B7" s="7">
        <v>807661.117</v>
      </c>
      <c r="C7" s="7">
        <v>341081.1</v>
      </c>
      <c r="D7" s="7">
        <v>0</v>
      </c>
      <c r="E7" s="7">
        <v>-72500</v>
      </c>
      <c r="F7" s="7">
        <v>235974.176</v>
      </c>
      <c r="G7" s="7">
        <v>173072.274</v>
      </c>
      <c r="H7" s="7">
        <v>12.86</v>
      </c>
      <c r="I7" s="7">
        <v>105689.902</v>
      </c>
      <c r="J7" s="7">
        <v>24330.805</v>
      </c>
      <c r="K7" s="7">
        <v>0</v>
      </c>
      <c r="M7" s="15">
        <f>+C7+D7+E7+F7</f>
        <v>504555.27599999995</v>
      </c>
      <c r="N7" s="15">
        <f>+H7+I7</f>
        <v>105702.762</v>
      </c>
      <c r="O7" s="206">
        <v>-563</v>
      </c>
    </row>
    <row r="8" spans="1:15" ht="12.75">
      <c r="A8">
        <v>2021</v>
      </c>
      <c r="B8" s="7">
        <v>813820.059</v>
      </c>
      <c r="C8" s="7">
        <v>103870.6</v>
      </c>
      <c r="D8" s="7">
        <v>0</v>
      </c>
      <c r="E8" s="7">
        <v>-81000</v>
      </c>
      <c r="F8" s="7">
        <v>230054.59</v>
      </c>
      <c r="G8" s="7">
        <v>518064.668</v>
      </c>
      <c r="H8" s="7">
        <v>10.351</v>
      </c>
      <c r="I8" s="7">
        <v>113068.307</v>
      </c>
      <c r="J8" s="7">
        <v>14746.543</v>
      </c>
      <c r="K8" s="7">
        <v>0</v>
      </c>
      <c r="M8" s="15">
        <f aca="true" t="shared" si="0" ref="M8:M58">+C8+D8+E8+F8</f>
        <v>252925.19</v>
      </c>
      <c r="N8" s="15">
        <f aca="true" t="shared" si="1" ref="N8:N58">+H8+I8</f>
        <v>113078.658</v>
      </c>
      <c r="O8" s="206">
        <v>-1221</v>
      </c>
    </row>
    <row r="9" spans="1:15" ht="12.75">
      <c r="A9">
        <v>2022</v>
      </c>
      <c r="B9" s="7">
        <v>813820.059</v>
      </c>
      <c r="C9" s="7">
        <v>154461.4</v>
      </c>
      <c r="D9" s="7">
        <v>0</v>
      </c>
      <c r="E9" s="7">
        <v>-49500</v>
      </c>
      <c r="F9" s="7">
        <v>223206.792</v>
      </c>
      <c r="G9" s="7">
        <v>324102.348</v>
      </c>
      <c r="H9" s="7">
        <v>20378.8</v>
      </c>
      <c r="I9" s="7">
        <v>125110.838</v>
      </c>
      <c r="J9" s="7">
        <v>16059.879</v>
      </c>
      <c r="K9" s="7">
        <v>0.002</v>
      </c>
      <c r="M9" s="15">
        <f t="shared" si="0"/>
        <v>328168.192</v>
      </c>
      <c r="N9" s="15">
        <f>+H9+I9</f>
        <v>145489.638</v>
      </c>
      <c r="O9" s="206">
        <v>-1052</v>
      </c>
    </row>
    <row r="10" spans="1:15" ht="12.75">
      <c r="A10">
        <v>2023</v>
      </c>
      <c r="B10" s="7">
        <v>813820.059</v>
      </c>
      <c r="C10" s="7">
        <v>361933.9</v>
      </c>
      <c r="D10" s="7">
        <v>0</v>
      </c>
      <c r="E10" s="7">
        <v>0</v>
      </c>
      <c r="F10" s="7">
        <v>207662.993</v>
      </c>
      <c r="G10" s="7">
        <v>104626.677</v>
      </c>
      <c r="H10" s="7">
        <v>0</v>
      </c>
      <c r="I10" s="7">
        <v>126744.49</v>
      </c>
      <c r="J10" s="7">
        <v>12851.998</v>
      </c>
      <c r="K10" s="7">
        <v>0.001</v>
      </c>
      <c r="M10" s="15">
        <f>+C10+D10+E10+F10</f>
        <v>569596.893</v>
      </c>
      <c r="N10" s="15">
        <f t="shared" si="1"/>
        <v>126744.49</v>
      </c>
      <c r="O10" s="206">
        <v>-1083</v>
      </c>
    </row>
    <row r="11" spans="1:15" ht="12.75">
      <c r="A11">
        <v>2024</v>
      </c>
      <c r="B11" s="7">
        <v>813820.059</v>
      </c>
      <c r="C11" s="7">
        <v>372959.7</v>
      </c>
      <c r="D11" s="7">
        <v>0</v>
      </c>
      <c r="E11" s="7">
        <v>0</v>
      </c>
      <c r="F11" s="7">
        <v>190995.912</v>
      </c>
      <c r="G11" s="7">
        <v>102808.116</v>
      </c>
      <c r="H11" s="7">
        <v>0</v>
      </c>
      <c r="I11" s="7">
        <v>131945.741</v>
      </c>
      <c r="J11" s="7">
        <v>15110.589</v>
      </c>
      <c r="K11" s="7">
        <v>0.001</v>
      </c>
      <c r="M11" s="15">
        <f t="shared" si="0"/>
        <v>563955.612</v>
      </c>
      <c r="N11" s="15">
        <f t="shared" si="1"/>
        <v>131945.741</v>
      </c>
      <c r="O11" s="206">
        <v>-975</v>
      </c>
    </row>
    <row r="12" spans="1:15" ht="12.75">
      <c r="A12">
        <v>2025</v>
      </c>
      <c r="B12" s="7">
        <v>813820.059</v>
      </c>
      <c r="C12" s="7">
        <v>387547.85</v>
      </c>
      <c r="D12" s="7">
        <v>0</v>
      </c>
      <c r="E12" s="7">
        <v>0</v>
      </c>
      <c r="F12" s="7">
        <v>174255.708</v>
      </c>
      <c r="G12" s="7">
        <v>100065.393</v>
      </c>
      <c r="H12" s="7">
        <v>0</v>
      </c>
      <c r="I12" s="7">
        <v>138400.871</v>
      </c>
      <c r="J12" s="7">
        <v>13550.236</v>
      </c>
      <c r="K12" s="7">
        <v>0.001</v>
      </c>
      <c r="M12" s="15">
        <f t="shared" si="0"/>
        <v>561803.558</v>
      </c>
      <c r="N12" s="15">
        <f t="shared" si="1"/>
        <v>138400.871</v>
      </c>
      <c r="O12" s="206">
        <v>-1054</v>
      </c>
    </row>
    <row r="13" spans="1:15" ht="12.75">
      <c r="A13">
        <v>2026</v>
      </c>
      <c r="B13" s="7">
        <v>813820.059</v>
      </c>
      <c r="C13" s="7">
        <v>402402.5</v>
      </c>
      <c r="D13" s="7">
        <v>0</v>
      </c>
      <c r="E13" s="7">
        <v>0</v>
      </c>
      <c r="F13" s="7">
        <v>155384.358</v>
      </c>
      <c r="G13" s="7">
        <v>92756.197</v>
      </c>
      <c r="H13" s="7">
        <v>0</v>
      </c>
      <c r="I13" s="7">
        <v>142502.925</v>
      </c>
      <c r="J13" s="7">
        <v>20774.078</v>
      </c>
      <c r="K13" s="7">
        <v>0.001</v>
      </c>
      <c r="M13" s="15">
        <f t="shared" si="0"/>
        <v>557786.858</v>
      </c>
      <c r="N13" s="15">
        <f t="shared" si="1"/>
        <v>142502.925</v>
      </c>
      <c r="O13" s="206">
        <v>-1028</v>
      </c>
    </row>
    <row r="14" spans="1:15" ht="12.75">
      <c r="A14">
        <v>2027</v>
      </c>
      <c r="B14" s="7">
        <v>813820.059</v>
      </c>
      <c r="C14" s="7">
        <v>415381.25</v>
      </c>
      <c r="D14" s="7">
        <v>0</v>
      </c>
      <c r="E14" s="7">
        <v>0</v>
      </c>
      <c r="F14" s="7">
        <v>135540.37</v>
      </c>
      <c r="G14" s="7">
        <v>108455.104</v>
      </c>
      <c r="H14" s="7">
        <v>0</v>
      </c>
      <c r="I14" s="7">
        <v>148322.718</v>
      </c>
      <c r="J14" s="7">
        <v>6120.616</v>
      </c>
      <c r="K14" s="7">
        <v>0.001</v>
      </c>
      <c r="M14" s="15">
        <f t="shared" si="0"/>
        <v>550921.62</v>
      </c>
      <c r="N14" s="15">
        <f t="shared" si="1"/>
        <v>148322.718</v>
      </c>
      <c r="O14" s="206">
        <v>-924</v>
      </c>
    </row>
    <row r="15" spans="1:15" ht="12.75">
      <c r="A15">
        <v>2028</v>
      </c>
      <c r="B15" s="7">
        <v>813820.059</v>
      </c>
      <c r="C15" s="7">
        <v>426801.25</v>
      </c>
      <c r="D15" s="7">
        <v>0</v>
      </c>
      <c r="E15" s="7">
        <v>0</v>
      </c>
      <c r="F15" s="7">
        <v>115033.527</v>
      </c>
      <c r="G15" s="7">
        <v>107007.138</v>
      </c>
      <c r="H15" s="7">
        <v>0</v>
      </c>
      <c r="I15" s="7">
        <v>153787.359</v>
      </c>
      <c r="J15" s="7">
        <v>11190.784</v>
      </c>
      <c r="K15" s="7">
        <v>0.001</v>
      </c>
      <c r="M15" s="15">
        <f t="shared" si="0"/>
        <v>541834.777</v>
      </c>
      <c r="N15" s="15">
        <f t="shared" si="1"/>
        <v>153787.359</v>
      </c>
      <c r="O15" s="206">
        <v>-1006</v>
      </c>
    </row>
    <row r="16" spans="1:15" ht="12.75">
      <c r="A16">
        <v>2029</v>
      </c>
      <c r="B16" s="7">
        <v>813820.059</v>
      </c>
      <c r="C16" s="7">
        <v>125731.91825</v>
      </c>
      <c r="D16" s="7">
        <v>0</v>
      </c>
      <c r="E16" s="7">
        <v>0</v>
      </c>
      <c r="F16" s="7">
        <v>93615.999</v>
      </c>
      <c r="G16" s="7">
        <v>434048.486</v>
      </c>
      <c r="H16" s="7">
        <v>0</v>
      </c>
      <c r="I16" s="7">
        <v>156359.02</v>
      </c>
      <c r="J16" s="7">
        <v>4064.635</v>
      </c>
      <c r="K16" s="7">
        <v>0</v>
      </c>
      <c r="M16" s="15">
        <f t="shared" si="0"/>
        <v>219347.91725</v>
      </c>
      <c r="N16" s="15">
        <f t="shared" si="1"/>
        <v>156359.02</v>
      </c>
      <c r="O16" s="206">
        <v>-968</v>
      </c>
    </row>
    <row r="17" spans="1:15" ht="12.75">
      <c r="A17">
        <v>2030</v>
      </c>
      <c r="B17" s="7">
        <v>813820.059</v>
      </c>
      <c r="C17" s="7">
        <v>232849.3815</v>
      </c>
      <c r="D17" s="7">
        <v>0</v>
      </c>
      <c r="E17" s="7">
        <v>0</v>
      </c>
      <c r="F17" s="7">
        <v>87721.03</v>
      </c>
      <c r="G17" s="7">
        <v>344216.768</v>
      </c>
      <c r="H17" s="7">
        <v>1464.732</v>
      </c>
      <c r="I17" s="7">
        <v>145572.414</v>
      </c>
      <c r="J17" s="7">
        <v>1995.733</v>
      </c>
      <c r="K17" s="7">
        <v>0</v>
      </c>
      <c r="M17" s="15">
        <f t="shared" si="0"/>
        <v>320570.4115</v>
      </c>
      <c r="N17" s="15">
        <f t="shared" si="1"/>
        <v>147037.14599999998</v>
      </c>
      <c r="O17" s="206">
        <v>-863</v>
      </c>
    </row>
    <row r="18" spans="1:15" ht="12.75">
      <c r="A18">
        <v>2031</v>
      </c>
      <c r="B18" s="7">
        <v>813820.059</v>
      </c>
      <c r="C18" s="7">
        <v>228686.42225</v>
      </c>
      <c r="D18" s="7">
        <v>0</v>
      </c>
      <c r="E18" s="7">
        <v>0</v>
      </c>
      <c r="F18" s="7">
        <v>77203.73</v>
      </c>
      <c r="G18" s="7">
        <v>357179.701</v>
      </c>
      <c r="H18" s="7">
        <v>0</v>
      </c>
      <c r="I18" s="7">
        <v>140220.029</v>
      </c>
      <c r="J18" s="7">
        <v>10530.176</v>
      </c>
      <c r="K18" s="7">
        <v>0</v>
      </c>
      <c r="M18" s="15">
        <f t="shared" si="0"/>
        <v>305890.15225</v>
      </c>
      <c r="N18" s="15">
        <f t="shared" si="1"/>
        <v>140220.029</v>
      </c>
      <c r="O18" s="206">
        <v>-1940</v>
      </c>
    </row>
    <row r="19" spans="1:15" ht="12.75">
      <c r="A19">
        <v>2032</v>
      </c>
      <c r="B19" s="7">
        <v>813820.059</v>
      </c>
      <c r="C19" s="7">
        <v>185934.1415</v>
      </c>
      <c r="D19" s="7">
        <v>0</v>
      </c>
      <c r="E19" s="7">
        <v>0</v>
      </c>
      <c r="F19" s="7">
        <v>66645.212</v>
      </c>
      <c r="G19" s="7">
        <v>423715.204</v>
      </c>
      <c r="H19" s="7">
        <v>0</v>
      </c>
      <c r="I19" s="7">
        <v>137525.501</v>
      </c>
      <c r="J19" s="7">
        <v>0</v>
      </c>
      <c r="K19" s="7">
        <v>0</v>
      </c>
      <c r="M19" s="15">
        <f t="shared" si="0"/>
        <v>252579.3535</v>
      </c>
      <c r="N19" s="15">
        <f t="shared" si="1"/>
        <v>137525.501</v>
      </c>
      <c r="O19" s="206">
        <v>-1674</v>
      </c>
    </row>
    <row r="20" spans="1:15" ht="12.75">
      <c r="A20">
        <v>2033</v>
      </c>
      <c r="B20" s="7">
        <v>813820.059</v>
      </c>
      <c r="C20" s="7">
        <v>184952.2825</v>
      </c>
      <c r="D20" s="7">
        <v>0</v>
      </c>
      <c r="E20" s="7">
        <v>0</v>
      </c>
      <c r="F20" s="7">
        <v>58157.1</v>
      </c>
      <c r="G20" s="7">
        <v>433966.306</v>
      </c>
      <c r="H20" s="7">
        <v>0</v>
      </c>
      <c r="I20" s="7">
        <v>132397.434</v>
      </c>
      <c r="J20" s="7">
        <v>4346.935</v>
      </c>
      <c r="K20" s="7">
        <v>0.001</v>
      </c>
      <c r="M20" s="15">
        <f t="shared" si="0"/>
        <v>243109.3825</v>
      </c>
      <c r="N20" s="15">
        <f t="shared" si="1"/>
        <v>132397.434</v>
      </c>
      <c r="O20" s="206">
        <v>-1773</v>
      </c>
    </row>
    <row r="21" spans="1:15" ht="12.75">
      <c r="A21">
        <v>2034</v>
      </c>
      <c r="B21" s="7">
        <v>813820.059</v>
      </c>
      <c r="C21" s="7">
        <v>190005.36025</v>
      </c>
      <c r="D21" s="7">
        <v>0</v>
      </c>
      <c r="E21" s="7">
        <v>0</v>
      </c>
      <c r="F21" s="7">
        <v>49725.202</v>
      </c>
      <c r="G21" s="7">
        <v>464830.812</v>
      </c>
      <c r="H21" s="7">
        <v>-15941.026</v>
      </c>
      <c r="I21" s="7">
        <v>125199.71</v>
      </c>
      <c r="J21" s="7">
        <v>0</v>
      </c>
      <c r="K21" s="7">
        <v>0</v>
      </c>
      <c r="M21" s="15">
        <f t="shared" si="0"/>
        <v>239730.56225</v>
      </c>
      <c r="N21" s="15">
        <f t="shared" si="1"/>
        <v>109258.68400000001</v>
      </c>
      <c r="O21" s="206">
        <v>-2107</v>
      </c>
    </row>
    <row r="22" spans="1:15" ht="12.75">
      <c r="A22">
        <v>2035</v>
      </c>
      <c r="B22" s="7">
        <v>813820.059</v>
      </c>
      <c r="C22" s="7">
        <v>171844.1805</v>
      </c>
      <c r="D22" s="7">
        <v>0</v>
      </c>
      <c r="E22" s="7">
        <v>0</v>
      </c>
      <c r="F22" s="7">
        <v>41115.265</v>
      </c>
      <c r="G22" s="7">
        <v>508545.78</v>
      </c>
      <c r="H22" s="7">
        <v>-32337.603</v>
      </c>
      <c r="I22" s="7">
        <v>116886.352</v>
      </c>
      <c r="J22" s="7">
        <v>7766.083</v>
      </c>
      <c r="K22" s="7">
        <v>0.001</v>
      </c>
      <c r="M22" s="15">
        <f t="shared" si="0"/>
        <v>212959.44549999997</v>
      </c>
      <c r="N22" s="15">
        <f t="shared" si="1"/>
        <v>84548.749</v>
      </c>
      <c r="O22" s="206">
        <v>-2146</v>
      </c>
    </row>
    <row r="23" spans="1:15" ht="12.75">
      <c r="A23">
        <v>2036</v>
      </c>
      <c r="B23" s="7">
        <v>813820.059</v>
      </c>
      <c r="C23" s="7">
        <v>163763.34325</v>
      </c>
      <c r="D23" s="7">
        <v>0</v>
      </c>
      <c r="E23" s="7">
        <v>0</v>
      </c>
      <c r="F23" s="7">
        <v>33642.159</v>
      </c>
      <c r="G23" s="7">
        <v>479144.2682</v>
      </c>
      <c r="H23" s="7">
        <v>0</v>
      </c>
      <c r="I23" s="7">
        <v>108349.839</v>
      </c>
      <c r="J23" s="7">
        <v>28920.449</v>
      </c>
      <c r="K23" s="7">
        <v>0</v>
      </c>
      <c r="M23" s="15">
        <f t="shared" si="0"/>
        <v>197405.50225000002</v>
      </c>
      <c r="N23" s="15">
        <f t="shared" si="1"/>
        <v>108349.839</v>
      </c>
      <c r="O23" s="206">
        <v>-2124</v>
      </c>
    </row>
    <row r="24" spans="1:15" ht="12.75">
      <c r="A24">
        <v>2037</v>
      </c>
      <c r="B24" s="7">
        <v>813820.059</v>
      </c>
      <c r="C24" s="7">
        <v>166016.2465</v>
      </c>
      <c r="D24" s="7">
        <v>0</v>
      </c>
      <c r="E24" s="7">
        <v>0</v>
      </c>
      <c r="F24" s="7">
        <v>26421.312</v>
      </c>
      <c r="G24" s="7">
        <v>509032.6018</v>
      </c>
      <c r="H24" s="7">
        <v>0</v>
      </c>
      <c r="I24" s="7">
        <v>96640.017</v>
      </c>
      <c r="J24" s="7">
        <v>15709.88</v>
      </c>
      <c r="K24" s="7">
        <v>0.001</v>
      </c>
      <c r="M24" s="15">
        <f t="shared" si="0"/>
        <v>192437.5585</v>
      </c>
      <c r="N24" s="15">
        <f t="shared" si="1"/>
        <v>96640.017</v>
      </c>
      <c r="O24" s="206">
        <v>-2150</v>
      </c>
    </row>
    <row r="25" spans="1:15" ht="12.75">
      <c r="A25">
        <v>2038</v>
      </c>
      <c r="B25" s="7">
        <v>813820.059</v>
      </c>
      <c r="C25" s="7">
        <v>142400.087</v>
      </c>
      <c r="D25" s="7">
        <v>0</v>
      </c>
      <c r="E25" s="7">
        <v>0</v>
      </c>
      <c r="F25" s="7">
        <v>19082.319</v>
      </c>
      <c r="G25" s="7">
        <v>569403.7982</v>
      </c>
      <c r="H25" s="7">
        <v>0</v>
      </c>
      <c r="I25" s="7">
        <v>82933.854</v>
      </c>
      <c r="J25" s="7">
        <v>0</v>
      </c>
      <c r="K25" s="7">
        <v>0</v>
      </c>
      <c r="M25" s="15">
        <f t="shared" si="0"/>
        <v>161482.406</v>
      </c>
      <c r="N25" s="15">
        <f t="shared" si="1"/>
        <v>82933.854</v>
      </c>
      <c r="O25" s="206">
        <v>-2256</v>
      </c>
    </row>
    <row r="26" spans="1:15" ht="12.75">
      <c r="A26">
        <v>2039</v>
      </c>
      <c r="B26" s="7">
        <v>813820.059</v>
      </c>
      <c r="C26" s="7">
        <v>63017.1145</v>
      </c>
      <c r="D26" s="7">
        <v>0</v>
      </c>
      <c r="E26" s="7">
        <v>0</v>
      </c>
      <c r="F26" s="7">
        <v>12845.758</v>
      </c>
      <c r="G26" s="7">
        <v>658014.3912</v>
      </c>
      <c r="H26" s="7">
        <v>0</v>
      </c>
      <c r="I26" s="7">
        <v>65873.536</v>
      </c>
      <c r="J26" s="7">
        <v>14069.258</v>
      </c>
      <c r="K26" s="7">
        <v>0.001</v>
      </c>
      <c r="M26" s="15">
        <f t="shared" si="0"/>
        <v>75862.8725</v>
      </c>
      <c r="N26" s="15">
        <f t="shared" si="1"/>
        <v>65873.536</v>
      </c>
      <c r="O26" s="206">
        <v>-2286</v>
      </c>
    </row>
    <row r="27" spans="1:15" ht="12.75">
      <c r="A27">
        <v>2040</v>
      </c>
      <c r="B27" s="7">
        <v>813820.059</v>
      </c>
      <c r="C27" s="7">
        <v>61720.88675</v>
      </c>
      <c r="D27" s="7">
        <v>0</v>
      </c>
      <c r="E27" s="7">
        <v>0</v>
      </c>
      <c r="F27" s="7">
        <v>10421.651</v>
      </c>
      <c r="G27" s="7">
        <v>695096.1752</v>
      </c>
      <c r="H27" s="7">
        <v>0</v>
      </c>
      <c r="I27" s="7">
        <v>46581.345</v>
      </c>
      <c r="J27" s="7">
        <v>0</v>
      </c>
      <c r="K27" s="7">
        <v>0.001</v>
      </c>
      <c r="M27" s="15">
        <f t="shared" si="0"/>
        <v>72142.53775</v>
      </c>
      <c r="N27" s="15">
        <f t="shared" si="1"/>
        <v>46581.345</v>
      </c>
      <c r="O27" s="206">
        <v>-2348</v>
      </c>
    </row>
    <row r="28" spans="1:15" ht="12.75">
      <c r="A28">
        <v>2041</v>
      </c>
      <c r="B28" s="7">
        <v>813820.059</v>
      </c>
      <c r="C28" s="7">
        <v>55735.01875</v>
      </c>
      <c r="D28" s="7">
        <v>0</v>
      </c>
      <c r="E28" s="7">
        <v>0</v>
      </c>
      <c r="F28" s="7">
        <v>8050.54</v>
      </c>
      <c r="G28" s="7">
        <v>648923.1062</v>
      </c>
      <c r="H28" s="7">
        <v>0</v>
      </c>
      <c r="I28" s="7">
        <v>27452.393</v>
      </c>
      <c r="J28" s="7">
        <v>73659</v>
      </c>
      <c r="K28" s="7">
        <v>0.001</v>
      </c>
      <c r="M28" s="15">
        <f t="shared" si="0"/>
        <v>63785.558750000004</v>
      </c>
      <c r="N28" s="15">
        <f t="shared" si="1"/>
        <v>27452.393</v>
      </c>
      <c r="O28" s="206">
        <v>-2488</v>
      </c>
    </row>
    <row r="29" spans="1:15" ht="12.75">
      <c r="A29">
        <v>2042</v>
      </c>
      <c r="B29" s="7">
        <v>813820.059</v>
      </c>
      <c r="C29" s="7">
        <v>56376.94</v>
      </c>
      <c r="D29" s="7">
        <v>0</v>
      </c>
      <c r="E29" s="7">
        <v>0</v>
      </c>
      <c r="F29" s="7">
        <v>5971.502</v>
      </c>
      <c r="G29" s="7">
        <v>526290.8092</v>
      </c>
      <c r="H29" s="7">
        <v>0</v>
      </c>
      <c r="I29" s="7">
        <v>11863.174</v>
      </c>
      <c r="J29" s="7">
        <v>0</v>
      </c>
      <c r="K29" s="7">
        <v>213317.633</v>
      </c>
      <c r="M29" s="15">
        <f t="shared" si="0"/>
        <v>62348.442</v>
      </c>
      <c r="N29" s="15">
        <f t="shared" si="1"/>
        <v>11863.174</v>
      </c>
      <c r="O29" s="206">
        <v>-2531</v>
      </c>
    </row>
    <row r="30" spans="1:15" ht="12.75">
      <c r="A30">
        <v>2043</v>
      </c>
      <c r="B30" s="7">
        <v>813820.059</v>
      </c>
      <c r="C30" s="7">
        <v>57046.64725</v>
      </c>
      <c r="D30" s="7">
        <v>0</v>
      </c>
      <c r="E30" s="7">
        <v>0</v>
      </c>
      <c r="F30" s="7">
        <v>3850.721</v>
      </c>
      <c r="G30" s="7">
        <v>213149.8324</v>
      </c>
      <c r="H30" s="7">
        <v>0</v>
      </c>
      <c r="I30" s="7">
        <v>5328.144</v>
      </c>
      <c r="J30" s="7">
        <v>0</v>
      </c>
      <c r="K30" s="7">
        <v>534444.714</v>
      </c>
      <c r="M30" s="15">
        <f>+C30+D30+E30+F30</f>
        <v>60897.36825</v>
      </c>
      <c r="N30" s="15">
        <f t="shared" si="1"/>
        <v>5328.144</v>
      </c>
      <c r="O30" s="206">
        <v>-2593</v>
      </c>
    </row>
    <row r="31" spans="1:15" ht="12.75">
      <c r="A31">
        <v>2044</v>
      </c>
      <c r="B31" s="7">
        <v>813820.059</v>
      </c>
      <c r="C31" s="7">
        <v>166138.59775</v>
      </c>
      <c r="D31" s="7">
        <v>0</v>
      </c>
      <c r="E31" s="7">
        <v>0</v>
      </c>
      <c r="F31" s="7">
        <v>1687.22</v>
      </c>
      <c r="G31" s="7">
        <v>213149.8324</v>
      </c>
      <c r="H31" s="7">
        <v>0</v>
      </c>
      <c r="I31" s="7">
        <v>5830.654</v>
      </c>
      <c r="J31" s="7">
        <v>0</v>
      </c>
      <c r="K31" s="7">
        <v>427013.754</v>
      </c>
      <c r="M31" s="15">
        <f t="shared" si="0"/>
        <v>167825.81775</v>
      </c>
      <c r="N31" s="15">
        <f t="shared" si="1"/>
        <v>5830.654</v>
      </c>
      <c r="O31" s="206">
        <v>-2633</v>
      </c>
    </row>
    <row r="32" spans="1:15" ht="12.75">
      <c r="A32">
        <v>2045</v>
      </c>
      <c r="B32" s="7">
        <v>813820.059</v>
      </c>
      <c r="C32" s="7">
        <v>489036.0925</v>
      </c>
      <c r="D32" s="7">
        <v>0</v>
      </c>
      <c r="E32" s="7">
        <v>0</v>
      </c>
      <c r="F32" s="7">
        <v>0</v>
      </c>
      <c r="G32" s="7">
        <v>213149.8324</v>
      </c>
      <c r="H32" s="7">
        <v>0</v>
      </c>
      <c r="I32" s="7">
        <v>7340.181</v>
      </c>
      <c r="J32" s="7">
        <v>11586.122</v>
      </c>
      <c r="K32" s="7">
        <v>92707.831</v>
      </c>
      <c r="M32" s="15">
        <f t="shared" si="0"/>
        <v>489036.0925</v>
      </c>
      <c r="N32" s="15">
        <f t="shared" si="1"/>
        <v>7340.181</v>
      </c>
      <c r="O32" s="206">
        <v>-2644</v>
      </c>
    </row>
    <row r="33" spans="1:15" ht="12.75">
      <c r="A33">
        <v>2046</v>
      </c>
      <c r="B33" s="7">
        <v>813820.059</v>
      </c>
      <c r="C33" s="7">
        <v>489035.1625</v>
      </c>
      <c r="D33" s="7">
        <v>0</v>
      </c>
      <c r="E33" s="7">
        <v>0</v>
      </c>
      <c r="F33" s="7">
        <v>0</v>
      </c>
      <c r="G33" s="7">
        <v>213149.8324</v>
      </c>
      <c r="H33" s="7">
        <v>0</v>
      </c>
      <c r="I33" s="7">
        <v>7340.177</v>
      </c>
      <c r="J33" s="7">
        <v>0</v>
      </c>
      <c r="K33" s="7">
        <v>104294.887</v>
      </c>
      <c r="M33" s="15">
        <f t="shared" si="0"/>
        <v>489035.1625</v>
      </c>
      <c r="N33" s="15">
        <f t="shared" si="1"/>
        <v>7340.177</v>
      </c>
      <c r="O33" s="206">
        <v>-2252</v>
      </c>
    </row>
    <row r="34" spans="1:15" ht="12.75">
      <c r="A34">
        <v>2047</v>
      </c>
      <c r="B34" s="7">
        <v>813820.059</v>
      </c>
      <c r="C34" s="7">
        <v>489037.305</v>
      </c>
      <c r="D34" s="7">
        <v>0</v>
      </c>
      <c r="E34" s="7">
        <v>0</v>
      </c>
      <c r="F34" s="7">
        <v>0</v>
      </c>
      <c r="G34" s="7">
        <v>213149.8324</v>
      </c>
      <c r="H34" s="7">
        <v>0</v>
      </c>
      <c r="I34" s="7">
        <v>7340.187</v>
      </c>
      <c r="J34" s="7">
        <v>0</v>
      </c>
      <c r="K34" s="7">
        <v>104292.734</v>
      </c>
      <c r="M34" s="15">
        <f t="shared" si="0"/>
        <v>489037.305</v>
      </c>
      <c r="N34" s="15">
        <f t="shared" si="1"/>
        <v>7340.187</v>
      </c>
      <c r="O34" s="206">
        <v>-1085</v>
      </c>
    </row>
    <row r="35" spans="1:15" ht="12.75">
      <c r="A35">
        <v>2048</v>
      </c>
      <c r="B35" s="7">
        <v>813820.059</v>
      </c>
      <c r="C35" s="7">
        <v>489035.14</v>
      </c>
      <c r="D35" s="7">
        <v>0</v>
      </c>
      <c r="E35" s="7">
        <v>0</v>
      </c>
      <c r="F35" s="7">
        <v>0</v>
      </c>
      <c r="G35" s="7">
        <v>213149.8324</v>
      </c>
      <c r="H35" s="7">
        <v>0</v>
      </c>
      <c r="I35" s="7">
        <v>7340.177</v>
      </c>
      <c r="J35" s="7">
        <v>0</v>
      </c>
      <c r="K35" s="7">
        <v>104294.909</v>
      </c>
      <c r="M35" s="15">
        <f t="shared" si="0"/>
        <v>489035.14</v>
      </c>
      <c r="N35" s="15">
        <f t="shared" si="1"/>
        <v>7340.177</v>
      </c>
      <c r="O35" s="206">
        <v>-1085</v>
      </c>
    </row>
    <row r="36" spans="1:15" ht="12.75">
      <c r="A36">
        <v>2049</v>
      </c>
      <c r="B36" s="7">
        <v>813820.059</v>
      </c>
      <c r="C36" s="7">
        <v>489035.925</v>
      </c>
      <c r="D36" s="7">
        <v>0</v>
      </c>
      <c r="E36" s="7">
        <v>0</v>
      </c>
      <c r="F36" s="7">
        <v>0</v>
      </c>
      <c r="G36" s="7">
        <v>213149.8324</v>
      </c>
      <c r="H36" s="7">
        <v>0</v>
      </c>
      <c r="I36" s="7">
        <v>7340.181</v>
      </c>
      <c r="J36" s="7">
        <v>0</v>
      </c>
      <c r="K36" s="7">
        <v>104294.12</v>
      </c>
      <c r="M36" s="15">
        <f t="shared" si="0"/>
        <v>489035.925</v>
      </c>
      <c r="N36" s="15">
        <f t="shared" si="1"/>
        <v>7340.181</v>
      </c>
      <c r="O36" s="206">
        <v>-1085</v>
      </c>
    </row>
    <row r="37" spans="1:15" ht="12.75">
      <c r="A37">
        <v>2050</v>
      </c>
      <c r="B37" s="7">
        <v>813820.059</v>
      </c>
      <c r="C37" s="7">
        <v>489035.685</v>
      </c>
      <c r="D37" s="7">
        <v>0</v>
      </c>
      <c r="E37" s="7">
        <v>0</v>
      </c>
      <c r="F37" s="7">
        <v>0</v>
      </c>
      <c r="G37" s="7">
        <v>213149.8324</v>
      </c>
      <c r="H37" s="7">
        <v>0</v>
      </c>
      <c r="I37" s="7">
        <v>7340.18</v>
      </c>
      <c r="J37" s="7">
        <v>0</v>
      </c>
      <c r="K37" s="7">
        <v>104294.361</v>
      </c>
      <c r="M37" s="15">
        <f t="shared" si="0"/>
        <v>489035.685</v>
      </c>
      <c r="N37" s="15">
        <f t="shared" si="1"/>
        <v>7340.18</v>
      </c>
      <c r="O37" s="206">
        <v>-1085</v>
      </c>
    </row>
    <row r="38" spans="1:15" ht="12.75">
      <c r="A38">
        <v>2051</v>
      </c>
      <c r="B38" s="7">
        <v>813820.059</v>
      </c>
      <c r="C38" s="7">
        <v>489034.7925</v>
      </c>
      <c r="D38" s="7">
        <v>0</v>
      </c>
      <c r="E38" s="7">
        <v>0</v>
      </c>
      <c r="F38" s="7">
        <v>0</v>
      </c>
      <c r="G38" s="7">
        <v>213149.8324</v>
      </c>
      <c r="H38" s="7">
        <v>0</v>
      </c>
      <c r="I38" s="7">
        <v>7340.175</v>
      </c>
      <c r="J38" s="7">
        <v>0</v>
      </c>
      <c r="K38" s="7">
        <v>104295.259</v>
      </c>
      <c r="M38" s="15">
        <f t="shared" si="0"/>
        <v>489034.7925</v>
      </c>
      <c r="N38" s="15">
        <f t="shared" si="1"/>
        <v>7340.175</v>
      </c>
      <c r="O38" s="206">
        <v>-1085</v>
      </c>
    </row>
    <row r="39" spans="1:15" ht="12.75">
      <c r="A39">
        <v>2052</v>
      </c>
      <c r="B39" s="7">
        <v>813820.059</v>
      </c>
      <c r="C39" s="7">
        <v>489035.1775</v>
      </c>
      <c r="D39" s="7">
        <v>0</v>
      </c>
      <c r="E39" s="7">
        <v>0</v>
      </c>
      <c r="F39" s="7">
        <v>0</v>
      </c>
      <c r="G39" s="7">
        <v>213149.8324</v>
      </c>
      <c r="H39" s="7">
        <v>0</v>
      </c>
      <c r="I39" s="7">
        <v>7340.177</v>
      </c>
      <c r="J39" s="7">
        <v>0</v>
      </c>
      <c r="K39" s="7">
        <v>104294.872</v>
      </c>
      <c r="M39" s="15">
        <f t="shared" si="0"/>
        <v>489035.1775</v>
      </c>
      <c r="N39" s="15">
        <f t="shared" si="1"/>
        <v>7340.177</v>
      </c>
      <c r="O39" s="206">
        <v>-1085</v>
      </c>
    </row>
    <row r="40" spans="1:15" ht="12.75">
      <c r="A40">
        <v>2053</v>
      </c>
      <c r="B40" s="7">
        <v>813820.059</v>
      </c>
      <c r="C40" s="7">
        <v>489035.1825</v>
      </c>
      <c r="D40" s="7">
        <v>0</v>
      </c>
      <c r="E40" s="7">
        <v>0</v>
      </c>
      <c r="F40" s="7">
        <v>0</v>
      </c>
      <c r="G40" s="7">
        <v>213149.8324</v>
      </c>
      <c r="H40" s="7">
        <v>0</v>
      </c>
      <c r="I40" s="7">
        <v>7340.177</v>
      </c>
      <c r="J40" s="7">
        <v>0</v>
      </c>
      <c r="K40" s="7">
        <v>104294.867</v>
      </c>
      <c r="M40" s="15">
        <f t="shared" si="0"/>
        <v>489035.1825</v>
      </c>
      <c r="N40" s="15">
        <f t="shared" si="1"/>
        <v>7340.177</v>
      </c>
      <c r="O40" s="206">
        <v>-1085</v>
      </c>
    </row>
    <row r="41" spans="1:15" ht="12.75">
      <c r="A41">
        <v>2054</v>
      </c>
      <c r="B41" s="7">
        <v>813820.059</v>
      </c>
      <c r="C41" s="7">
        <v>489035.9575</v>
      </c>
      <c r="D41" s="7">
        <v>0</v>
      </c>
      <c r="E41" s="7">
        <v>0</v>
      </c>
      <c r="F41" s="7">
        <v>0</v>
      </c>
      <c r="G41" s="7">
        <v>213149.8324</v>
      </c>
      <c r="H41" s="7">
        <v>0</v>
      </c>
      <c r="I41" s="7">
        <v>7340.181</v>
      </c>
      <c r="J41" s="7">
        <v>0</v>
      </c>
      <c r="K41" s="7">
        <v>104294.088</v>
      </c>
      <c r="M41" s="15">
        <f t="shared" si="0"/>
        <v>489035.9575</v>
      </c>
      <c r="N41" s="15">
        <f t="shared" si="1"/>
        <v>7340.181</v>
      </c>
      <c r="O41" s="206">
        <v>-1085</v>
      </c>
    </row>
    <row r="42" spans="1:15" ht="12.75">
      <c r="A42">
        <v>2055</v>
      </c>
      <c r="B42" s="7">
        <v>813820.059</v>
      </c>
      <c r="C42" s="7">
        <v>489036.2425</v>
      </c>
      <c r="D42" s="7">
        <v>0</v>
      </c>
      <c r="E42" s="7">
        <v>0</v>
      </c>
      <c r="F42" s="7">
        <v>0</v>
      </c>
      <c r="G42" s="7">
        <v>213149.8324</v>
      </c>
      <c r="H42" s="7">
        <v>0</v>
      </c>
      <c r="I42" s="7">
        <v>7340.182</v>
      </c>
      <c r="J42" s="7">
        <v>0</v>
      </c>
      <c r="K42" s="7">
        <v>104293.802</v>
      </c>
      <c r="M42" s="15">
        <f t="shared" si="0"/>
        <v>489036.2425</v>
      </c>
      <c r="N42" s="15">
        <f t="shared" si="1"/>
        <v>7340.182</v>
      </c>
      <c r="O42" s="206">
        <v>-1085</v>
      </c>
    </row>
    <row r="43" spans="1:15" ht="12.75">
      <c r="A43">
        <v>2056</v>
      </c>
      <c r="B43" s="7">
        <v>813820.059</v>
      </c>
      <c r="C43" s="7">
        <v>489033.69</v>
      </c>
      <c r="D43" s="7">
        <v>0</v>
      </c>
      <c r="E43" s="7">
        <v>0</v>
      </c>
      <c r="F43" s="7">
        <v>0</v>
      </c>
      <c r="G43" s="7">
        <v>213149.8324</v>
      </c>
      <c r="H43" s="7">
        <v>0</v>
      </c>
      <c r="I43" s="7">
        <v>7340.17</v>
      </c>
      <c r="J43" s="7">
        <v>0</v>
      </c>
      <c r="K43" s="7">
        <v>104296.366</v>
      </c>
      <c r="M43" s="15">
        <f t="shared" si="0"/>
        <v>489033.69</v>
      </c>
      <c r="N43" s="15">
        <f t="shared" si="1"/>
        <v>7340.17</v>
      </c>
      <c r="O43" s="206">
        <v>-1085</v>
      </c>
    </row>
    <row r="44" spans="1:15" ht="12.75">
      <c r="A44">
        <v>2057</v>
      </c>
      <c r="B44" s="7">
        <v>813820.059</v>
      </c>
      <c r="C44" s="7">
        <v>489033.615</v>
      </c>
      <c r="D44" s="7">
        <v>0</v>
      </c>
      <c r="E44" s="7">
        <v>0</v>
      </c>
      <c r="F44" s="7">
        <v>0</v>
      </c>
      <c r="G44" s="7">
        <v>213149.8324</v>
      </c>
      <c r="H44" s="7">
        <v>0</v>
      </c>
      <c r="I44" s="7">
        <v>7340.17</v>
      </c>
      <c r="J44" s="7">
        <v>0</v>
      </c>
      <c r="K44" s="7">
        <v>104296.441</v>
      </c>
      <c r="M44" s="15">
        <f t="shared" si="0"/>
        <v>489033.615</v>
      </c>
      <c r="N44" s="15">
        <f t="shared" si="1"/>
        <v>7340.17</v>
      </c>
      <c r="O44" s="206">
        <v>-1085</v>
      </c>
    </row>
    <row r="45" spans="1:15" ht="12.75">
      <c r="A45">
        <v>2058</v>
      </c>
      <c r="B45" s="7">
        <v>813820.059</v>
      </c>
      <c r="C45" s="7">
        <v>489034.7375</v>
      </c>
      <c r="D45" s="7">
        <v>0</v>
      </c>
      <c r="E45" s="7">
        <v>0</v>
      </c>
      <c r="F45" s="7">
        <v>0</v>
      </c>
      <c r="G45" s="7">
        <v>213149.8324</v>
      </c>
      <c r="H45" s="7">
        <v>0</v>
      </c>
      <c r="I45" s="7">
        <v>7340.175</v>
      </c>
      <c r="J45" s="7">
        <v>0</v>
      </c>
      <c r="K45" s="7">
        <v>104295.314</v>
      </c>
      <c r="M45" s="15">
        <f t="shared" si="0"/>
        <v>489034.7375</v>
      </c>
      <c r="N45" s="15">
        <f t="shared" si="1"/>
        <v>7340.175</v>
      </c>
      <c r="O45" s="206">
        <v>-1085</v>
      </c>
    </row>
    <row r="46" spans="1:15" ht="12.75">
      <c r="A46">
        <v>2059</v>
      </c>
      <c r="B46" s="7">
        <v>813820.059</v>
      </c>
      <c r="C46" s="7">
        <v>489038.2225</v>
      </c>
      <c r="D46" s="7">
        <v>0</v>
      </c>
      <c r="E46" s="7">
        <v>0</v>
      </c>
      <c r="F46" s="7">
        <v>0</v>
      </c>
      <c r="G46" s="7">
        <v>213149.8324</v>
      </c>
      <c r="H46" s="7">
        <v>0</v>
      </c>
      <c r="I46" s="7">
        <v>7340.191</v>
      </c>
      <c r="J46" s="7">
        <v>0</v>
      </c>
      <c r="K46" s="7">
        <v>104291.813</v>
      </c>
      <c r="M46" s="15">
        <f t="shared" si="0"/>
        <v>489038.2225</v>
      </c>
      <c r="N46" s="15">
        <f t="shared" si="1"/>
        <v>7340.191</v>
      </c>
      <c r="O46" s="206">
        <v>-1085</v>
      </c>
    </row>
    <row r="47" spans="1:15" ht="12.75">
      <c r="A47">
        <v>2060</v>
      </c>
      <c r="B47" s="7">
        <v>813820.059</v>
      </c>
      <c r="C47" s="7">
        <v>489037.4625</v>
      </c>
      <c r="D47" s="7">
        <v>0</v>
      </c>
      <c r="E47" s="7">
        <v>0</v>
      </c>
      <c r="F47" s="7">
        <v>0</v>
      </c>
      <c r="G47" s="7">
        <v>213149.8324</v>
      </c>
      <c r="H47" s="7">
        <v>0</v>
      </c>
      <c r="I47" s="7">
        <v>7340.188</v>
      </c>
      <c r="J47" s="7">
        <v>0</v>
      </c>
      <c r="K47" s="7">
        <v>104292.576</v>
      </c>
      <c r="M47" s="15">
        <f t="shared" si="0"/>
        <v>489037.4625</v>
      </c>
      <c r="N47" s="15">
        <f t="shared" si="1"/>
        <v>7340.188</v>
      </c>
      <c r="O47" s="206">
        <v>-1085</v>
      </c>
    </row>
    <row r="48" spans="1:15" ht="12.75">
      <c r="A48">
        <v>2061</v>
      </c>
      <c r="B48" s="7">
        <v>813820.059</v>
      </c>
      <c r="C48" s="7">
        <v>489037.19</v>
      </c>
      <c r="D48" s="7">
        <v>0</v>
      </c>
      <c r="E48" s="7">
        <v>0</v>
      </c>
      <c r="F48" s="7">
        <v>0</v>
      </c>
      <c r="G48" s="7">
        <v>213149.8324</v>
      </c>
      <c r="H48" s="7">
        <v>0</v>
      </c>
      <c r="I48" s="7">
        <v>7340.187</v>
      </c>
      <c r="J48" s="7">
        <v>0</v>
      </c>
      <c r="K48" s="7">
        <v>104292.849</v>
      </c>
      <c r="M48" s="15">
        <f t="shared" si="0"/>
        <v>489037.19</v>
      </c>
      <c r="N48" s="15">
        <f t="shared" si="1"/>
        <v>7340.187</v>
      </c>
      <c r="O48" s="206">
        <v>-1085</v>
      </c>
    </row>
    <row r="49" spans="1:15" ht="12.75">
      <c r="A49">
        <v>2062</v>
      </c>
      <c r="B49" s="7">
        <v>813820.059</v>
      </c>
      <c r="C49" s="7">
        <v>489035.2525</v>
      </c>
      <c r="D49" s="7">
        <v>0</v>
      </c>
      <c r="E49" s="7">
        <v>0</v>
      </c>
      <c r="F49" s="7">
        <v>0</v>
      </c>
      <c r="G49" s="7">
        <v>213149.8324</v>
      </c>
      <c r="H49" s="7">
        <v>0</v>
      </c>
      <c r="I49" s="7">
        <v>7340.178</v>
      </c>
      <c r="J49" s="7">
        <v>0</v>
      </c>
      <c r="K49" s="7">
        <v>104294.796</v>
      </c>
      <c r="M49" s="15">
        <f t="shared" si="0"/>
        <v>489035.2525</v>
      </c>
      <c r="N49" s="15">
        <f t="shared" si="1"/>
        <v>7340.178</v>
      </c>
      <c r="O49" s="206">
        <v>-1085</v>
      </c>
    </row>
    <row r="50" spans="1:15" ht="12.75">
      <c r="A50">
        <v>2063</v>
      </c>
      <c r="B50" s="7">
        <v>813820.059</v>
      </c>
      <c r="C50" s="7">
        <v>489035.4025</v>
      </c>
      <c r="D50" s="7">
        <v>0</v>
      </c>
      <c r="E50" s="7">
        <v>0</v>
      </c>
      <c r="F50" s="7">
        <v>0</v>
      </c>
      <c r="G50" s="7">
        <v>213149.8324</v>
      </c>
      <c r="H50" s="7">
        <v>0</v>
      </c>
      <c r="I50" s="7">
        <v>7340.178</v>
      </c>
      <c r="J50" s="7">
        <v>0</v>
      </c>
      <c r="K50" s="7">
        <v>104294.646</v>
      </c>
      <c r="M50" s="15">
        <f t="shared" si="0"/>
        <v>489035.4025</v>
      </c>
      <c r="N50" s="15">
        <f t="shared" si="1"/>
        <v>7340.178</v>
      </c>
      <c r="O50" s="206">
        <v>-1085</v>
      </c>
    </row>
    <row r="51" spans="1:15" ht="12.75">
      <c r="A51">
        <v>2064</v>
      </c>
      <c r="B51" s="7">
        <v>813820.059</v>
      </c>
      <c r="C51" s="7">
        <v>489036.8625</v>
      </c>
      <c r="D51" s="7">
        <v>0</v>
      </c>
      <c r="E51" s="7">
        <v>0</v>
      </c>
      <c r="F51" s="7">
        <v>0</v>
      </c>
      <c r="G51" s="7">
        <v>213149.8324</v>
      </c>
      <c r="H51" s="7">
        <v>0</v>
      </c>
      <c r="I51" s="7">
        <v>7340.185</v>
      </c>
      <c r="J51" s="7">
        <v>0</v>
      </c>
      <c r="K51" s="7">
        <v>104293.179</v>
      </c>
      <c r="M51" s="15">
        <f t="shared" si="0"/>
        <v>489036.8625</v>
      </c>
      <c r="N51" s="15">
        <f t="shared" si="1"/>
        <v>7340.185</v>
      </c>
      <c r="O51" s="206">
        <v>-1085</v>
      </c>
    </row>
    <row r="52" spans="1:15" ht="12.75">
      <c r="A52">
        <v>2065</v>
      </c>
      <c r="B52" s="7">
        <v>813820.059</v>
      </c>
      <c r="C52" s="7">
        <v>489034.47</v>
      </c>
      <c r="D52" s="7">
        <v>0</v>
      </c>
      <c r="E52" s="7">
        <v>0</v>
      </c>
      <c r="F52" s="7">
        <v>0</v>
      </c>
      <c r="G52" s="7">
        <v>213149.8324</v>
      </c>
      <c r="H52" s="7">
        <v>0</v>
      </c>
      <c r="I52" s="7">
        <v>7340.174</v>
      </c>
      <c r="J52" s="7">
        <v>0</v>
      </c>
      <c r="K52" s="7">
        <v>104295.582</v>
      </c>
      <c r="M52" s="15">
        <f t="shared" si="0"/>
        <v>489034.47</v>
      </c>
      <c r="N52" s="15">
        <f t="shared" si="1"/>
        <v>7340.174</v>
      </c>
      <c r="O52" s="206">
        <v>-1085</v>
      </c>
    </row>
    <row r="53" spans="1:15" ht="12.75">
      <c r="A53">
        <v>2066</v>
      </c>
      <c r="B53" s="7">
        <v>813820.059</v>
      </c>
      <c r="C53" s="7">
        <v>489035.0725</v>
      </c>
      <c r="D53" s="7">
        <v>0</v>
      </c>
      <c r="E53" s="7">
        <v>0</v>
      </c>
      <c r="F53" s="7">
        <v>0</v>
      </c>
      <c r="G53" s="7">
        <v>213149.8324</v>
      </c>
      <c r="H53" s="7">
        <v>0</v>
      </c>
      <c r="I53" s="7">
        <v>7340.177</v>
      </c>
      <c r="J53" s="7">
        <v>0</v>
      </c>
      <c r="K53" s="7">
        <v>104294.977</v>
      </c>
      <c r="M53" s="15">
        <f t="shared" si="0"/>
        <v>489035.0725</v>
      </c>
      <c r="N53" s="15">
        <f t="shared" si="1"/>
        <v>7340.177</v>
      </c>
      <c r="O53" s="206">
        <v>-1085</v>
      </c>
    </row>
    <row r="54" spans="1:15" ht="12.75">
      <c r="A54">
        <v>2067</v>
      </c>
      <c r="B54" s="7">
        <v>813820.059</v>
      </c>
      <c r="C54" s="7">
        <v>489036.73</v>
      </c>
      <c r="D54" s="7">
        <v>0</v>
      </c>
      <c r="E54" s="7">
        <v>0</v>
      </c>
      <c r="F54" s="7">
        <v>0</v>
      </c>
      <c r="G54" s="7">
        <v>213149.8324</v>
      </c>
      <c r="H54" s="7">
        <v>0</v>
      </c>
      <c r="I54" s="7">
        <v>7340.184</v>
      </c>
      <c r="J54" s="7">
        <v>0</v>
      </c>
      <c r="K54" s="7">
        <v>104293.312</v>
      </c>
      <c r="M54" s="15">
        <f t="shared" si="0"/>
        <v>489036.73</v>
      </c>
      <c r="N54" s="15">
        <f t="shared" si="1"/>
        <v>7340.184</v>
      </c>
      <c r="O54" s="206">
        <v>-1085</v>
      </c>
    </row>
    <row r="55" spans="1:15" ht="12.75">
      <c r="A55">
        <v>2068</v>
      </c>
      <c r="B55" s="7">
        <v>813820.059</v>
      </c>
      <c r="C55" s="7">
        <v>489034.0775</v>
      </c>
      <c r="D55" s="7">
        <v>0</v>
      </c>
      <c r="E55" s="7">
        <v>0</v>
      </c>
      <c r="F55" s="7">
        <v>0</v>
      </c>
      <c r="G55" s="7">
        <v>213149.8324</v>
      </c>
      <c r="H55" s="7">
        <v>0</v>
      </c>
      <c r="I55" s="7">
        <v>7340.172</v>
      </c>
      <c r="J55" s="7">
        <v>0</v>
      </c>
      <c r="K55" s="7">
        <v>104295.977</v>
      </c>
      <c r="M55" s="15">
        <f t="shared" si="0"/>
        <v>489034.0775</v>
      </c>
      <c r="N55" s="15">
        <f t="shared" si="1"/>
        <v>7340.172</v>
      </c>
      <c r="O55" s="206">
        <v>-1085</v>
      </c>
    </row>
    <row r="56" spans="1:15" ht="12.75">
      <c r="A56">
        <v>2069</v>
      </c>
      <c r="B56" s="7">
        <v>813820.059</v>
      </c>
      <c r="C56" s="7">
        <v>489034.6475</v>
      </c>
      <c r="D56" s="7">
        <v>0</v>
      </c>
      <c r="E56" s="7">
        <v>0</v>
      </c>
      <c r="F56" s="7">
        <v>0</v>
      </c>
      <c r="G56" s="7">
        <v>213149.8324</v>
      </c>
      <c r="H56" s="7">
        <v>0</v>
      </c>
      <c r="I56" s="7">
        <v>7340.175</v>
      </c>
      <c r="J56" s="7">
        <v>0</v>
      </c>
      <c r="K56" s="7">
        <v>104295.404</v>
      </c>
      <c r="M56" s="15">
        <f t="shared" si="0"/>
        <v>489034.6475</v>
      </c>
      <c r="N56" s="15">
        <f t="shared" si="1"/>
        <v>7340.175</v>
      </c>
      <c r="O56" s="206">
        <v>-1085</v>
      </c>
    </row>
    <row r="57" spans="1:15" ht="12.75">
      <c r="A57">
        <v>2070</v>
      </c>
      <c r="B57" s="7">
        <v>813820.059</v>
      </c>
      <c r="C57" s="7">
        <v>489034.25</v>
      </c>
      <c r="D57" s="7">
        <v>0</v>
      </c>
      <c r="E57" s="7">
        <v>0</v>
      </c>
      <c r="F57" s="7">
        <v>0</v>
      </c>
      <c r="G57" s="7">
        <v>213149.8324</v>
      </c>
      <c r="H57" s="7">
        <v>0</v>
      </c>
      <c r="I57" s="7">
        <v>7340.173</v>
      </c>
      <c r="J57" s="7">
        <v>0</v>
      </c>
      <c r="K57" s="7">
        <v>104295.803</v>
      </c>
      <c r="M57" s="15">
        <f t="shared" si="0"/>
        <v>489034.25</v>
      </c>
      <c r="N57" s="15">
        <f t="shared" si="1"/>
        <v>7340.173</v>
      </c>
      <c r="O57" s="206">
        <v>-1085</v>
      </c>
    </row>
    <row r="58" spans="1:15" ht="12.75">
      <c r="A58">
        <v>2071</v>
      </c>
      <c r="B58" s="7">
        <v>813820.059</v>
      </c>
      <c r="C58" s="7">
        <v>489034.98</v>
      </c>
      <c r="D58" s="7">
        <v>0</v>
      </c>
      <c r="E58" s="7">
        <v>0</v>
      </c>
      <c r="F58" s="7">
        <v>0</v>
      </c>
      <c r="G58" s="7">
        <v>213149.8324</v>
      </c>
      <c r="H58" s="7">
        <v>0</v>
      </c>
      <c r="I58" s="7">
        <v>7340.176</v>
      </c>
      <c r="J58" s="7">
        <v>0</v>
      </c>
      <c r="K58" s="7">
        <v>104295.07</v>
      </c>
      <c r="M58" s="15">
        <f t="shared" si="0"/>
        <v>489034.98</v>
      </c>
      <c r="N58" s="15">
        <f t="shared" si="1"/>
        <v>7340.176</v>
      </c>
      <c r="O58" s="206">
        <v>-1085</v>
      </c>
    </row>
    <row r="59" spans="1:12" ht="12.75">
      <c r="A59" t="s">
        <v>429</v>
      </c>
      <c r="B59" s="7">
        <v>43960276.71</v>
      </c>
      <c r="C59" s="7">
        <v>17928454.2192</v>
      </c>
      <c r="D59" s="7">
        <v>0</v>
      </c>
      <c r="E59" s="7">
        <v>-629631.364</v>
      </c>
      <c r="F59" s="7">
        <v>2079739.16925</v>
      </c>
      <c r="G59" s="7">
        <v>16027036.61538</v>
      </c>
      <c r="H59" s="7">
        <v>9289.904</v>
      </c>
      <c r="I59" s="7">
        <v>4092071.358</v>
      </c>
      <c r="J59" s="7">
        <v>442074.516</v>
      </c>
      <c r="K59" s="7">
        <v>4011242.266</v>
      </c>
    </row>
  </sheetData>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pageSetUpPr fitToPage="1"/>
  </sheetPr>
  <dimension ref="A1:AI120"/>
  <sheetViews>
    <sheetView zoomScale="75" zoomScaleNormal="75" workbookViewId="0" topLeftCell="A87">
      <selection activeCell="L108" sqref="L108"/>
    </sheetView>
  </sheetViews>
  <sheetFormatPr defaultColWidth="9.140625" defaultRowHeight="12.75"/>
  <cols>
    <col min="1" max="1" width="25.00390625" style="0" bestFit="1" customWidth="1"/>
    <col min="2" max="2" width="5.421875" style="0" customWidth="1"/>
    <col min="3" max="4" width="25.00390625" style="0" hidden="1" customWidth="1"/>
    <col min="5" max="7" width="18.7109375" style="0" hidden="1" customWidth="1"/>
    <col min="8" max="8" width="15.57421875" style="0" customWidth="1"/>
    <col min="9" max="9" width="15.7109375" style="0" bestFit="1" customWidth="1"/>
    <col min="10" max="10" width="15.140625" style="0" bestFit="1" customWidth="1"/>
    <col min="11" max="14" width="14.8515625" style="0" bestFit="1" customWidth="1"/>
    <col min="15" max="15" width="16.140625" style="0" bestFit="1" customWidth="1"/>
    <col min="16" max="20" width="14.8515625" style="0" bestFit="1" customWidth="1"/>
    <col min="21" max="36" width="14.57421875" style="0" customWidth="1"/>
    <col min="37" max="37" width="13.8515625" style="0" bestFit="1" customWidth="1"/>
    <col min="38" max="50" width="9.8515625" style="0" bestFit="1" customWidth="1"/>
  </cols>
  <sheetData>
    <row r="1" spans="1:2" ht="15">
      <c r="A1" s="151" t="s">
        <v>597</v>
      </c>
      <c r="B1">
        <v>3064</v>
      </c>
    </row>
    <row r="2" ht="15">
      <c r="A2" s="151"/>
    </row>
    <row r="3" spans="1:35" ht="23.25">
      <c r="A3" s="282" t="s">
        <v>231</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row>
    <row r="4" spans="1:35" ht="15">
      <c r="A4" s="284" t="s">
        <v>598</v>
      </c>
      <c r="B4" s="283"/>
      <c r="C4" s="283"/>
      <c r="D4" s="283"/>
      <c r="E4" s="283"/>
      <c r="F4" s="283"/>
      <c r="G4" s="283"/>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row>
    <row r="5" spans="1:35" ht="15">
      <c r="A5" s="284"/>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row>
    <row r="6" spans="1:35" ht="15">
      <c r="A6" s="284" t="s">
        <v>198</v>
      </c>
      <c r="B6" s="283"/>
      <c r="C6" s="283"/>
      <c r="D6" s="283"/>
      <c r="E6" s="283"/>
      <c r="F6" s="285">
        <v>2018</v>
      </c>
      <c r="G6" s="285">
        <v>2019</v>
      </c>
      <c r="H6" s="285">
        <v>2020</v>
      </c>
      <c r="I6" s="285">
        <v>2021</v>
      </c>
      <c r="J6" s="285">
        <v>2022</v>
      </c>
      <c r="K6" s="285">
        <v>2023</v>
      </c>
      <c r="L6" s="285">
        <v>2024</v>
      </c>
      <c r="M6" s="285">
        <v>2025</v>
      </c>
      <c r="N6" s="285">
        <v>2026</v>
      </c>
      <c r="O6" s="285">
        <v>2027</v>
      </c>
      <c r="P6" s="285">
        <v>2028</v>
      </c>
      <c r="Q6" s="285">
        <v>2029</v>
      </c>
      <c r="R6" s="285">
        <v>2030</v>
      </c>
      <c r="S6" s="285">
        <v>2031</v>
      </c>
      <c r="T6" s="285">
        <v>2032</v>
      </c>
      <c r="U6" s="285">
        <v>2033</v>
      </c>
      <c r="V6" s="285">
        <v>2034</v>
      </c>
      <c r="W6" s="285">
        <v>2035</v>
      </c>
      <c r="X6" s="285">
        <v>2036</v>
      </c>
      <c r="Y6" s="285">
        <v>2037</v>
      </c>
      <c r="Z6" s="285">
        <v>2038</v>
      </c>
      <c r="AA6" s="285">
        <v>2039</v>
      </c>
      <c r="AB6" s="285">
        <v>2040</v>
      </c>
      <c r="AC6" s="285">
        <v>2041</v>
      </c>
      <c r="AD6" s="285">
        <v>2042</v>
      </c>
      <c r="AE6" s="285">
        <v>2043</v>
      </c>
      <c r="AF6" s="285">
        <v>2044</v>
      </c>
      <c r="AG6" s="285">
        <v>2045</v>
      </c>
      <c r="AH6" s="285">
        <v>2046</v>
      </c>
      <c r="AI6" s="285" t="s">
        <v>153</v>
      </c>
    </row>
    <row r="7" spans="1:35" ht="15">
      <c r="A7" s="284" t="s">
        <v>199</v>
      </c>
      <c r="B7" s="283"/>
      <c r="C7" s="283"/>
      <c r="D7" s="283"/>
      <c r="E7" s="283"/>
      <c r="F7" s="299">
        <v>39374.554</v>
      </c>
      <c r="G7" s="299">
        <v>39369.38</v>
      </c>
      <c r="H7" s="299">
        <v>39345.843</v>
      </c>
      <c r="I7" s="299">
        <v>39611.847</v>
      </c>
      <c r="J7" s="299">
        <v>39956.94</v>
      </c>
      <c r="K7" s="299">
        <v>39956.94</v>
      </c>
      <c r="L7" s="299">
        <v>39956.94</v>
      </c>
      <c r="M7" s="299">
        <v>37130.265</v>
      </c>
      <c r="N7" s="299">
        <v>25829.228000000003</v>
      </c>
      <c r="O7" s="299">
        <v>15655.403000000002</v>
      </c>
      <c r="P7" s="299">
        <v>6876.263999999999</v>
      </c>
      <c r="Q7" s="299">
        <v>634.49</v>
      </c>
      <c r="R7" s="299">
        <v>624.9110000000001</v>
      </c>
      <c r="S7" s="299">
        <v>585.6210000000001</v>
      </c>
      <c r="T7" s="299">
        <v>545.641</v>
      </c>
      <c r="U7" s="299">
        <v>505.25300000000004</v>
      </c>
      <c r="V7" s="299">
        <v>464.45799999999997</v>
      </c>
      <c r="W7" s="299">
        <v>423.256</v>
      </c>
      <c r="X7" s="299">
        <v>381.64599999999996</v>
      </c>
      <c r="Y7" s="299">
        <v>339.629</v>
      </c>
      <c r="Z7" s="299">
        <v>297.205</v>
      </c>
      <c r="AA7" s="299">
        <v>254.373</v>
      </c>
      <c r="AB7" s="299">
        <v>211.135</v>
      </c>
      <c r="AC7" s="299">
        <v>167.489</v>
      </c>
      <c r="AD7" s="299">
        <v>123.436</v>
      </c>
      <c r="AE7" s="299">
        <v>78.976</v>
      </c>
      <c r="AF7" s="299">
        <v>34.108000000000004</v>
      </c>
      <c r="AG7" s="299">
        <v>0</v>
      </c>
      <c r="AH7" s="299">
        <v>0</v>
      </c>
      <c r="AI7" s="283"/>
    </row>
    <row r="8" spans="1:35" ht="15">
      <c r="A8" s="284" t="s">
        <v>599</v>
      </c>
      <c r="B8" s="283"/>
      <c r="C8" s="283"/>
      <c r="D8" s="283"/>
      <c r="E8" s="283"/>
      <c r="F8" s="299">
        <v>137078.74699999997</v>
      </c>
      <c r="G8" s="299">
        <v>153980.799</v>
      </c>
      <c r="H8" s="299">
        <v>151631.986</v>
      </c>
      <c r="I8" s="299">
        <v>145162.63499999998</v>
      </c>
      <c r="J8" s="299">
        <v>137664.97999999998</v>
      </c>
      <c r="K8" s="299">
        <v>122847.39800000002</v>
      </c>
      <c r="L8" s="299">
        <v>108496.759</v>
      </c>
      <c r="M8" s="299">
        <v>96680.45999999999</v>
      </c>
      <c r="N8" s="299">
        <v>96059.529</v>
      </c>
      <c r="O8" s="299">
        <v>95372.177</v>
      </c>
      <c r="P8" s="299">
        <v>94197.325</v>
      </c>
      <c r="Q8" s="299">
        <v>90967.14799999999</v>
      </c>
      <c r="R8" s="299">
        <v>85408.15</v>
      </c>
      <c r="S8" s="299">
        <v>75307.27900000001</v>
      </c>
      <c r="T8" s="299">
        <v>65286.06</v>
      </c>
      <c r="U8" s="299">
        <v>57074.458999999995</v>
      </c>
      <c r="V8" s="299">
        <v>48729.975999999995</v>
      </c>
      <c r="W8" s="299">
        <v>40208.325</v>
      </c>
      <c r="X8" s="299">
        <v>32824.37899999999</v>
      </c>
      <c r="Y8" s="299">
        <v>25693.564999999995</v>
      </c>
      <c r="Z8" s="299">
        <v>18445.476000000002</v>
      </c>
      <c r="AA8" s="299">
        <v>12300.693000000001</v>
      </c>
      <c r="AB8" s="299">
        <v>9969.236</v>
      </c>
      <c r="AC8" s="299">
        <v>7691.648999999999</v>
      </c>
      <c r="AD8" s="299">
        <v>5707.006</v>
      </c>
      <c r="AE8" s="299">
        <v>3681.4930000000004</v>
      </c>
      <c r="AF8" s="299">
        <v>1614.134</v>
      </c>
      <c r="AG8" s="299">
        <v>0</v>
      </c>
      <c r="AH8" s="299">
        <v>0</v>
      </c>
      <c r="AI8" s="283"/>
    </row>
    <row r="9" spans="1:35" ht="15">
      <c r="A9" s="284" t="s">
        <v>414</v>
      </c>
      <c r="B9" s="283"/>
      <c r="C9" s="283"/>
      <c r="D9" s="283"/>
      <c r="E9" s="283"/>
      <c r="F9" s="299">
        <v>-4387.4</v>
      </c>
      <c r="G9" s="299">
        <v>-4387.4</v>
      </c>
      <c r="H9" s="299">
        <v>-4331.132</v>
      </c>
      <c r="I9" s="299">
        <v>-4102.371</v>
      </c>
      <c r="J9" s="299">
        <v>-3858.655</v>
      </c>
      <c r="K9" s="299">
        <v>-3484.157</v>
      </c>
      <c r="L9" s="299">
        <v>-2201.436</v>
      </c>
      <c r="M9" s="299">
        <v>0</v>
      </c>
      <c r="N9" s="299">
        <v>0</v>
      </c>
      <c r="O9" s="299">
        <v>0</v>
      </c>
      <c r="P9" s="299">
        <v>0</v>
      </c>
      <c r="Q9" s="299">
        <v>0</v>
      </c>
      <c r="R9" s="299">
        <v>0</v>
      </c>
      <c r="S9" s="299">
        <v>0</v>
      </c>
      <c r="T9" s="299">
        <v>0</v>
      </c>
      <c r="U9" s="299">
        <v>0</v>
      </c>
      <c r="V9" s="299">
        <v>0</v>
      </c>
      <c r="W9" s="299">
        <v>0</v>
      </c>
      <c r="X9" s="299">
        <v>0</v>
      </c>
      <c r="Y9" s="299">
        <v>0</v>
      </c>
      <c r="Z9" s="299">
        <v>0</v>
      </c>
      <c r="AA9" s="299">
        <v>0</v>
      </c>
      <c r="AB9" s="299">
        <v>0</v>
      </c>
      <c r="AC9" s="299">
        <v>0</v>
      </c>
      <c r="AD9" s="299">
        <v>0</v>
      </c>
      <c r="AE9" s="299">
        <v>0</v>
      </c>
      <c r="AF9" s="299">
        <v>0</v>
      </c>
      <c r="AG9" s="299">
        <v>0</v>
      </c>
      <c r="AH9" s="299">
        <v>0</v>
      </c>
      <c r="AI9" s="283"/>
    </row>
    <row r="10" spans="1:35" ht="15">
      <c r="A10" s="284" t="s">
        <v>413</v>
      </c>
      <c r="B10" s="283"/>
      <c r="C10" s="283"/>
      <c r="D10" s="283"/>
      <c r="E10" s="283"/>
      <c r="F10" s="299">
        <v>-2813.4335</v>
      </c>
      <c r="G10" s="299">
        <v>179.1075</v>
      </c>
      <c r="H10" s="299">
        <v>176.371</v>
      </c>
      <c r="I10" s="299">
        <v>174.881</v>
      </c>
      <c r="J10" s="299">
        <v>173.419</v>
      </c>
      <c r="K10" s="299">
        <v>171.62</v>
      </c>
      <c r="L10" s="299">
        <v>127.672</v>
      </c>
      <c r="M10" s="299">
        <v>0</v>
      </c>
      <c r="N10" s="299">
        <v>0</v>
      </c>
      <c r="O10" s="299">
        <v>0</v>
      </c>
      <c r="P10" s="299">
        <v>0</v>
      </c>
      <c r="Q10" s="299">
        <v>0</v>
      </c>
      <c r="R10" s="299">
        <v>0</v>
      </c>
      <c r="S10" s="299">
        <v>0</v>
      </c>
      <c r="T10" s="299">
        <v>0</v>
      </c>
      <c r="U10" s="299">
        <v>0</v>
      </c>
      <c r="V10" s="299">
        <v>0</v>
      </c>
      <c r="W10" s="299">
        <v>0</v>
      </c>
      <c r="X10" s="299">
        <v>0</v>
      </c>
      <c r="Y10" s="299">
        <v>0</v>
      </c>
      <c r="Z10" s="299">
        <v>0</v>
      </c>
      <c r="AA10" s="299">
        <v>0</v>
      </c>
      <c r="AB10" s="299">
        <v>0</v>
      </c>
      <c r="AC10" s="299">
        <v>0</v>
      </c>
      <c r="AD10" s="299">
        <v>0</v>
      </c>
      <c r="AE10" s="299">
        <v>0</v>
      </c>
      <c r="AF10" s="299">
        <v>0</v>
      </c>
      <c r="AG10" s="299">
        <v>0</v>
      </c>
      <c r="AH10" s="299">
        <v>0</v>
      </c>
      <c r="AI10" s="283"/>
    </row>
    <row r="11" spans="1:35" ht="15">
      <c r="A11" s="284" t="s">
        <v>715</v>
      </c>
      <c r="B11" s="283"/>
      <c r="C11" s="283"/>
      <c r="D11" s="283"/>
      <c r="E11" s="283"/>
      <c r="F11" s="299"/>
      <c r="G11" s="299">
        <f>-G94/1000</f>
        <v>0</v>
      </c>
      <c r="H11" s="299">
        <f aca="true" t="shared" si="0" ref="H11:AH11">-H94/1000</f>
        <v>0</v>
      </c>
      <c r="I11" s="299">
        <f t="shared" si="0"/>
        <v>-69110</v>
      </c>
      <c r="J11" s="299">
        <f t="shared" si="0"/>
        <v>-61705</v>
      </c>
      <c r="K11" s="299">
        <f t="shared" si="0"/>
        <v>-57345</v>
      </c>
      <c r="L11" s="299">
        <f t="shared" si="0"/>
        <v>-53985</v>
      </c>
      <c r="M11" s="299">
        <f t="shared" si="0"/>
        <v>-41670</v>
      </c>
      <c r="N11" s="299">
        <f t="shared" si="0"/>
        <v>-26895</v>
      </c>
      <c r="O11" s="299">
        <f t="shared" si="0"/>
        <v>-18400</v>
      </c>
      <c r="P11" s="299">
        <f t="shared" si="0"/>
        <v>-9085</v>
      </c>
      <c r="Q11" s="299">
        <f t="shared" si="0"/>
        <v>0</v>
      </c>
      <c r="R11" s="299">
        <f t="shared" si="0"/>
        <v>0</v>
      </c>
      <c r="S11" s="299">
        <f t="shared" si="0"/>
        <v>0</v>
      </c>
      <c r="T11" s="299">
        <f t="shared" si="0"/>
        <v>0</v>
      </c>
      <c r="U11" s="299">
        <f t="shared" si="0"/>
        <v>0</v>
      </c>
      <c r="V11" s="299">
        <f t="shared" si="0"/>
        <v>0</v>
      </c>
      <c r="W11" s="299">
        <f t="shared" si="0"/>
        <v>0</v>
      </c>
      <c r="X11" s="299">
        <f t="shared" si="0"/>
        <v>0</v>
      </c>
      <c r="Y11" s="299">
        <f t="shared" si="0"/>
        <v>0</v>
      </c>
      <c r="Z11" s="299">
        <f t="shared" si="0"/>
        <v>0</v>
      </c>
      <c r="AA11" s="299">
        <f t="shared" si="0"/>
        <v>0</v>
      </c>
      <c r="AB11" s="299">
        <f t="shared" si="0"/>
        <v>0</v>
      </c>
      <c r="AC11" s="299">
        <f t="shared" si="0"/>
        <v>0</v>
      </c>
      <c r="AD11" s="299">
        <f t="shared" si="0"/>
        <v>0</v>
      </c>
      <c r="AE11" s="299">
        <f t="shared" si="0"/>
        <v>0</v>
      </c>
      <c r="AF11" s="299">
        <f t="shared" si="0"/>
        <v>0</v>
      </c>
      <c r="AG11" s="299">
        <f t="shared" si="0"/>
        <v>0</v>
      </c>
      <c r="AH11" s="299">
        <f t="shared" si="0"/>
        <v>0</v>
      </c>
      <c r="AI11" s="283"/>
    </row>
    <row r="12" spans="1:35" ht="15">
      <c r="A12" s="284" t="s">
        <v>412</v>
      </c>
      <c r="B12" s="283"/>
      <c r="C12" s="283"/>
      <c r="D12" s="283"/>
      <c r="E12" s="283"/>
      <c r="F12" s="299"/>
      <c r="G12" s="299">
        <f>SUM(G8:G11)</f>
        <v>149772.50650000002</v>
      </c>
      <c r="H12" s="299">
        <f aca="true" t="shared" si="1" ref="H12:AH12">SUM(H8:H11)</f>
        <v>147477.225</v>
      </c>
      <c r="I12" s="299">
        <f t="shared" si="1"/>
        <v>72125.14499999996</v>
      </c>
      <c r="J12" s="299">
        <f t="shared" si="1"/>
        <v>72274.74399999998</v>
      </c>
      <c r="K12" s="299">
        <f t="shared" si="1"/>
        <v>62189.861000000004</v>
      </c>
      <c r="L12" s="299">
        <f t="shared" si="1"/>
        <v>52437.99500000001</v>
      </c>
      <c r="M12" s="299">
        <f t="shared" si="1"/>
        <v>55010.45999999999</v>
      </c>
      <c r="N12" s="299">
        <f t="shared" si="1"/>
        <v>69164.529</v>
      </c>
      <c r="O12" s="299">
        <f t="shared" si="1"/>
        <v>76972.177</v>
      </c>
      <c r="P12" s="299">
        <f t="shared" si="1"/>
        <v>85112.325</v>
      </c>
      <c r="Q12" s="299">
        <f t="shared" si="1"/>
        <v>90967.14799999999</v>
      </c>
      <c r="R12" s="299">
        <f t="shared" si="1"/>
        <v>85408.15</v>
      </c>
      <c r="S12" s="299">
        <f t="shared" si="1"/>
        <v>75307.27900000001</v>
      </c>
      <c r="T12" s="299">
        <f t="shared" si="1"/>
        <v>65286.06</v>
      </c>
      <c r="U12" s="299">
        <f t="shared" si="1"/>
        <v>57074.458999999995</v>
      </c>
      <c r="V12" s="299">
        <f t="shared" si="1"/>
        <v>48729.975999999995</v>
      </c>
      <c r="W12" s="299">
        <f t="shared" si="1"/>
        <v>40208.325</v>
      </c>
      <c r="X12" s="299">
        <f t="shared" si="1"/>
        <v>32824.37899999999</v>
      </c>
      <c r="Y12" s="299">
        <f t="shared" si="1"/>
        <v>25693.564999999995</v>
      </c>
      <c r="Z12" s="299">
        <f t="shared" si="1"/>
        <v>18445.476000000002</v>
      </c>
      <c r="AA12" s="299">
        <f t="shared" si="1"/>
        <v>12300.693000000001</v>
      </c>
      <c r="AB12" s="299">
        <f t="shared" si="1"/>
        <v>9969.236</v>
      </c>
      <c r="AC12" s="299">
        <f t="shared" si="1"/>
        <v>7691.648999999999</v>
      </c>
      <c r="AD12" s="299">
        <f t="shared" si="1"/>
        <v>5707.006</v>
      </c>
      <c r="AE12" s="299">
        <f t="shared" si="1"/>
        <v>3681.4930000000004</v>
      </c>
      <c r="AF12" s="299">
        <f t="shared" si="1"/>
        <v>1614.134</v>
      </c>
      <c r="AG12" s="299">
        <f t="shared" si="1"/>
        <v>0</v>
      </c>
      <c r="AH12" s="299">
        <f t="shared" si="1"/>
        <v>0</v>
      </c>
      <c r="AI12" s="283"/>
    </row>
    <row r="13" spans="1:35" ht="15">
      <c r="A13" s="284" t="s">
        <v>203</v>
      </c>
      <c r="B13" s="283"/>
      <c r="C13" s="283"/>
      <c r="D13" s="283"/>
      <c r="E13" s="283"/>
      <c r="F13" s="299">
        <v>31972.66</v>
      </c>
      <c r="G13" s="299">
        <v>45290.426</v>
      </c>
      <c r="H13" s="299">
        <v>45270.172</v>
      </c>
      <c r="I13" s="299">
        <v>45572.633</v>
      </c>
      <c r="J13" s="299">
        <v>45912.546</v>
      </c>
      <c r="K13" s="299">
        <v>45108.15000000001</v>
      </c>
      <c r="L13" s="299">
        <v>41862.201</v>
      </c>
      <c r="M13" s="299">
        <v>38027.468</v>
      </c>
      <c r="N13" s="299">
        <v>31351.038999999997</v>
      </c>
      <c r="O13" s="299">
        <v>22638.799</v>
      </c>
      <c r="P13" s="299">
        <v>12370.951</v>
      </c>
      <c r="Q13" s="299">
        <v>725.076</v>
      </c>
      <c r="R13" s="299">
        <v>714.129</v>
      </c>
      <c r="S13" s="299">
        <v>669.23</v>
      </c>
      <c r="T13" s="299">
        <v>623.542</v>
      </c>
      <c r="U13" s="299">
        <v>577.3880000000001</v>
      </c>
      <c r="V13" s="299">
        <v>530.768</v>
      </c>
      <c r="W13" s="299">
        <v>483.68399999999997</v>
      </c>
      <c r="X13" s="299">
        <v>436.13399999999996</v>
      </c>
      <c r="Y13" s="299">
        <v>388.118</v>
      </c>
      <c r="Z13" s="299">
        <v>339.638</v>
      </c>
      <c r="AA13" s="299">
        <v>290.692</v>
      </c>
      <c r="AB13" s="299">
        <v>241.28</v>
      </c>
      <c r="AC13" s="299">
        <v>191.402</v>
      </c>
      <c r="AD13" s="299">
        <v>141.05999999999997</v>
      </c>
      <c r="AE13" s="299">
        <v>90.252</v>
      </c>
      <c r="AF13" s="299">
        <v>38.977999999999994</v>
      </c>
      <c r="AG13" s="299">
        <v>0</v>
      </c>
      <c r="AH13" s="299">
        <v>0</v>
      </c>
      <c r="AI13" s="283"/>
    </row>
    <row r="14" spans="1:35" ht="15">
      <c r="A14" s="284" t="s">
        <v>201</v>
      </c>
      <c r="B14" s="283"/>
      <c r="C14" s="283"/>
      <c r="D14" s="283"/>
      <c r="E14" s="283"/>
      <c r="F14" s="299">
        <v>478.099</v>
      </c>
      <c r="G14" s="299">
        <v>446.87100000000004</v>
      </c>
      <c r="H14" s="299">
        <v>409.86</v>
      </c>
      <c r="I14" s="299">
        <v>355.343</v>
      </c>
      <c r="J14" s="299">
        <v>278.893</v>
      </c>
      <c r="K14" s="299">
        <v>195.32300000000004</v>
      </c>
      <c r="L14" s="299">
        <v>107.75300000000001</v>
      </c>
      <c r="M14" s="299">
        <v>15.767</v>
      </c>
      <c r="N14" s="299">
        <v>0</v>
      </c>
      <c r="O14" s="299">
        <v>0</v>
      </c>
      <c r="P14" s="299">
        <v>0</v>
      </c>
      <c r="Q14" s="299">
        <v>0</v>
      </c>
      <c r="R14" s="299">
        <v>0</v>
      </c>
      <c r="S14" s="299">
        <v>0</v>
      </c>
      <c r="T14" s="299">
        <v>0</v>
      </c>
      <c r="U14" s="299">
        <v>0</v>
      </c>
      <c r="V14" s="299">
        <v>0</v>
      </c>
      <c r="W14" s="299">
        <v>0</v>
      </c>
      <c r="X14" s="299">
        <v>0</v>
      </c>
      <c r="Y14" s="299">
        <v>0</v>
      </c>
      <c r="Z14" s="299">
        <v>0</v>
      </c>
      <c r="AA14" s="299">
        <v>0</v>
      </c>
      <c r="AB14" s="299">
        <v>0</v>
      </c>
      <c r="AC14" s="299">
        <v>0</v>
      </c>
      <c r="AD14" s="299">
        <v>0</v>
      </c>
      <c r="AE14" s="299">
        <v>0</v>
      </c>
      <c r="AF14" s="299">
        <v>0</v>
      </c>
      <c r="AG14" s="299">
        <v>0</v>
      </c>
      <c r="AH14" s="299">
        <v>0</v>
      </c>
      <c r="AI14" s="283"/>
    </row>
    <row r="15" spans="1:35" ht="15">
      <c r="A15" s="284" t="s">
        <v>202</v>
      </c>
      <c r="B15" s="283"/>
      <c r="C15" s="283"/>
      <c r="D15" s="283"/>
      <c r="E15" s="283"/>
      <c r="F15" s="299">
        <v>3827.242</v>
      </c>
      <c r="G15" s="299">
        <v>3653.533</v>
      </c>
      <c r="H15" s="299">
        <v>3471.076</v>
      </c>
      <c r="I15" s="299">
        <v>3279.6220000000008</v>
      </c>
      <c r="J15" s="299">
        <v>3078.669</v>
      </c>
      <c r="K15" s="299">
        <v>2867.719</v>
      </c>
      <c r="L15" s="299">
        <v>2646.023</v>
      </c>
      <c r="M15" s="299">
        <v>2401.7479999999996</v>
      </c>
      <c r="N15" s="299">
        <v>2144.562</v>
      </c>
      <c r="O15" s="299">
        <v>1873.9910000000002</v>
      </c>
      <c r="P15" s="299">
        <v>1588.987</v>
      </c>
      <c r="Q15" s="299">
        <v>1289.2849999999999</v>
      </c>
      <c r="R15" s="299">
        <v>973.8399999999999</v>
      </c>
      <c r="S15" s="299">
        <v>641.6000000000001</v>
      </c>
      <c r="T15" s="299">
        <v>189.969</v>
      </c>
      <c r="U15" s="299">
        <v>0</v>
      </c>
      <c r="V15" s="299">
        <v>0</v>
      </c>
      <c r="W15" s="299">
        <v>0</v>
      </c>
      <c r="X15" s="299">
        <v>0</v>
      </c>
      <c r="Y15" s="299">
        <v>0</v>
      </c>
      <c r="Z15" s="299">
        <v>0</v>
      </c>
      <c r="AA15" s="299">
        <v>0</v>
      </c>
      <c r="AB15" s="299">
        <v>0</v>
      </c>
      <c r="AC15" s="299">
        <v>0</v>
      </c>
      <c r="AD15" s="299">
        <v>0</v>
      </c>
      <c r="AE15" s="299">
        <v>0</v>
      </c>
      <c r="AF15" s="299">
        <v>0</v>
      </c>
      <c r="AG15" s="299">
        <v>0</v>
      </c>
      <c r="AH15" s="299">
        <v>0</v>
      </c>
      <c r="AI15" s="283"/>
    </row>
    <row r="16" spans="1:35" ht="15">
      <c r="A16" s="284" t="s">
        <v>153</v>
      </c>
      <c r="B16" s="283"/>
      <c r="C16" s="283"/>
      <c r="D16" s="283"/>
      <c r="E16" s="283"/>
      <c r="F16" s="299">
        <f aca="true" t="shared" si="2" ref="F16:G16">SUM(F7:F15)</f>
        <v>205530.46849999996</v>
      </c>
      <c r="G16" s="299">
        <f t="shared" si="2"/>
        <v>388305.223</v>
      </c>
      <c r="H16" s="299">
        <f>SUM(H7:H15)-H12</f>
        <v>235974.176</v>
      </c>
      <c r="I16" s="299">
        <f>SUM(I7:I15)-I12</f>
        <v>160944.58999999997</v>
      </c>
      <c r="J16" s="299">
        <f aca="true" t="shared" si="3" ref="J16:AH16">SUM(J7:J15)-J12</f>
        <v>161501.792</v>
      </c>
      <c r="K16" s="299">
        <f t="shared" si="3"/>
        <v>150317.99300000005</v>
      </c>
      <c r="L16" s="299">
        <f t="shared" si="3"/>
        <v>137010.912</v>
      </c>
      <c r="M16" s="299">
        <f t="shared" si="3"/>
        <v>132585.70799999996</v>
      </c>
      <c r="N16" s="299">
        <f t="shared" si="3"/>
        <v>128489.358</v>
      </c>
      <c r="O16" s="299">
        <f t="shared" si="3"/>
        <v>117140.37</v>
      </c>
      <c r="P16" s="299">
        <f t="shared" si="3"/>
        <v>105948.52699999999</v>
      </c>
      <c r="Q16" s="299">
        <f t="shared" si="3"/>
        <v>93615.99899999998</v>
      </c>
      <c r="R16" s="299">
        <f t="shared" si="3"/>
        <v>87721.02999999997</v>
      </c>
      <c r="S16" s="299">
        <f t="shared" si="3"/>
        <v>77203.73000000001</v>
      </c>
      <c r="T16" s="299">
        <f t="shared" si="3"/>
        <v>66645.212</v>
      </c>
      <c r="U16" s="299">
        <f t="shared" si="3"/>
        <v>58157.1</v>
      </c>
      <c r="V16" s="299">
        <f t="shared" si="3"/>
        <v>49725.20199999999</v>
      </c>
      <c r="W16" s="299">
        <f t="shared" si="3"/>
        <v>41115.264999999985</v>
      </c>
      <c r="X16" s="299">
        <f t="shared" si="3"/>
        <v>33642.15899999999</v>
      </c>
      <c r="Y16" s="299">
        <f t="shared" si="3"/>
        <v>26421.311999999998</v>
      </c>
      <c r="Z16" s="299">
        <f t="shared" si="3"/>
        <v>19082.319000000003</v>
      </c>
      <c r="AA16" s="299">
        <f t="shared" si="3"/>
        <v>12845.758</v>
      </c>
      <c r="AB16" s="299">
        <f t="shared" si="3"/>
        <v>10421.651000000002</v>
      </c>
      <c r="AC16" s="299">
        <f t="shared" si="3"/>
        <v>8050.539999999999</v>
      </c>
      <c r="AD16" s="299">
        <f t="shared" si="3"/>
        <v>5971.5019999999995</v>
      </c>
      <c r="AE16" s="299">
        <f t="shared" si="3"/>
        <v>3850.7210000000014</v>
      </c>
      <c r="AF16" s="299">
        <f t="shared" si="3"/>
        <v>1687.2200000000003</v>
      </c>
      <c r="AG16" s="299">
        <f t="shared" si="3"/>
        <v>0</v>
      </c>
      <c r="AH16" s="299">
        <f t="shared" si="3"/>
        <v>0</v>
      </c>
      <c r="AI16" s="283"/>
    </row>
    <row r="17" spans="1:35" ht="14.25">
      <c r="A17" s="357" t="s">
        <v>730</v>
      </c>
      <c r="B17" s="283"/>
      <c r="C17" s="283"/>
      <c r="D17" s="283"/>
      <c r="E17" s="283"/>
      <c r="F17" s="283"/>
      <c r="G17" s="283"/>
      <c r="H17" s="352">
        <v>0</v>
      </c>
      <c r="I17" s="352">
        <v>0</v>
      </c>
      <c r="J17" s="352">
        <v>0</v>
      </c>
      <c r="K17" s="352">
        <v>0</v>
      </c>
      <c r="L17" s="352">
        <v>0</v>
      </c>
      <c r="M17" s="352">
        <v>0</v>
      </c>
      <c r="N17" s="352">
        <v>0</v>
      </c>
      <c r="O17" s="352">
        <v>0</v>
      </c>
      <c r="P17" s="352">
        <v>0</v>
      </c>
      <c r="Q17" s="352">
        <v>0</v>
      </c>
      <c r="R17" s="352">
        <v>0</v>
      </c>
      <c r="S17" s="352">
        <v>0</v>
      </c>
      <c r="T17" s="352">
        <v>0</v>
      </c>
      <c r="U17" s="352">
        <v>0</v>
      </c>
      <c r="V17" s="352">
        <v>0</v>
      </c>
      <c r="W17" s="352">
        <v>0</v>
      </c>
      <c r="X17" s="352">
        <v>0</v>
      </c>
      <c r="Y17" s="352">
        <v>0</v>
      </c>
      <c r="Z17" s="352">
        <v>0</v>
      </c>
      <c r="AA17" s="352">
        <v>0</v>
      </c>
      <c r="AB17" s="352">
        <v>0</v>
      </c>
      <c r="AC17" s="352">
        <v>0</v>
      </c>
      <c r="AD17" s="352">
        <v>0</v>
      </c>
      <c r="AE17" s="352">
        <v>0</v>
      </c>
      <c r="AF17" s="352">
        <v>0</v>
      </c>
      <c r="AG17" s="352">
        <v>0</v>
      </c>
      <c r="AH17" s="352">
        <v>0</v>
      </c>
      <c r="AI17" s="283"/>
    </row>
    <row r="18" spans="1:35" ht="15">
      <c r="A18" s="284" t="s">
        <v>629</v>
      </c>
      <c r="B18" s="283"/>
      <c r="C18" s="283"/>
      <c r="D18" s="283"/>
      <c r="E18" s="283"/>
      <c r="F18" s="283"/>
      <c r="G18" s="283"/>
      <c r="H18" s="283"/>
      <c r="I18" s="352"/>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row>
    <row r="19" spans="1:35" ht="15" hidden="1">
      <c r="A19" s="284"/>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row>
    <row r="20" spans="1:35" ht="15" hidden="1">
      <c r="A20" s="293" t="s">
        <v>628</v>
      </c>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row>
    <row r="21" spans="1:35" ht="15" hidden="1">
      <c r="A21" s="293"/>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row>
    <row r="22" spans="1:35" ht="15" hidden="1">
      <c r="A22" s="293" t="s">
        <v>198</v>
      </c>
      <c r="B22" s="294"/>
      <c r="C22" s="294"/>
      <c r="D22" s="294"/>
      <c r="E22" s="294"/>
      <c r="F22" s="294"/>
      <c r="G22" s="294"/>
      <c r="H22" s="295">
        <v>2020</v>
      </c>
      <c r="I22" s="295">
        <v>2021</v>
      </c>
      <c r="J22" s="295">
        <v>2022</v>
      </c>
      <c r="K22" s="295">
        <v>2023</v>
      </c>
      <c r="L22" s="295">
        <v>2024</v>
      </c>
      <c r="M22" s="295">
        <v>2025</v>
      </c>
      <c r="N22" s="295">
        <v>2026</v>
      </c>
      <c r="O22" s="295">
        <v>2027</v>
      </c>
      <c r="P22" s="295">
        <v>2028</v>
      </c>
      <c r="Q22" s="295">
        <v>2029</v>
      </c>
      <c r="R22" s="295">
        <v>2030</v>
      </c>
      <c r="S22" s="295">
        <v>2031</v>
      </c>
      <c r="T22" s="295">
        <v>2032</v>
      </c>
      <c r="U22" s="295">
        <v>2033</v>
      </c>
      <c r="V22" s="295">
        <v>2034</v>
      </c>
      <c r="W22" s="295">
        <v>2035</v>
      </c>
      <c r="X22" s="295">
        <v>2036</v>
      </c>
      <c r="Y22" s="295">
        <v>2037</v>
      </c>
      <c r="Z22" s="295">
        <v>2038</v>
      </c>
      <c r="AA22" s="295">
        <v>2039</v>
      </c>
      <c r="AB22" s="295">
        <v>2040</v>
      </c>
      <c r="AC22" s="295">
        <v>2041</v>
      </c>
      <c r="AD22" s="295">
        <v>2042</v>
      </c>
      <c r="AE22" s="295">
        <v>2043</v>
      </c>
      <c r="AF22" s="295">
        <v>2044</v>
      </c>
      <c r="AG22" s="295">
        <v>2045</v>
      </c>
      <c r="AH22" s="295">
        <v>2046</v>
      </c>
      <c r="AI22" s="295" t="s">
        <v>153</v>
      </c>
    </row>
    <row r="23" spans="1:35" ht="15" hidden="1">
      <c r="A23" s="293" t="s">
        <v>199</v>
      </c>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row>
    <row r="24" spans="1:35" ht="15" hidden="1">
      <c r="A24" s="293" t="s">
        <v>200</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row>
    <row r="25" spans="1:35" ht="15" hidden="1">
      <c r="A25" s="293" t="s">
        <v>414</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row>
    <row r="26" spans="1:35" ht="15" hidden="1">
      <c r="A26" s="293" t="s">
        <v>413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row>
    <row r="27" spans="1:35" ht="15" hidden="1">
      <c r="A27" s="293" t="s">
        <v>412</v>
      </c>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row>
    <row r="28" spans="1:35" ht="15" hidden="1">
      <c r="A28" s="293" t="s">
        <v>203</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row>
    <row r="29" spans="1:35" ht="21.75" customHeight="1" hidden="1">
      <c r="A29" s="293" t="s">
        <v>201</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row>
    <row r="30" spans="1:35" ht="15.75" customHeight="1" hidden="1">
      <c r="A30" s="293" t="s">
        <v>202</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row>
    <row r="31" spans="1:35" ht="15.75" customHeight="1" hidden="1">
      <c r="A31" s="293" t="s">
        <v>153</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row>
    <row r="32" ht="15" hidden="1">
      <c r="A32" s="151"/>
    </row>
    <row r="33" ht="15">
      <c r="A33" s="151"/>
    </row>
    <row r="34" spans="1:35" ht="23.25">
      <c r="A34" s="286" t="s">
        <v>384</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row>
    <row r="35" spans="1:35" ht="15">
      <c r="A35" s="288" t="s">
        <v>598</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row>
    <row r="36" spans="1:35" ht="15">
      <c r="A36" s="288"/>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row>
    <row r="37" spans="1:35" ht="15">
      <c r="A37" s="288" t="s">
        <v>198</v>
      </c>
      <c r="B37" s="287"/>
      <c r="C37" s="287"/>
      <c r="D37" s="287"/>
      <c r="E37" s="287"/>
      <c r="F37" s="289">
        <v>2018</v>
      </c>
      <c r="G37" s="289">
        <v>2019</v>
      </c>
      <c r="H37" s="289">
        <v>2020</v>
      </c>
      <c r="I37" s="289">
        <v>2021</v>
      </c>
      <c r="J37" s="289">
        <v>2022</v>
      </c>
      <c r="K37" s="289">
        <v>2023</v>
      </c>
      <c r="L37" s="289">
        <v>2024</v>
      </c>
      <c r="M37" s="289">
        <v>2025</v>
      </c>
      <c r="N37" s="289">
        <v>2026</v>
      </c>
      <c r="O37" s="289">
        <v>2027</v>
      </c>
      <c r="P37" s="289">
        <v>2028</v>
      </c>
      <c r="Q37" s="289">
        <v>2029</v>
      </c>
      <c r="R37" s="289">
        <v>2030</v>
      </c>
      <c r="S37" s="289">
        <v>2031</v>
      </c>
      <c r="T37" s="289">
        <v>2032</v>
      </c>
      <c r="U37" s="289">
        <v>2033</v>
      </c>
      <c r="V37" s="289">
        <v>2034</v>
      </c>
      <c r="W37" s="289">
        <v>2035</v>
      </c>
      <c r="X37" s="289">
        <v>2036</v>
      </c>
      <c r="Y37" s="289">
        <v>2037</v>
      </c>
      <c r="Z37" s="289">
        <v>2038</v>
      </c>
      <c r="AA37" s="289">
        <v>2039</v>
      </c>
      <c r="AB37" s="289">
        <v>2040</v>
      </c>
      <c r="AC37" s="289">
        <v>2041</v>
      </c>
      <c r="AD37" s="289">
        <v>2042</v>
      </c>
      <c r="AE37" s="289">
        <v>2043</v>
      </c>
      <c r="AF37" s="289">
        <v>2044</v>
      </c>
      <c r="AG37" s="289">
        <v>2045</v>
      </c>
      <c r="AH37" s="289">
        <v>2046</v>
      </c>
      <c r="AI37" s="289" t="s">
        <v>153</v>
      </c>
    </row>
    <row r="38" spans="1:35" s="7" customFormat="1" ht="15">
      <c r="A38" s="288" t="s">
        <v>199</v>
      </c>
      <c r="B38" s="300"/>
      <c r="C38" s="300"/>
      <c r="D38" s="300"/>
      <c r="E38" s="300"/>
      <c r="F38" s="300">
        <v>320</v>
      </c>
      <c r="G38" s="300">
        <v>1368.75</v>
      </c>
      <c r="H38" s="300">
        <v>1226.25</v>
      </c>
      <c r="I38" s="300">
        <v>0</v>
      </c>
      <c r="J38" s="300">
        <v>0</v>
      </c>
      <c r="K38" s="300">
        <v>0</v>
      </c>
      <c r="L38" s="300">
        <v>59241.25</v>
      </c>
      <c r="M38" s="300">
        <v>230586.25</v>
      </c>
      <c r="N38" s="300">
        <v>203313.75</v>
      </c>
      <c r="O38" s="300">
        <v>175515</v>
      </c>
      <c r="P38" s="300">
        <v>124008.75</v>
      </c>
      <c r="Q38" s="300">
        <v>297.10825</v>
      </c>
      <c r="R38" s="300">
        <v>1188.433</v>
      </c>
      <c r="S38" s="300">
        <v>1188.433</v>
      </c>
      <c r="T38" s="300">
        <v>1188.433</v>
      </c>
      <c r="U38" s="300">
        <v>1188.433</v>
      </c>
      <c r="V38" s="300">
        <v>1188.433</v>
      </c>
      <c r="W38" s="300">
        <v>1188.433</v>
      </c>
      <c r="X38" s="300">
        <v>1188.433</v>
      </c>
      <c r="Y38" s="300">
        <v>1188.433</v>
      </c>
      <c r="Z38" s="300">
        <v>1188.433</v>
      </c>
      <c r="AA38" s="300">
        <v>1188.433</v>
      </c>
      <c r="AB38" s="300">
        <v>1188.433</v>
      </c>
      <c r="AC38" s="300">
        <v>1188.433</v>
      </c>
      <c r="AD38" s="300">
        <v>1188.433</v>
      </c>
      <c r="AE38" s="300">
        <v>1188.433</v>
      </c>
      <c r="AF38" s="300">
        <v>891.32475</v>
      </c>
      <c r="AG38" s="300">
        <v>0</v>
      </c>
      <c r="AH38" s="300">
        <v>0</v>
      </c>
      <c r="AI38" s="300"/>
    </row>
    <row r="39" spans="1:35" s="7" customFormat="1" ht="15">
      <c r="A39" s="288" t="s">
        <v>599</v>
      </c>
      <c r="B39" s="300"/>
      <c r="C39" s="300"/>
      <c r="D39" s="300"/>
      <c r="E39" s="300"/>
      <c r="F39" s="300">
        <v>183747.67325</v>
      </c>
      <c r="G39" s="300">
        <v>338742.5</v>
      </c>
      <c r="H39" s="300">
        <v>106347.49999999999</v>
      </c>
      <c r="I39" s="300">
        <v>96472.5</v>
      </c>
      <c r="J39" s="300">
        <v>131501.24999999997</v>
      </c>
      <c r="K39" s="300">
        <v>288718.75</v>
      </c>
      <c r="L39" s="300">
        <v>229646.25</v>
      </c>
      <c r="M39" s="300">
        <v>17568.75</v>
      </c>
      <c r="N39" s="300">
        <v>18968.75</v>
      </c>
      <c r="O39" s="300">
        <v>27043.75</v>
      </c>
      <c r="P39" s="300">
        <v>65707.5</v>
      </c>
      <c r="Q39" s="300">
        <v>119085.28175000001</v>
      </c>
      <c r="R39" s="300">
        <v>223972.8355</v>
      </c>
      <c r="S39" s="300">
        <v>215922.37625</v>
      </c>
      <c r="T39" s="300">
        <v>179830.0955</v>
      </c>
      <c r="U39" s="300">
        <v>182405.73650000003</v>
      </c>
      <c r="V39" s="300">
        <v>187458.81425</v>
      </c>
      <c r="W39" s="300">
        <v>169297.63450000001</v>
      </c>
      <c r="X39" s="300">
        <v>161216.79725</v>
      </c>
      <c r="Y39" s="300">
        <v>163469.7005</v>
      </c>
      <c r="Z39" s="300">
        <v>139853.54099999997</v>
      </c>
      <c r="AA39" s="300">
        <v>60470.5685</v>
      </c>
      <c r="AB39" s="300">
        <v>59174.340749999996</v>
      </c>
      <c r="AC39" s="300">
        <v>53188.47275</v>
      </c>
      <c r="AD39" s="300">
        <v>53830.39400000001</v>
      </c>
      <c r="AE39" s="300">
        <v>54500.10125</v>
      </c>
      <c r="AF39" s="300">
        <v>164228.68825</v>
      </c>
      <c r="AG39" s="300">
        <v>489036.0925</v>
      </c>
      <c r="AH39" s="300">
        <v>489035.16250000003</v>
      </c>
      <c r="AI39" s="300"/>
    </row>
    <row r="40" spans="1:35" s="7" customFormat="1" ht="15">
      <c r="A40" s="288" t="s">
        <v>411</v>
      </c>
      <c r="B40" s="300"/>
      <c r="C40" s="300"/>
      <c r="D40" s="300"/>
      <c r="E40" s="300"/>
      <c r="F40" s="300">
        <v>-178250</v>
      </c>
      <c r="G40" s="300">
        <f>-G93/1000</f>
        <v>-189500</v>
      </c>
      <c r="H40" s="300">
        <f aca="true" t="shared" si="4" ref="H40:AH40">-H93/1000</f>
        <v>-72500</v>
      </c>
      <c r="I40" s="300">
        <f t="shared" si="4"/>
        <v>-81000</v>
      </c>
      <c r="J40" s="300">
        <f t="shared" si="4"/>
        <v>-49500</v>
      </c>
      <c r="K40" s="300">
        <f t="shared" si="4"/>
        <v>0</v>
      </c>
      <c r="L40" s="300">
        <f t="shared" si="4"/>
        <v>0</v>
      </c>
      <c r="M40" s="300">
        <f t="shared" si="4"/>
        <v>0</v>
      </c>
      <c r="N40" s="300">
        <f t="shared" si="4"/>
        <v>0</v>
      </c>
      <c r="O40" s="300">
        <f t="shared" si="4"/>
        <v>0</v>
      </c>
      <c r="P40" s="300">
        <f t="shared" si="4"/>
        <v>0</v>
      </c>
      <c r="Q40" s="300">
        <f t="shared" si="4"/>
        <v>0</v>
      </c>
      <c r="R40" s="300">
        <f t="shared" si="4"/>
        <v>0</v>
      </c>
      <c r="S40" s="300">
        <f t="shared" si="4"/>
        <v>0</v>
      </c>
      <c r="T40" s="300">
        <f t="shared" si="4"/>
        <v>0</v>
      </c>
      <c r="U40" s="300">
        <f t="shared" si="4"/>
        <v>0</v>
      </c>
      <c r="V40" s="300">
        <f t="shared" si="4"/>
        <v>0</v>
      </c>
      <c r="W40" s="300">
        <f t="shared" si="4"/>
        <v>0</v>
      </c>
      <c r="X40" s="300">
        <f t="shared" si="4"/>
        <v>0</v>
      </c>
      <c r="Y40" s="300">
        <f t="shared" si="4"/>
        <v>0</v>
      </c>
      <c r="Z40" s="300">
        <f t="shared" si="4"/>
        <v>0</v>
      </c>
      <c r="AA40" s="300">
        <f t="shared" si="4"/>
        <v>0</v>
      </c>
      <c r="AB40" s="300">
        <f t="shared" si="4"/>
        <v>0</v>
      </c>
      <c r="AC40" s="300">
        <f t="shared" si="4"/>
        <v>0</v>
      </c>
      <c r="AD40" s="300">
        <f t="shared" si="4"/>
        <v>0</v>
      </c>
      <c r="AE40" s="300">
        <f t="shared" si="4"/>
        <v>0</v>
      </c>
      <c r="AF40" s="300">
        <f t="shared" si="4"/>
        <v>0</v>
      </c>
      <c r="AG40" s="300">
        <f t="shared" si="4"/>
        <v>0</v>
      </c>
      <c r="AH40" s="300">
        <f t="shared" si="4"/>
        <v>0</v>
      </c>
      <c r="AI40" s="300"/>
    </row>
    <row r="41" spans="1:35" s="7" customFormat="1" ht="15">
      <c r="A41" s="288" t="s">
        <v>412</v>
      </c>
      <c r="B41" s="300"/>
      <c r="C41" s="300"/>
      <c r="D41" s="300"/>
      <c r="E41" s="300"/>
      <c r="F41" s="300"/>
      <c r="G41" s="300">
        <f>SUM(G39:G40)</f>
        <v>149242.5</v>
      </c>
      <c r="H41" s="300">
        <f aca="true" t="shared" si="5" ref="H41:AH41">SUM(H39:H40)</f>
        <v>33847.499999999985</v>
      </c>
      <c r="I41" s="300">
        <f t="shared" si="5"/>
        <v>15472.5</v>
      </c>
      <c r="J41" s="300">
        <f t="shared" si="5"/>
        <v>82001.24999999997</v>
      </c>
      <c r="K41" s="300">
        <f t="shared" si="5"/>
        <v>288718.75</v>
      </c>
      <c r="L41" s="300">
        <f t="shared" si="5"/>
        <v>229646.25</v>
      </c>
      <c r="M41" s="300">
        <f t="shared" si="5"/>
        <v>17568.75</v>
      </c>
      <c r="N41" s="300">
        <f t="shared" si="5"/>
        <v>18968.75</v>
      </c>
      <c r="O41" s="300">
        <f t="shared" si="5"/>
        <v>27043.75</v>
      </c>
      <c r="P41" s="300">
        <f t="shared" si="5"/>
        <v>65707.5</v>
      </c>
      <c r="Q41" s="300">
        <f t="shared" si="5"/>
        <v>119085.28175000001</v>
      </c>
      <c r="R41" s="300">
        <f t="shared" si="5"/>
        <v>223972.8355</v>
      </c>
      <c r="S41" s="300">
        <f t="shared" si="5"/>
        <v>215922.37625</v>
      </c>
      <c r="T41" s="300">
        <f t="shared" si="5"/>
        <v>179830.0955</v>
      </c>
      <c r="U41" s="300">
        <f t="shared" si="5"/>
        <v>182405.73650000003</v>
      </c>
      <c r="V41" s="300">
        <f t="shared" si="5"/>
        <v>187458.81425</v>
      </c>
      <c r="W41" s="300">
        <f t="shared" si="5"/>
        <v>169297.63450000001</v>
      </c>
      <c r="X41" s="300">
        <f t="shared" si="5"/>
        <v>161216.79725</v>
      </c>
      <c r="Y41" s="300">
        <f t="shared" si="5"/>
        <v>163469.7005</v>
      </c>
      <c r="Z41" s="300">
        <f t="shared" si="5"/>
        <v>139853.54099999997</v>
      </c>
      <c r="AA41" s="300">
        <f t="shared" si="5"/>
        <v>60470.5685</v>
      </c>
      <c r="AB41" s="300">
        <f t="shared" si="5"/>
        <v>59174.340749999996</v>
      </c>
      <c r="AC41" s="300">
        <f t="shared" si="5"/>
        <v>53188.47275</v>
      </c>
      <c r="AD41" s="300">
        <f t="shared" si="5"/>
        <v>53830.39400000001</v>
      </c>
      <c r="AE41" s="300">
        <f t="shared" si="5"/>
        <v>54500.10125</v>
      </c>
      <c r="AF41" s="300">
        <f t="shared" si="5"/>
        <v>164228.68825</v>
      </c>
      <c r="AG41" s="300">
        <f t="shared" si="5"/>
        <v>489036.0925</v>
      </c>
      <c r="AH41" s="300">
        <f t="shared" si="5"/>
        <v>489035.16250000003</v>
      </c>
      <c r="AI41" s="300"/>
    </row>
    <row r="42" spans="1:35" s="7" customFormat="1" ht="15">
      <c r="A42" s="288" t="s">
        <v>203</v>
      </c>
      <c r="B42" s="300"/>
      <c r="C42" s="300"/>
      <c r="D42" s="300"/>
      <c r="E42" s="300"/>
      <c r="F42" s="300">
        <v>9229.412626000001</v>
      </c>
      <c r="G42" s="300">
        <v>1197.5</v>
      </c>
      <c r="H42" s="300">
        <v>1150</v>
      </c>
      <c r="I42" s="300">
        <v>1785</v>
      </c>
      <c r="J42" s="300">
        <v>17068.75</v>
      </c>
      <c r="K42" s="300">
        <v>67028.75</v>
      </c>
      <c r="L42" s="300">
        <v>77577.5</v>
      </c>
      <c r="M42" s="300">
        <v>134177.5</v>
      </c>
      <c r="N42" s="300">
        <v>174965</v>
      </c>
      <c r="O42" s="300">
        <v>207392.5</v>
      </c>
      <c r="P42" s="300">
        <v>231375</v>
      </c>
      <c r="Q42" s="300">
        <v>339.52825</v>
      </c>
      <c r="R42" s="300">
        <v>1358.113</v>
      </c>
      <c r="S42" s="300">
        <v>1358.113</v>
      </c>
      <c r="T42" s="300">
        <v>1358.113</v>
      </c>
      <c r="U42" s="300">
        <v>1358.113</v>
      </c>
      <c r="V42" s="300">
        <v>1358.113</v>
      </c>
      <c r="W42" s="300">
        <v>1358.113</v>
      </c>
      <c r="X42" s="300">
        <v>1358.113</v>
      </c>
      <c r="Y42" s="300">
        <v>1358.113</v>
      </c>
      <c r="Z42" s="300">
        <v>1358.113</v>
      </c>
      <c r="AA42" s="300">
        <v>1358.113</v>
      </c>
      <c r="AB42" s="300">
        <v>1358.113</v>
      </c>
      <c r="AC42" s="300">
        <v>1358.113</v>
      </c>
      <c r="AD42" s="300">
        <v>1358.113</v>
      </c>
      <c r="AE42" s="300">
        <v>1358.113</v>
      </c>
      <c r="AF42" s="300">
        <v>1018.58475</v>
      </c>
      <c r="AG42" s="300">
        <v>0</v>
      </c>
      <c r="AH42" s="300">
        <v>0</v>
      </c>
      <c r="AI42" s="300"/>
    </row>
    <row r="43" spans="1:35" s="7" customFormat="1" ht="15">
      <c r="A43" s="288" t="s">
        <v>201</v>
      </c>
      <c r="B43" s="300"/>
      <c r="C43" s="300"/>
      <c r="D43" s="300"/>
      <c r="E43" s="300"/>
      <c r="F43" s="300">
        <v>1455.75</v>
      </c>
      <c r="G43" s="300">
        <v>1484.8999999999999</v>
      </c>
      <c r="H43" s="300">
        <v>1527.3500000000001</v>
      </c>
      <c r="I43" s="300">
        <v>1593.1000000000001</v>
      </c>
      <c r="J43" s="300">
        <v>1671.4</v>
      </c>
      <c r="K43" s="300">
        <v>1751.3999999999999</v>
      </c>
      <c r="L43" s="300">
        <v>1839.7</v>
      </c>
      <c r="M43" s="300">
        <v>315.3499999999999</v>
      </c>
      <c r="N43" s="300">
        <v>0</v>
      </c>
      <c r="O43" s="300">
        <v>0</v>
      </c>
      <c r="P43" s="300">
        <v>0</v>
      </c>
      <c r="Q43" s="300">
        <v>0</v>
      </c>
      <c r="R43" s="300">
        <v>0</v>
      </c>
      <c r="S43" s="300">
        <v>0</v>
      </c>
      <c r="T43" s="300">
        <v>0</v>
      </c>
      <c r="U43" s="300">
        <v>0</v>
      </c>
      <c r="V43" s="300">
        <v>0</v>
      </c>
      <c r="W43" s="300">
        <v>0</v>
      </c>
      <c r="X43" s="300">
        <v>0</v>
      </c>
      <c r="Y43" s="300">
        <v>0</v>
      </c>
      <c r="Z43" s="300">
        <v>0</v>
      </c>
      <c r="AA43" s="300">
        <v>0</v>
      </c>
      <c r="AB43" s="300">
        <v>0</v>
      </c>
      <c r="AC43" s="300">
        <v>0</v>
      </c>
      <c r="AD43" s="300">
        <v>0</v>
      </c>
      <c r="AE43" s="300">
        <v>0</v>
      </c>
      <c r="AF43" s="300">
        <v>0</v>
      </c>
      <c r="AG43" s="300">
        <v>0</v>
      </c>
      <c r="AH43" s="300">
        <v>0</v>
      </c>
      <c r="AI43" s="300"/>
    </row>
    <row r="44" spans="1:35" s="7" customFormat="1" ht="15">
      <c r="A44" s="288" t="s">
        <v>202</v>
      </c>
      <c r="B44" s="300"/>
      <c r="C44" s="300"/>
      <c r="D44" s="300"/>
      <c r="E44" s="300"/>
      <c r="F44" s="300">
        <v>3475</v>
      </c>
      <c r="G44" s="351">
        <v>3650</v>
      </c>
      <c r="H44" s="351">
        <v>3830</v>
      </c>
      <c r="I44" s="351">
        <v>4020</v>
      </c>
      <c r="J44" s="351">
        <v>4220</v>
      </c>
      <c r="K44" s="351">
        <v>4435</v>
      </c>
      <c r="L44" s="351">
        <v>4655</v>
      </c>
      <c r="M44" s="351">
        <v>4900</v>
      </c>
      <c r="N44" s="351">
        <v>5155</v>
      </c>
      <c r="O44" s="351">
        <v>5430</v>
      </c>
      <c r="P44" s="351">
        <v>5710</v>
      </c>
      <c r="Q44" s="351">
        <v>6010</v>
      </c>
      <c r="R44" s="351">
        <v>6330</v>
      </c>
      <c r="S44" s="351">
        <v>10217.5</v>
      </c>
      <c r="T44" s="351">
        <v>3557.5</v>
      </c>
      <c r="U44" s="351">
        <v>0</v>
      </c>
      <c r="V44" s="351">
        <v>0</v>
      </c>
      <c r="W44" s="351">
        <v>0</v>
      </c>
      <c r="X44" s="351">
        <v>0</v>
      </c>
      <c r="Y44" s="351">
        <v>0</v>
      </c>
      <c r="Z44" s="351">
        <v>0</v>
      </c>
      <c r="AA44" s="351">
        <v>0</v>
      </c>
      <c r="AB44" s="351">
        <v>0</v>
      </c>
      <c r="AC44" s="351">
        <v>0</v>
      </c>
      <c r="AD44" s="351">
        <v>0</v>
      </c>
      <c r="AE44" s="351">
        <v>0</v>
      </c>
      <c r="AF44" s="351">
        <v>0</v>
      </c>
      <c r="AG44" s="351">
        <v>0</v>
      </c>
      <c r="AH44" s="351">
        <v>0</v>
      </c>
      <c r="AI44" s="300"/>
    </row>
    <row r="45" spans="1:35" s="7" customFormat="1" ht="15">
      <c r="A45" s="288" t="s">
        <v>652</v>
      </c>
      <c r="B45" s="300"/>
      <c r="C45" s="300"/>
      <c r="D45" s="300"/>
      <c r="E45" s="300"/>
      <c r="F45" s="300">
        <f>SUM(F38:F44)</f>
        <v>19977.835875999994</v>
      </c>
      <c r="G45" s="300">
        <f>SUM(G38:G44)-G41</f>
        <v>156943.65000000002</v>
      </c>
      <c r="H45" s="300">
        <f aca="true" t="shared" si="6" ref="H45:AH45">SUM(H38:H44)-H41</f>
        <v>41581.09999999999</v>
      </c>
      <c r="I45" s="300">
        <f t="shared" si="6"/>
        <v>22870.6</v>
      </c>
      <c r="J45" s="300">
        <f t="shared" si="6"/>
        <v>104961.39999999997</v>
      </c>
      <c r="K45" s="300">
        <f t="shared" si="6"/>
        <v>361933.9</v>
      </c>
      <c r="L45" s="300">
        <f t="shared" si="6"/>
        <v>372959.69999999995</v>
      </c>
      <c r="M45" s="300">
        <f t="shared" si="6"/>
        <v>387547.85</v>
      </c>
      <c r="N45" s="300">
        <f t="shared" si="6"/>
        <v>402402.5</v>
      </c>
      <c r="O45" s="300">
        <f t="shared" si="6"/>
        <v>415381.25</v>
      </c>
      <c r="P45" s="300">
        <f t="shared" si="6"/>
        <v>426801.25</v>
      </c>
      <c r="Q45" s="300">
        <f t="shared" si="6"/>
        <v>125731.91825000003</v>
      </c>
      <c r="R45" s="300">
        <f t="shared" si="6"/>
        <v>232849.38149999996</v>
      </c>
      <c r="S45" s="300">
        <f t="shared" si="6"/>
        <v>228686.42225000003</v>
      </c>
      <c r="T45" s="300">
        <f t="shared" si="6"/>
        <v>185934.14149999997</v>
      </c>
      <c r="U45" s="300">
        <f t="shared" si="6"/>
        <v>184952.28250000006</v>
      </c>
      <c r="V45" s="300">
        <f t="shared" si="6"/>
        <v>190005.36024999997</v>
      </c>
      <c r="W45" s="300">
        <f t="shared" si="6"/>
        <v>171844.18050000005</v>
      </c>
      <c r="X45" s="300">
        <f t="shared" si="6"/>
        <v>163763.34324999998</v>
      </c>
      <c r="Y45" s="300">
        <f t="shared" si="6"/>
        <v>166016.24650000004</v>
      </c>
      <c r="Z45" s="300">
        <f t="shared" si="6"/>
        <v>142400.08699999994</v>
      </c>
      <c r="AA45" s="300">
        <f t="shared" si="6"/>
        <v>63017.1145</v>
      </c>
      <c r="AB45" s="300">
        <f t="shared" si="6"/>
        <v>61720.88675</v>
      </c>
      <c r="AC45" s="300">
        <f t="shared" si="6"/>
        <v>55735.01874999999</v>
      </c>
      <c r="AD45" s="300">
        <f t="shared" si="6"/>
        <v>56376.94000000001</v>
      </c>
      <c r="AE45" s="300">
        <f t="shared" si="6"/>
        <v>57046.64725</v>
      </c>
      <c r="AF45" s="300">
        <f t="shared" si="6"/>
        <v>166138.59775000002</v>
      </c>
      <c r="AG45" s="300">
        <f t="shared" si="6"/>
        <v>489036.0925</v>
      </c>
      <c r="AH45" s="300">
        <f t="shared" si="6"/>
        <v>489035.16250000003</v>
      </c>
      <c r="AI45" s="300"/>
    </row>
    <row r="46" spans="1:35" s="7" customFormat="1" ht="15">
      <c r="A46" s="288"/>
      <c r="B46" s="300"/>
      <c r="C46" s="300"/>
      <c r="D46" s="300"/>
      <c r="E46" s="300"/>
      <c r="F46" s="300"/>
      <c r="G46" s="300"/>
      <c r="H46" s="300"/>
      <c r="I46" s="300">
        <f>+I45-I40</f>
        <v>103870.6</v>
      </c>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row>
    <row r="47" spans="1:35" s="7" customFormat="1" ht="15">
      <c r="A47" s="288" t="s">
        <v>629</v>
      </c>
      <c r="B47" s="300"/>
      <c r="C47" s="300"/>
      <c r="D47" s="300"/>
      <c r="E47" s="300"/>
      <c r="I47" s="301">
        <v>0</v>
      </c>
      <c r="J47" s="301">
        <v>0</v>
      </c>
      <c r="K47" s="301">
        <v>0</v>
      </c>
      <c r="L47" s="301">
        <v>0</v>
      </c>
      <c r="M47" s="301">
        <v>0</v>
      </c>
      <c r="N47" s="301">
        <v>0</v>
      </c>
      <c r="O47" s="301">
        <v>0</v>
      </c>
      <c r="P47" s="301">
        <v>0</v>
      </c>
      <c r="Q47" s="301">
        <v>0</v>
      </c>
      <c r="R47" s="301">
        <v>0</v>
      </c>
      <c r="S47" s="301">
        <v>0</v>
      </c>
      <c r="T47" s="301">
        <v>0</v>
      </c>
      <c r="U47" s="301">
        <v>0</v>
      </c>
      <c r="V47" s="301">
        <v>0</v>
      </c>
      <c r="W47" s="301">
        <v>0</v>
      </c>
      <c r="X47" s="301">
        <v>0</v>
      </c>
      <c r="Y47" s="301">
        <v>0</v>
      </c>
      <c r="Z47" s="301">
        <v>0</v>
      </c>
      <c r="AA47" s="301">
        <v>0</v>
      </c>
      <c r="AB47" s="301">
        <v>0</v>
      </c>
      <c r="AC47" s="301">
        <v>0</v>
      </c>
      <c r="AD47" s="301">
        <v>0</v>
      </c>
      <c r="AE47" s="301">
        <v>0</v>
      </c>
      <c r="AF47" s="301">
        <v>0</v>
      </c>
      <c r="AG47" s="301">
        <v>0</v>
      </c>
      <c r="AH47" s="300"/>
      <c r="AI47" s="300"/>
    </row>
    <row r="48" spans="1:35" s="7" customFormat="1" ht="15">
      <c r="A48" s="288" t="s">
        <v>649</v>
      </c>
      <c r="B48" s="300"/>
      <c r="C48" s="300"/>
      <c r="D48" s="300"/>
      <c r="E48" s="300"/>
      <c r="F48" s="301"/>
      <c r="G48" s="301"/>
      <c r="H48" s="301"/>
      <c r="I48" s="301"/>
      <c r="J48" s="301"/>
      <c r="K48" s="301"/>
      <c r="L48" s="301"/>
      <c r="M48" s="301"/>
      <c r="N48" s="301"/>
      <c r="O48" s="301"/>
      <c r="P48" s="301"/>
      <c r="Q48" s="301">
        <v>0</v>
      </c>
      <c r="R48" s="301">
        <v>0</v>
      </c>
      <c r="S48" s="301">
        <v>0</v>
      </c>
      <c r="T48" s="301">
        <v>0</v>
      </c>
      <c r="U48" s="301">
        <v>0</v>
      </c>
      <c r="V48" s="301">
        <v>0</v>
      </c>
      <c r="W48" s="301">
        <v>0</v>
      </c>
      <c r="X48" s="301">
        <v>0</v>
      </c>
      <c r="Y48" s="301">
        <v>0</v>
      </c>
      <c r="Z48" s="301">
        <v>0</v>
      </c>
      <c r="AA48" s="301">
        <v>0</v>
      </c>
      <c r="AB48" s="301">
        <v>0</v>
      </c>
      <c r="AC48" s="301">
        <v>0</v>
      </c>
      <c r="AD48" s="301">
        <v>0</v>
      </c>
      <c r="AE48" s="301">
        <v>0</v>
      </c>
      <c r="AF48" s="301">
        <v>0</v>
      </c>
      <c r="AG48" s="301">
        <v>0</v>
      </c>
      <c r="AH48" s="300"/>
      <c r="AI48" s="300"/>
    </row>
    <row r="49" spans="1:35" s="7" customFormat="1" ht="15">
      <c r="A49" s="288" t="s">
        <v>200</v>
      </c>
      <c r="B49" s="300"/>
      <c r="C49" s="300"/>
      <c r="D49" s="300"/>
      <c r="E49" s="300"/>
      <c r="F49" s="301">
        <v>0</v>
      </c>
      <c r="G49" s="301">
        <v>141000</v>
      </c>
      <c r="H49" s="301">
        <v>227000</v>
      </c>
      <c r="I49" s="301">
        <v>0</v>
      </c>
      <c r="J49" s="301">
        <v>0</v>
      </c>
      <c r="K49" s="301">
        <v>0</v>
      </c>
      <c r="L49" s="301">
        <v>0</v>
      </c>
      <c r="M49" s="301">
        <v>0</v>
      </c>
      <c r="N49" s="301">
        <v>0</v>
      </c>
      <c r="O49" s="301">
        <v>0</v>
      </c>
      <c r="P49" s="301">
        <v>0</v>
      </c>
      <c r="Q49" s="301">
        <v>0</v>
      </c>
      <c r="R49" s="301">
        <v>0</v>
      </c>
      <c r="S49" s="301">
        <v>0</v>
      </c>
      <c r="T49" s="301">
        <v>0</v>
      </c>
      <c r="U49" s="301">
        <v>0</v>
      </c>
      <c r="V49" s="301">
        <v>0</v>
      </c>
      <c r="W49" s="301">
        <v>0</v>
      </c>
      <c r="X49" s="301">
        <v>0</v>
      </c>
      <c r="Y49" s="301">
        <v>0</v>
      </c>
      <c r="Z49" s="301">
        <v>0</v>
      </c>
      <c r="AA49" s="301">
        <v>0</v>
      </c>
      <c r="AB49" s="301">
        <v>0</v>
      </c>
      <c r="AC49" s="301">
        <v>0</v>
      </c>
      <c r="AD49" s="301">
        <v>0</v>
      </c>
      <c r="AE49" s="301">
        <v>0</v>
      </c>
      <c r="AF49" s="301">
        <v>0</v>
      </c>
      <c r="AG49" s="301">
        <v>0</v>
      </c>
      <c r="AH49" s="300"/>
      <c r="AI49" s="300"/>
    </row>
    <row r="50" spans="1:35" s="7" customFormat="1" ht="15">
      <c r="A50" s="288" t="s">
        <v>650</v>
      </c>
      <c r="B50" s="300"/>
      <c r="C50" s="300"/>
      <c r="D50" s="300"/>
      <c r="E50" s="300"/>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0"/>
      <c r="AI50" s="300"/>
    </row>
    <row r="51" spans="1:35" s="7" customFormat="1" ht="15">
      <c r="A51" s="288" t="s">
        <v>153</v>
      </c>
      <c r="B51" s="300"/>
      <c r="C51" s="300"/>
      <c r="D51" s="300"/>
      <c r="E51" s="300"/>
      <c r="F51" s="301">
        <v>458342</v>
      </c>
      <c r="G51" s="301">
        <f>+G49</f>
        <v>141000</v>
      </c>
      <c r="H51" s="301">
        <f>+H49</f>
        <v>227000</v>
      </c>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0"/>
      <c r="AI51" s="300"/>
    </row>
    <row r="52" spans="1:35" ht="15">
      <c r="A52" s="288" t="s">
        <v>651</v>
      </c>
      <c r="B52" s="287"/>
      <c r="C52" s="287"/>
      <c r="D52" s="287"/>
      <c r="E52" s="287"/>
      <c r="F52" s="301">
        <f>+F51+F45</f>
        <v>478319.835876</v>
      </c>
      <c r="G52" s="301">
        <f>+G51+G45</f>
        <v>297943.65</v>
      </c>
      <c r="H52" s="301">
        <f>+H51+H45</f>
        <v>268581.1</v>
      </c>
      <c r="I52" s="301">
        <f>+I51+I45</f>
        <v>22870.6</v>
      </c>
      <c r="J52" s="301">
        <f>+J47+J45</f>
        <v>104961.39999999997</v>
      </c>
      <c r="K52" s="301">
        <f aca="true" t="shared" si="7" ref="K52:AG52">+K47+K45</f>
        <v>361933.9</v>
      </c>
      <c r="L52" s="301">
        <f t="shared" si="7"/>
        <v>372959.69999999995</v>
      </c>
      <c r="M52" s="301">
        <f t="shared" si="7"/>
        <v>387547.85</v>
      </c>
      <c r="N52" s="301">
        <f t="shared" si="7"/>
        <v>402402.5</v>
      </c>
      <c r="O52" s="301">
        <f t="shared" si="7"/>
        <v>415381.25</v>
      </c>
      <c r="P52" s="301">
        <f t="shared" si="7"/>
        <v>426801.25</v>
      </c>
      <c r="Q52" s="301">
        <f t="shared" si="7"/>
        <v>125731.91825000003</v>
      </c>
      <c r="R52" s="301">
        <f t="shared" si="7"/>
        <v>232849.38149999996</v>
      </c>
      <c r="S52" s="301">
        <f t="shared" si="7"/>
        <v>228686.42225000003</v>
      </c>
      <c r="T52" s="301">
        <f t="shared" si="7"/>
        <v>185934.14149999997</v>
      </c>
      <c r="U52" s="301">
        <f t="shared" si="7"/>
        <v>184952.28250000006</v>
      </c>
      <c r="V52" s="301">
        <f t="shared" si="7"/>
        <v>190005.36024999997</v>
      </c>
      <c r="W52" s="301">
        <f t="shared" si="7"/>
        <v>171844.18050000005</v>
      </c>
      <c r="X52" s="301">
        <f t="shared" si="7"/>
        <v>163763.34324999998</v>
      </c>
      <c r="Y52" s="301">
        <f t="shared" si="7"/>
        <v>166016.24650000004</v>
      </c>
      <c r="Z52" s="301">
        <f t="shared" si="7"/>
        <v>142400.08699999994</v>
      </c>
      <c r="AA52" s="301">
        <f t="shared" si="7"/>
        <v>63017.1145</v>
      </c>
      <c r="AB52" s="301">
        <f t="shared" si="7"/>
        <v>61720.88675</v>
      </c>
      <c r="AC52" s="301">
        <f t="shared" si="7"/>
        <v>55735.01874999999</v>
      </c>
      <c r="AD52" s="301">
        <f t="shared" si="7"/>
        <v>56376.94000000001</v>
      </c>
      <c r="AE52" s="301">
        <f t="shared" si="7"/>
        <v>57046.64725</v>
      </c>
      <c r="AF52" s="301">
        <f t="shared" si="7"/>
        <v>166138.59775000002</v>
      </c>
      <c r="AG52" s="301">
        <f t="shared" si="7"/>
        <v>489036.0925</v>
      </c>
      <c r="AH52" s="287"/>
      <c r="AI52" s="287"/>
    </row>
    <row r="53" spans="1:35" ht="15">
      <c r="A53" s="296" t="s">
        <v>653</v>
      </c>
      <c r="B53" s="297"/>
      <c r="C53" s="297"/>
      <c r="D53" s="297"/>
      <c r="E53" s="297"/>
      <c r="F53" s="305">
        <f>+F52-F40</f>
        <v>656569.835876</v>
      </c>
      <c r="G53" s="305">
        <f>+G52-G40</f>
        <v>487443.65</v>
      </c>
      <c r="H53" s="305">
        <f aca="true" t="shared" si="8" ref="H53:AG53">+H52-H40</f>
        <v>341081.1</v>
      </c>
      <c r="I53" s="305">
        <f>+I52-I40</f>
        <v>103870.6</v>
      </c>
      <c r="J53" s="305">
        <f t="shared" si="8"/>
        <v>154461.39999999997</v>
      </c>
      <c r="K53" s="305">
        <f t="shared" si="8"/>
        <v>361933.9</v>
      </c>
      <c r="L53" s="305">
        <f t="shared" si="8"/>
        <v>372959.69999999995</v>
      </c>
      <c r="M53" s="305">
        <f t="shared" si="8"/>
        <v>387547.85</v>
      </c>
      <c r="N53" s="305">
        <f t="shared" si="8"/>
        <v>402402.5</v>
      </c>
      <c r="O53" s="305">
        <f t="shared" si="8"/>
        <v>415381.25</v>
      </c>
      <c r="P53" s="305">
        <f t="shared" si="8"/>
        <v>426801.25</v>
      </c>
      <c r="Q53" s="305">
        <f t="shared" si="8"/>
        <v>125731.91825000003</v>
      </c>
      <c r="R53" s="305">
        <f t="shared" si="8"/>
        <v>232849.38149999996</v>
      </c>
      <c r="S53" s="305">
        <f t="shared" si="8"/>
        <v>228686.42225000003</v>
      </c>
      <c r="T53" s="305">
        <f t="shared" si="8"/>
        <v>185934.14149999997</v>
      </c>
      <c r="U53" s="305">
        <f t="shared" si="8"/>
        <v>184952.28250000006</v>
      </c>
      <c r="V53" s="305">
        <f t="shared" si="8"/>
        <v>190005.36024999997</v>
      </c>
      <c r="W53" s="305">
        <f t="shared" si="8"/>
        <v>171844.18050000005</v>
      </c>
      <c r="X53" s="305">
        <f t="shared" si="8"/>
        <v>163763.34324999998</v>
      </c>
      <c r="Y53" s="305">
        <f t="shared" si="8"/>
        <v>166016.24650000004</v>
      </c>
      <c r="Z53" s="305">
        <f t="shared" si="8"/>
        <v>142400.08699999994</v>
      </c>
      <c r="AA53" s="305">
        <f t="shared" si="8"/>
        <v>63017.1145</v>
      </c>
      <c r="AB53" s="305">
        <f t="shared" si="8"/>
        <v>61720.88675</v>
      </c>
      <c r="AC53" s="305">
        <f t="shared" si="8"/>
        <v>55735.01874999999</v>
      </c>
      <c r="AD53" s="305">
        <f t="shared" si="8"/>
        <v>56376.94000000001</v>
      </c>
      <c r="AE53" s="305">
        <f t="shared" si="8"/>
        <v>57046.64725</v>
      </c>
      <c r="AF53" s="305">
        <f t="shared" si="8"/>
        <v>166138.59775000002</v>
      </c>
      <c r="AG53" s="305">
        <f t="shared" si="8"/>
        <v>489036.0925</v>
      </c>
      <c r="AH53" s="297"/>
      <c r="AI53" s="297"/>
    </row>
    <row r="54" spans="1:35" ht="15">
      <c r="A54" s="296"/>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row>
    <row r="55" spans="1:35" ht="15">
      <c r="A55" s="296" t="s">
        <v>198</v>
      </c>
      <c r="B55" s="297"/>
      <c r="C55" s="297"/>
      <c r="D55" s="297"/>
      <c r="E55" s="297"/>
      <c r="F55" s="297"/>
      <c r="G55" s="297"/>
      <c r="H55" s="298">
        <v>2020</v>
      </c>
      <c r="I55" s="298">
        <v>2021</v>
      </c>
      <c r="J55" s="298">
        <v>2022</v>
      </c>
      <c r="K55" s="298">
        <v>2023</v>
      </c>
      <c r="L55" s="298">
        <v>2024</v>
      </c>
      <c r="M55" s="298">
        <v>2025</v>
      </c>
      <c r="N55" s="298">
        <v>2026</v>
      </c>
      <c r="O55" s="298">
        <v>2027</v>
      </c>
      <c r="P55" s="298">
        <v>2028</v>
      </c>
      <c r="Q55" s="298">
        <v>2029</v>
      </c>
      <c r="R55" s="298">
        <v>2030</v>
      </c>
      <c r="S55" s="298">
        <v>2031</v>
      </c>
      <c r="T55" s="298">
        <v>2032</v>
      </c>
      <c r="U55" s="298">
        <v>2033</v>
      </c>
      <c r="V55" s="298">
        <v>2034</v>
      </c>
      <c r="W55" s="298">
        <v>2035</v>
      </c>
      <c r="X55" s="298">
        <v>2036</v>
      </c>
      <c r="Y55" s="298">
        <v>2037</v>
      </c>
      <c r="Z55" s="298">
        <v>2038</v>
      </c>
      <c r="AA55" s="298">
        <v>2039</v>
      </c>
      <c r="AB55" s="298">
        <v>2040</v>
      </c>
      <c r="AC55" s="298">
        <v>2041</v>
      </c>
      <c r="AD55" s="298">
        <v>2042</v>
      </c>
      <c r="AE55" s="298">
        <v>2043</v>
      </c>
      <c r="AF55" s="298">
        <v>2044</v>
      </c>
      <c r="AG55" s="298">
        <v>2045</v>
      </c>
      <c r="AH55" s="298">
        <v>2046</v>
      </c>
      <c r="AI55" s="298" t="s">
        <v>153</v>
      </c>
    </row>
    <row r="56" spans="1:35" ht="15">
      <c r="A56" s="296" t="s">
        <v>199</v>
      </c>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row>
    <row r="57" spans="1:35" ht="15">
      <c r="A57" s="296" t="s">
        <v>200</v>
      </c>
      <c r="B57" s="297"/>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row>
    <row r="58" spans="1:35" ht="15">
      <c r="A58" s="296" t="s">
        <v>411</v>
      </c>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row>
    <row r="59" spans="1:35" ht="15">
      <c r="A59" s="296" t="s">
        <v>412</v>
      </c>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row>
    <row r="60" spans="1:35" ht="15">
      <c r="A60" s="296" t="s">
        <v>203</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row>
    <row r="61" spans="1:35" ht="15">
      <c r="A61" s="296" t="s">
        <v>201</v>
      </c>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row>
    <row r="62" spans="1:35" ht="15">
      <c r="A62" s="296" t="s">
        <v>202</v>
      </c>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row>
    <row r="63" spans="1:35" ht="15">
      <c r="A63" s="296" t="s">
        <v>153</v>
      </c>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row>
    <row r="64" ht="15">
      <c r="A64" s="151"/>
    </row>
    <row r="65" spans="1:30" ht="15">
      <c r="A65" s="151"/>
      <c r="H65" s="15">
        <f>+H52+H16-H51</f>
        <v>277555.27599999995</v>
      </c>
      <c r="I65" s="15">
        <f aca="true" t="shared" si="9" ref="I65:AD65">+I52+I16-I47</f>
        <v>183815.18999999997</v>
      </c>
      <c r="J65" s="15">
        <f t="shared" si="9"/>
        <v>266463.1919999999</v>
      </c>
      <c r="K65" s="15">
        <f t="shared" si="9"/>
        <v>512251.89300000004</v>
      </c>
      <c r="L65" s="15">
        <f t="shared" si="9"/>
        <v>509970.61199999996</v>
      </c>
      <c r="M65" s="15">
        <f t="shared" si="9"/>
        <v>520133.55799999996</v>
      </c>
      <c r="N65" s="15">
        <f t="shared" si="9"/>
        <v>530891.858</v>
      </c>
      <c r="O65" s="15">
        <f t="shared" si="9"/>
        <v>532521.62</v>
      </c>
      <c r="P65" s="15">
        <f t="shared" si="9"/>
        <v>532749.777</v>
      </c>
      <c r="Q65" s="15">
        <f t="shared" si="9"/>
        <v>219347.91725</v>
      </c>
      <c r="R65" s="15">
        <f t="shared" si="9"/>
        <v>320570.41149999993</v>
      </c>
      <c r="S65" s="15">
        <f t="shared" si="9"/>
        <v>305890.15225000004</v>
      </c>
      <c r="T65" s="15">
        <f t="shared" si="9"/>
        <v>252579.35349999997</v>
      </c>
      <c r="U65" s="15">
        <f t="shared" si="9"/>
        <v>243109.38250000007</v>
      </c>
      <c r="V65" s="15">
        <f t="shared" si="9"/>
        <v>239730.56224999996</v>
      </c>
      <c r="W65" s="15">
        <f t="shared" si="9"/>
        <v>212959.44550000003</v>
      </c>
      <c r="X65" s="15">
        <f t="shared" si="9"/>
        <v>197405.50224999996</v>
      </c>
      <c r="Y65" s="15">
        <f t="shared" si="9"/>
        <v>192437.55850000004</v>
      </c>
      <c r="Z65" s="15">
        <f t="shared" si="9"/>
        <v>161482.40599999996</v>
      </c>
      <c r="AA65" s="15">
        <f t="shared" si="9"/>
        <v>75862.8725</v>
      </c>
      <c r="AB65" s="15">
        <f t="shared" si="9"/>
        <v>72142.53775</v>
      </c>
      <c r="AC65" s="15">
        <f t="shared" si="9"/>
        <v>63785.55874999999</v>
      </c>
      <c r="AD65" s="15">
        <f t="shared" si="9"/>
        <v>62348.44200000001</v>
      </c>
    </row>
    <row r="66" ht="15">
      <c r="A66" s="151"/>
    </row>
    <row r="67" ht="15">
      <c r="A67" s="151"/>
    </row>
    <row r="68" ht="15">
      <c r="A68" s="151"/>
    </row>
    <row r="69" ht="15">
      <c r="A69" s="151" t="s">
        <v>703</v>
      </c>
    </row>
    <row r="70" spans="1:35" ht="15">
      <c r="A70" s="288" t="s">
        <v>198</v>
      </c>
      <c r="B70" s="287"/>
      <c r="C70" s="287"/>
      <c r="D70" s="287"/>
      <c r="E70" s="287"/>
      <c r="F70" s="289">
        <v>2018</v>
      </c>
      <c r="G70" s="289">
        <v>2019</v>
      </c>
      <c r="H70" s="289">
        <v>2020</v>
      </c>
      <c r="I70" s="289">
        <v>2021</v>
      </c>
      <c r="J70" s="289">
        <v>2022</v>
      </c>
      <c r="K70" s="289">
        <v>2023</v>
      </c>
      <c r="L70" s="289">
        <v>2024</v>
      </c>
      <c r="M70" s="289">
        <v>2025</v>
      </c>
      <c r="N70" s="289">
        <v>2026</v>
      </c>
      <c r="O70" s="289">
        <v>2027</v>
      </c>
      <c r="P70" s="289">
        <v>2028</v>
      </c>
      <c r="Q70" s="289">
        <v>2029</v>
      </c>
      <c r="R70" s="289">
        <v>2030</v>
      </c>
      <c r="S70" s="289">
        <v>2031</v>
      </c>
      <c r="T70" s="289">
        <v>2032</v>
      </c>
      <c r="U70" s="289">
        <v>2033</v>
      </c>
      <c r="V70" s="289">
        <v>2034</v>
      </c>
      <c r="W70" s="289">
        <v>2035</v>
      </c>
      <c r="X70" s="289">
        <v>2036</v>
      </c>
      <c r="Y70" s="289">
        <v>2037</v>
      </c>
      <c r="Z70" s="289">
        <v>2038</v>
      </c>
      <c r="AA70" s="289">
        <v>2039</v>
      </c>
      <c r="AB70" s="289">
        <v>2040</v>
      </c>
      <c r="AC70" s="289">
        <v>2041</v>
      </c>
      <c r="AD70" s="289">
        <v>2042</v>
      </c>
      <c r="AE70" s="289">
        <v>2043</v>
      </c>
      <c r="AF70" s="289">
        <v>2044</v>
      </c>
      <c r="AG70" s="289">
        <v>2045</v>
      </c>
      <c r="AH70" s="289">
        <v>2046</v>
      </c>
      <c r="AI70" s="289" t="s">
        <v>153</v>
      </c>
    </row>
    <row r="71" spans="1:34" s="7" customFormat="1" ht="14.25" customHeight="1">
      <c r="A71" s="288" t="s">
        <v>199</v>
      </c>
      <c r="F71" s="7">
        <v>0</v>
      </c>
      <c r="G71" s="7">
        <v>1280</v>
      </c>
      <c r="H71" s="7">
        <v>1635</v>
      </c>
      <c r="I71" s="7">
        <v>0</v>
      </c>
      <c r="J71" s="7">
        <v>0</v>
      </c>
      <c r="K71" s="7">
        <v>0</v>
      </c>
      <c r="L71" s="7">
        <v>0</v>
      </c>
      <c r="M71" s="7">
        <v>236965</v>
      </c>
      <c r="N71" s="7">
        <v>211450</v>
      </c>
      <c r="O71" s="7">
        <v>178905</v>
      </c>
      <c r="P71" s="7">
        <v>165345</v>
      </c>
      <c r="Q71" s="7">
        <v>0</v>
      </c>
      <c r="R71" s="7">
        <v>1188.433</v>
      </c>
      <c r="S71" s="7">
        <v>1188.433</v>
      </c>
      <c r="T71" s="7">
        <v>1188.433</v>
      </c>
      <c r="U71" s="7">
        <v>1188.433</v>
      </c>
      <c r="V71" s="7">
        <v>1188.433</v>
      </c>
      <c r="W71" s="7">
        <v>1188.433</v>
      </c>
      <c r="X71" s="7">
        <v>1188.433</v>
      </c>
      <c r="Y71" s="7">
        <v>1188.433</v>
      </c>
      <c r="Z71" s="7">
        <v>1188.433</v>
      </c>
      <c r="AA71" s="7">
        <v>1188.433</v>
      </c>
      <c r="AB71" s="7">
        <v>1188.433</v>
      </c>
      <c r="AC71" s="7">
        <v>1188.433</v>
      </c>
      <c r="AD71" s="7">
        <v>1188.433</v>
      </c>
      <c r="AE71" s="7">
        <v>1188.433</v>
      </c>
      <c r="AF71" s="7">
        <v>1188.433</v>
      </c>
      <c r="AG71" s="7">
        <v>0</v>
      </c>
      <c r="AH71" s="7">
        <v>0</v>
      </c>
    </row>
    <row r="72" spans="1:34" s="7" customFormat="1" ht="15">
      <c r="A72" s="288" t="s">
        <v>599</v>
      </c>
      <c r="F72" s="7">
        <v>180145</v>
      </c>
      <c r="G72" s="7">
        <v>415705</v>
      </c>
      <c r="H72" s="7">
        <v>107855</v>
      </c>
      <c r="I72" s="7">
        <v>101825</v>
      </c>
      <c r="J72" s="7">
        <v>80415</v>
      </c>
      <c r="K72" s="7">
        <v>284760</v>
      </c>
      <c r="L72" s="7">
        <v>300595</v>
      </c>
      <c r="M72" s="7">
        <v>16800</v>
      </c>
      <c r="N72" s="7">
        <v>19875</v>
      </c>
      <c r="O72" s="7">
        <v>16250</v>
      </c>
      <c r="P72" s="7">
        <v>59425</v>
      </c>
      <c r="Q72" s="7">
        <v>84555</v>
      </c>
      <c r="R72" s="7">
        <v>222676.127</v>
      </c>
      <c r="S72" s="7">
        <v>227862.961</v>
      </c>
      <c r="T72" s="7">
        <v>180100.622</v>
      </c>
      <c r="U72" s="7">
        <v>179018.516</v>
      </c>
      <c r="V72" s="7">
        <v>192567.39800000002</v>
      </c>
      <c r="W72" s="7">
        <v>172133.063</v>
      </c>
      <c r="X72" s="7">
        <v>160791.349</v>
      </c>
      <c r="Y72" s="7">
        <v>162493.142</v>
      </c>
      <c r="Z72" s="7">
        <v>166399.376</v>
      </c>
      <c r="AA72" s="7">
        <v>60216.036</v>
      </c>
      <c r="AB72" s="7">
        <v>61234.166</v>
      </c>
      <c r="AC72" s="7">
        <v>52994.865</v>
      </c>
      <c r="AD72" s="7">
        <v>53769.296</v>
      </c>
      <c r="AE72" s="7">
        <v>54013.688</v>
      </c>
      <c r="AF72" s="7">
        <v>55959.341</v>
      </c>
      <c r="AG72" s="7">
        <v>489036.73</v>
      </c>
      <c r="AH72" s="7">
        <v>489034.18</v>
      </c>
    </row>
    <row r="73" s="7" customFormat="1" ht="15">
      <c r="A73" s="288" t="s">
        <v>411</v>
      </c>
    </row>
    <row r="74" s="7" customFormat="1" ht="15">
      <c r="A74" s="288" t="s">
        <v>412</v>
      </c>
    </row>
    <row r="75" spans="1:34" s="7" customFormat="1" ht="15">
      <c r="A75" s="288" t="s">
        <v>203</v>
      </c>
      <c r="F75" s="7">
        <v>11855.883501</v>
      </c>
      <c r="G75" s="7">
        <v>1350</v>
      </c>
      <c r="H75" s="7">
        <v>740</v>
      </c>
      <c r="I75" s="7">
        <v>2380</v>
      </c>
      <c r="J75" s="7">
        <v>0</v>
      </c>
      <c r="K75" s="7">
        <v>68275</v>
      </c>
      <c r="L75" s="7">
        <v>63290</v>
      </c>
      <c r="M75" s="7">
        <v>120440</v>
      </c>
      <c r="N75" s="7">
        <v>175390</v>
      </c>
      <c r="O75" s="7">
        <v>173690</v>
      </c>
      <c r="P75" s="7">
        <v>308500</v>
      </c>
      <c r="Q75" s="7">
        <v>0</v>
      </c>
      <c r="R75" s="7">
        <v>1358.113</v>
      </c>
      <c r="S75" s="7">
        <v>1358.113</v>
      </c>
      <c r="T75" s="7">
        <v>1358.113</v>
      </c>
      <c r="U75" s="7">
        <v>1358.113</v>
      </c>
      <c r="V75" s="7">
        <v>1358.113</v>
      </c>
      <c r="W75" s="7">
        <v>1358.113</v>
      </c>
      <c r="X75" s="7">
        <v>1358.113</v>
      </c>
      <c r="Y75" s="7">
        <v>1358.113</v>
      </c>
      <c r="Z75" s="7">
        <v>1358.113</v>
      </c>
      <c r="AA75" s="7">
        <v>1358.113</v>
      </c>
      <c r="AB75" s="7">
        <v>1358.113</v>
      </c>
      <c r="AC75" s="7">
        <v>1358.113</v>
      </c>
      <c r="AD75" s="7">
        <v>1358.113</v>
      </c>
      <c r="AE75" s="7">
        <v>1358.113</v>
      </c>
      <c r="AF75" s="7">
        <v>1358.113</v>
      </c>
      <c r="AG75" s="7">
        <v>0</v>
      </c>
      <c r="AH75" s="7">
        <v>0</v>
      </c>
    </row>
    <row r="76" spans="1:34" s="7" customFormat="1" ht="15">
      <c r="A76" s="288" t="s">
        <v>201</v>
      </c>
      <c r="F76" s="7">
        <v>1435</v>
      </c>
      <c r="G76" s="7">
        <v>1460</v>
      </c>
      <c r="H76" s="7">
        <v>1490</v>
      </c>
      <c r="I76" s="7">
        <v>1535</v>
      </c>
      <c r="J76" s="7">
        <v>1605</v>
      </c>
      <c r="K76" s="7">
        <v>1685</v>
      </c>
      <c r="L76" s="7">
        <v>1765</v>
      </c>
      <c r="M76" s="7">
        <v>1855</v>
      </c>
      <c r="N76" s="7">
        <v>0</v>
      </c>
      <c r="O76" s="7">
        <v>0</v>
      </c>
      <c r="P76" s="7">
        <v>0</v>
      </c>
      <c r="Q76" s="7">
        <v>0</v>
      </c>
      <c r="R76" s="7">
        <v>0</v>
      </c>
      <c r="S76" s="7">
        <v>0</v>
      </c>
      <c r="T76" s="7">
        <v>0</v>
      </c>
      <c r="U76" s="7">
        <v>0</v>
      </c>
      <c r="V76" s="7">
        <v>0</v>
      </c>
      <c r="W76" s="7">
        <v>0</v>
      </c>
      <c r="X76" s="7">
        <v>0</v>
      </c>
      <c r="Y76" s="7">
        <v>0</v>
      </c>
      <c r="Z76" s="7">
        <v>0</v>
      </c>
      <c r="AA76" s="7">
        <v>0</v>
      </c>
      <c r="AB76" s="7">
        <v>0</v>
      </c>
      <c r="AC76" s="7">
        <v>0</v>
      </c>
      <c r="AD76" s="7">
        <v>0</v>
      </c>
      <c r="AE76" s="7">
        <v>0</v>
      </c>
      <c r="AF76" s="7">
        <v>0</v>
      </c>
      <c r="AG76" s="7">
        <v>0</v>
      </c>
      <c r="AH76" s="7">
        <v>0</v>
      </c>
    </row>
    <row r="77" spans="1:34" s="7" customFormat="1" ht="15">
      <c r="A77" s="288" t="s">
        <v>202</v>
      </c>
      <c r="F77" s="7">
        <v>3310</v>
      </c>
      <c r="G77" s="7">
        <v>3475</v>
      </c>
      <c r="H77" s="7">
        <v>3650</v>
      </c>
      <c r="I77" s="7">
        <v>3830</v>
      </c>
      <c r="J77" s="7">
        <v>4020</v>
      </c>
      <c r="K77" s="7">
        <v>4220</v>
      </c>
      <c r="L77" s="7">
        <v>4435</v>
      </c>
      <c r="M77" s="7">
        <v>4655</v>
      </c>
      <c r="N77" s="7">
        <v>4900</v>
      </c>
      <c r="O77" s="7">
        <v>5155</v>
      </c>
      <c r="P77" s="7">
        <v>5430</v>
      </c>
      <c r="Q77" s="7">
        <v>5710</v>
      </c>
      <c r="R77" s="7">
        <v>6010</v>
      </c>
      <c r="S77" s="7">
        <v>6330</v>
      </c>
      <c r="T77" s="7">
        <v>13775</v>
      </c>
      <c r="U77" s="7">
        <v>0</v>
      </c>
      <c r="V77" s="7">
        <v>0</v>
      </c>
      <c r="W77" s="7">
        <v>0</v>
      </c>
      <c r="X77" s="7">
        <v>0</v>
      </c>
      <c r="Y77" s="7">
        <v>0</v>
      </c>
      <c r="Z77" s="7">
        <v>0</v>
      </c>
      <c r="AA77" s="7">
        <v>0</v>
      </c>
      <c r="AB77" s="7">
        <v>0</v>
      </c>
      <c r="AC77" s="7">
        <v>0</v>
      </c>
      <c r="AD77" s="7">
        <v>0</v>
      </c>
      <c r="AE77" s="7">
        <v>0</v>
      </c>
      <c r="AF77" s="7">
        <v>0</v>
      </c>
      <c r="AG77" s="7">
        <v>0</v>
      </c>
      <c r="AH77" s="7">
        <v>0</v>
      </c>
    </row>
    <row r="78" spans="1:34" s="7" customFormat="1" ht="15">
      <c r="A78" s="288" t="s">
        <v>704</v>
      </c>
      <c r="F78" s="7">
        <v>0</v>
      </c>
      <c r="G78" s="7">
        <v>141000</v>
      </c>
      <c r="H78" s="7">
        <v>227000</v>
      </c>
      <c r="I78" s="7">
        <v>0</v>
      </c>
      <c r="J78" s="7">
        <v>0</v>
      </c>
      <c r="K78" s="7">
        <v>0</v>
      </c>
      <c r="L78" s="7">
        <v>0</v>
      </c>
      <c r="M78" s="7">
        <v>0</v>
      </c>
      <c r="N78" s="7">
        <v>0</v>
      </c>
      <c r="O78" s="7">
        <v>0</v>
      </c>
      <c r="P78" s="7">
        <v>0</v>
      </c>
      <c r="Q78" s="7">
        <v>0</v>
      </c>
      <c r="R78" s="7">
        <v>0</v>
      </c>
      <c r="S78" s="7">
        <v>0</v>
      </c>
      <c r="T78" s="7">
        <v>0</v>
      </c>
      <c r="U78" s="7">
        <v>0</v>
      </c>
      <c r="V78" s="7">
        <v>0</v>
      </c>
      <c r="W78" s="7">
        <v>0</v>
      </c>
      <c r="X78" s="7">
        <v>0</v>
      </c>
      <c r="Y78" s="7">
        <v>0</v>
      </c>
      <c r="Z78" s="7">
        <v>0</v>
      </c>
      <c r="AA78" s="7">
        <v>0</v>
      </c>
      <c r="AB78" s="7">
        <v>0</v>
      </c>
      <c r="AC78" s="7">
        <v>0</v>
      </c>
      <c r="AD78" s="7">
        <v>0</v>
      </c>
      <c r="AE78" s="7">
        <v>0</v>
      </c>
      <c r="AF78" s="7">
        <v>0</v>
      </c>
      <c r="AG78" s="7">
        <v>0</v>
      </c>
      <c r="AH78" s="7">
        <v>0</v>
      </c>
    </row>
    <row r="79" spans="1:34" s="7" customFormat="1" ht="15">
      <c r="A79" s="288" t="s">
        <v>153</v>
      </c>
      <c r="F79" s="7">
        <f>SUM(F71:F78)</f>
        <v>196745.883501</v>
      </c>
      <c r="G79" s="7">
        <f aca="true" t="shared" si="10" ref="G79:AH79">SUM(G71:G78)</f>
        <v>564270</v>
      </c>
      <c r="H79" s="7">
        <f t="shared" si="10"/>
        <v>342370</v>
      </c>
      <c r="I79" s="7">
        <f t="shared" si="10"/>
        <v>109570</v>
      </c>
      <c r="J79" s="7">
        <f t="shared" si="10"/>
        <v>86040</v>
      </c>
      <c r="K79" s="7">
        <f t="shared" si="10"/>
        <v>358940</v>
      </c>
      <c r="L79" s="7">
        <f t="shared" si="10"/>
        <v>370085</v>
      </c>
      <c r="M79" s="7">
        <f t="shared" si="10"/>
        <v>380715</v>
      </c>
      <c r="N79" s="7">
        <f t="shared" si="10"/>
        <v>411615</v>
      </c>
      <c r="O79" s="7">
        <f t="shared" si="10"/>
        <v>374000</v>
      </c>
      <c r="P79" s="7">
        <f t="shared" si="10"/>
        <v>538700</v>
      </c>
      <c r="Q79" s="7">
        <f t="shared" si="10"/>
        <v>90265</v>
      </c>
      <c r="R79" s="7">
        <f t="shared" si="10"/>
        <v>231232.673</v>
      </c>
      <c r="S79" s="7">
        <f t="shared" si="10"/>
        <v>236739.507</v>
      </c>
      <c r="T79" s="7">
        <f t="shared" si="10"/>
        <v>196422.168</v>
      </c>
      <c r="U79" s="7">
        <f t="shared" si="10"/>
        <v>181565.062</v>
      </c>
      <c r="V79" s="7">
        <f t="shared" si="10"/>
        <v>195113.94400000002</v>
      </c>
      <c r="W79" s="7">
        <f t="shared" si="10"/>
        <v>174679.609</v>
      </c>
      <c r="X79" s="7">
        <f t="shared" si="10"/>
        <v>163337.895</v>
      </c>
      <c r="Y79" s="7">
        <f t="shared" si="10"/>
        <v>165039.688</v>
      </c>
      <c r="Z79" s="7">
        <f t="shared" si="10"/>
        <v>168945.922</v>
      </c>
      <c r="AA79" s="7">
        <f t="shared" si="10"/>
        <v>62762.581999999995</v>
      </c>
      <c r="AB79" s="7">
        <f t="shared" si="10"/>
        <v>63780.71199999999</v>
      </c>
      <c r="AC79" s="7">
        <f t="shared" si="10"/>
        <v>55541.41099999999</v>
      </c>
      <c r="AD79" s="7">
        <f t="shared" si="10"/>
        <v>56315.842</v>
      </c>
      <c r="AE79" s="7">
        <f t="shared" si="10"/>
        <v>56560.234</v>
      </c>
      <c r="AF79" s="7">
        <f t="shared" si="10"/>
        <v>58505.886999999995</v>
      </c>
      <c r="AG79" s="7">
        <f t="shared" si="10"/>
        <v>489036.73</v>
      </c>
      <c r="AH79" s="7">
        <f t="shared" si="10"/>
        <v>489034.18</v>
      </c>
    </row>
    <row r="80" ht="15">
      <c r="A80" s="288"/>
    </row>
    <row r="81" ht="15">
      <c r="A81" s="288"/>
    </row>
    <row r="82" ht="15">
      <c r="A82" s="296"/>
    </row>
    <row r="84" spans="8:34" ht="12.75">
      <c r="H84" s="15">
        <v>246632.3223645353</v>
      </c>
      <c r="I84" s="15">
        <v>236677.46751369155</v>
      </c>
      <c r="J84" s="15">
        <v>224413.71257060824</v>
      </c>
      <c r="K84" s="15">
        <v>211400.38662309994</v>
      </c>
      <c r="L84" s="15">
        <v>197927.69239516227</v>
      </c>
      <c r="M84" s="15">
        <v>184443.99277312082</v>
      </c>
      <c r="N84" s="15">
        <v>168387.16212404598</v>
      </c>
      <c r="O84" s="15">
        <v>151324.5713967867</v>
      </c>
      <c r="P84" s="15">
        <v>134561.34699552838</v>
      </c>
      <c r="Q84" s="15">
        <v>117639.93400000001</v>
      </c>
      <c r="R84" s="15">
        <v>116973.68800000001</v>
      </c>
      <c r="S84" s="15">
        <v>112028.57400000002</v>
      </c>
      <c r="T84" s="15">
        <v>106943.532</v>
      </c>
      <c r="U84" s="15">
        <v>102384.904</v>
      </c>
      <c r="V84" s="15">
        <v>96537.91</v>
      </c>
      <c r="W84" s="15">
        <v>90055.17800000001</v>
      </c>
      <c r="X84" s="15">
        <v>84017.055</v>
      </c>
      <c r="Y84" s="15">
        <v>78143.40000000001</v>
      </c>
      <c r="Z84" s="15">
        <v>71348.301</v>
      </c>
      <c r="AA84" s="15">
        <v>63257.74699999999</v>
      </c>
      <c r="AB84" s="15">
        <v>54622.077000000005</v>
      </c>
      <c r="AC84" s="15">
        <v>44990.547999999995</v>
      </c>
      <c r="AD84" s="15">
        <v>34399.37</v>
      </c>
      <c r="AE84" s="15">
        <v>22653.244</v>
      </c>
      <c r="AF84" s="15">
        <v>9968.11</v>
      </c>
      <c r="AG84" s="15">
        <v>0</v>
      </c>
      <c r="AH84" s="15">
        <v>0</v>
      </c>
    </row>
    <row r="85" spans="1:35" ht="12.75">
      <c r="A85" s="358" t="s">
        <v>731</v>
      </c>
      <c r="H85" s="15">
        <v>0</v>
      </c>
      <c r="I85" s="15">
        <v>0</v>
      </c>
      <c r="J85" s="15">
        <v>0</v>
      </c>
      <c r="K85" s="15">
        <v>0</v>
      </c>
      <c r="L85" s="15">
        <v>0</v>
      </c>
      <c r="M85" s="15">
        <v>0</v>
      </c>
      <c r="N85" s="15">
        <v>0</v>
      </c>
      <c r="O85" s="15">
        <v>0</v>
      </c>
      <c r="P85" s="15">
        <v>0</v>
      </c>
      <c r="Q85" s="15">
        <v>0</v>
      </c>
      <c r="R85" s="15">
        <v>0</v>
      </c>
      <c r="S85" s="15">
        <v>0</v>
      </c>
      <c r="T85" s="15">
        <v>0</v>
      </c>
      <c r="U85" s="15">
        <v>0</v>
      </c>
      <c r="V85" s="15">
        <v>0</v>
      </c>
      <c r="W85" s="15">
        <v>0</v>
      </c>
      <c r="X85" s="15">
        <v>0</v>
      </c>
      <c r="Y85" s="15">
        <v>0</v>
      </c>
      <c r="Z85" s="15">
        <v>0</v>
      </c>
      <c r="AA85" s="15">
        <v>0</v>
      </c>
      <c r="AB85" s="15">
        <v>0</v>
      </c>
      <c r="AC85" s="15">
        <v>0</v>
      </c>
      <c r="AD85" s="15">
        <v>0</v>
      </c>
      <c r="AE85" s="15">
        <v>0</v>
      </c>
      <c r="AF85" s="15">
        <v>0</v>
      </c>
      <c r="AG85" s="15">
        <v>0</v>
      </c>
      <c r="AH85" s="15">
        <v>-489035.1625</v>
      </c>
      <c r="AI85" s="15">
        <v>-489037.305</v>
      </c>
    </row>
    <row r="90" ht="12.75">
      <c r="A90" s="38" t="s">
        <v>732</v>
      </c>
    </row>
    <row r="92" spans="7:18" ht="12.75">
      <c r="G92">
        <v>2019</v>
      </c>
      <c r="H92">
        <v>2020</v>
      </c>
      <c r="I92">
        <v>2021</v>
      </c>
      <c r="J92">
        <v>2022</v>
      </c>
      <c r="K92">
        <v>2023</v>
      </c>
      <c r="L92">
        <v>2024</v>
      </c>
      <c r="M92">
        <v>2025</v>
      </c>
      <c r="N92">
        <v>2026</v>
      </c>
      <c r="O92">
        <v>2027</v>
      </c>
      <c r="P92">
        <v>2028</v>
      </c>
      <c r="Q92">
        <v>2029</v>
      </c>
      <c r="R92">
        <v>2030</v>
      </c>
    </row>
    <row r="93" spans="1:18" ht="12.75">
      <c r="A93" s="38" t="s">
        <v>712</v>
      </c>
      <c r="G93" s="7">
        <v>189500000</v>
      </c>
      <c r="H93" s="7">
        <v>72500000</v>
      </c>
      <c r="I93" s="7">
        <v>81000000</v>
      </c>
      <c r="J93" s="7">
        <v>49500000</v>
      </c>
      <c r="K93" s="7">
        <v>0</v>
      </c>
      <c r="L93" s="7">
        <v>0</v>
      </c>
      <c r="M93" s="7">
        <v>0</v>
      </c>
      <c r="N93" s="7">
        <v>0</v>
      </c>
      <c r="O93" s="7">
        <v>0</v>
      </c>
      <c r="P93" s="7">
        <v>0</v>
      </c>
      <c r="Q93" s="7">
        <v>0</v>
      </c>
      <c r="R93" s="7">
        <v>0</v>
      </c>
    </row>
    <row r="94" spans="1:18" ht="12.75">
      <c r="A94" t="s">
        <v>713</v>
      </c>
      <c r="G94" s="7">
        <v>0</v>
      </c>
      <c r="H94" s="7">
        <v>0</v>
      </c>
      <c r="I94" s="7">
        <v>69110000</v>
      </c>
      <c r="J94" s="7">
        <v>61705000</v>
      </c>
      <c r="K94" s="7">
        <v>57345000</v>
      </c>
      <c r="L94" s="7">
        <v>53985000</v>
      </c>
      <c r="M94" s="7">
        <v>41670000</v>
      </c>
      <c r="N94" s="7">
        <v>26895000</v>
      </c>
      <c r="O94" s="7">
        <v>18400000</v>
      </c>
      <c r="P94" s="7">
        <v>9085000</v>
      </c>
      <c r="Q94" s="7">
        <v>0</v>
      </c>
      <c r="R94" s="7">
        <v>0</v>
      </c>
    </row>
    <row r="95" spans="1:18" ht="25.5">
      <c r="A95" s="350" t="s">
        <v>714</v>
      </c>
      <c r="G95" s="7">
        <v>0</v>
      </c>
      <c r="H95" s="7">
        <v>0</v>
      </c>
      <c r="I95" s="7">
        <v>15885000</v>
      </c>
      <c r="J95" s="7">
        <v>16510000</v>
      </c>
      <c r="K95" s="7">
        <v>16865000</v>
      </c>
      <c r="L95" s="7">
        <v>17250000</v>
      </c>
      <c r="M95" s="7">
        <v>0</v>
      </c>
      <c r="N95" s="7">
        <v>0</v>
      </c>
      <c r="O95" s="7">
        <v>0</v>
      </c>
      <c r="P95" s="7">
        <v>0</v>
      </c>
      <c r="Q95" s="7">
        <v>0</v>
      </c>
      <c r="R95" s="7">
        <v>0</v>
      </c>
    </row>
    <row r="96" spans="1:18" ht="12.75">
      <c r="A96" t="s">
        <v>153</v>
      </c>
      <c r="G96" s="15">
        <f>SUM(G93:G95)</f>
        <v>189500000</v>
      </c>
      <c r="H96" s="15">
        <f>SUM(H93:H95)</f>
        <v>72500000</v>
      </c>
      <c r="I96" s="15">
        <f aca="true" t="shared" si="11" ref="I96:R96">SUM(I93:I95)</f>
        <v>165995000</v>
      </c>
      <c r="J96" s="15">
        <f t="shared" si="11"/>
        <v>127715000</v>
      </c>
      <c r="K96" s="15">
        <f t="shared" si="11"/>
        <v>74210000</v>
      </c>
      <c r="L96" s="15">
        <f t="shared" si="11"/>
        <v>71235000</v>
      </c>
      <c r="M96" s="15">
        <f t="shared" si="11"/>
        <v>41670000</v>
      </c>
      <c r="N96" s="15">
        <f t="shared" si="11"/>
        <v>26895000</v>
      </c>
      <c r="O96" s="15">
        <f t="shared" si="11"/>
        <v>18400000</v>
      </c>
      <c r="P96" s="15">
        <f t="shared" si="11"/>
        <v>9085000</v>
      </c>
      <c r="Q96" s="15">
        <f t="shared" si="11"/>
        <v>0</v>
      </c>
      <c r="R96" s="15">
        <f t="shared" si="11"/>
        <v>0</v>
      </c>
    </row>
    <row r="99" spans="1:10" ht="12.75">
      <c r="A99" s="38" t="s">
        <v>716</v>
      </c>
      <c r="G99" s="7">
        <v>230000000</v>
      </c>
      <c r="H99" s="7">
        <v>68000000</v>
      </c>
      <c r="I99" s="7">
        <v>86000000</v>
      </c>
      <c r="J99" s="7">
        <v>66000000</v>
      </c>
    </row>
    <row r="107" spans="8:9" ht="12.75">
      <c r="H107" s="15">
        <f>-H93</f>
        <v>-72500000</v>
      </c>
      <c r="I107">
        <f>+H107/1000</f>
        <v>-72500</v>
      </c>
    </row>
    <row r="108" spans="8:9" ht="12.75">
      <c r="H108" s="15">
        <f>-I93</f>
        <v>-81000000</v>
      </c>
      <c r="I108">
        <f aca="true" t="shared" si="12" ref="I108:I109">+H108/1000</f>
        <v>-81000</v>
      </c>
    </row>
    <row r="109" spans="8:13" ht="12.75">
      <c r="H109" s="15">
        <f>-J93</f>
        <v>-49500000</v>
      </c>
      <c r="I109">
        <f t="shared" si="12"/>
        <v>-49500</v>
      </c>
      <c r="M109" s="7"/>
    </row>
    <row r="110" ht="12.75">
      <c r="M110" s="7"/>
    </row>
    <row r="111" ht="12.75">
      <c r="M111" s="7"/>
    </row>
    <row r="112" ht="12.75">
      <c r="M112" s="7"/>
    </row>
    <row r="113" ht="12.75">
      <c r="M113" s="7"/>
    </row>
    <row r="114" ht="12.75">
      <c r="M114" s="7"/>
    </row>
    <row r="115" ht="12.75">
      <c r="M115" s="7"/>
    </row>
    <row r="116" ht="12.75">
      <c r="M116" s="7"/>
    </row>
    <row r="117" ht="12.75">
      <c r="M117" s="7"/>
    </row>
    <row r="118" ht="12.75">
      <c r="M118" s="7"/>
    </row>
    <row r="119" ht="12.75">
      <c r="M119" s="7"/>
    </row>
    <row r="120" ht="12.75">
      <c r="M120" s="7"/>
    </row>
  </sheetData>
  <printOptions/>
  <pageMargins left="0.75" right="0.75" top="1" bottom="1" header="0.5" footer="0.5"/>
  <pageSetup fitToHeight="1" fitToWidth="1" horizontalDpi="600" verticalDpi="600" orientation="landscape" scale="1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B1:BC69"/>
  <sheetViews>
    <sheetView workbookViewId="0" topLeftCell="A22">
      <selection activeCell="C14" sqref="C14"/>
    </sheetView>
  </sheetViews>
  <sheetFormatPr defaultColWidth="9.140625" defaultRowHeight="12.75"/>
  <cols>
    <col min="1" max="1" width="9.140625" style="8" customWidth="1"/>
    <col min="2" max="2" width="20.28125" style="8" customWidth="1"/>
    <col min="3" max="3" width="13.140625" style="8" customWidth="1"/>
    <col min="4" max="27" width="11.28125" style="8" bestFit="1" customWidth="1"/>
    <col min="28" max="30" width="9.57421875" style="8" bestFit="1" customWidth="1"/>
    <col min="31" max="16384" width="9.140625" style="8" customWidth="1"/>
  </cols>
  <sheetData>
    <row r="1" spans="2:6" ht="18">
      <c r="B1" s="266" t="s">
        <v>617</v>
      </c>
      <c r="C1" s="266"/>
      <c r="F1" s="266" t="s">
        <v>748</v>
      </c>
    </row>
    <row r="2" spans="3:55" ht="12.75">
      <c r="C2" s="116">
        <v>2019</v>
      </c>
      <c r="D2" s="116">
        <v>2020</v>
      </c>
      <c r="E2" s="116">
        <v>2021</v>
      </c>
      <c r="F2" s="116">
        <v>2022</v>
      </c>
      <c r="G2" s="116">
        <v>2023</v>
      </c>
      <c r="H2" s="116">
        <v>2024</v>
      </c>
      <c r="I2" s="116">
        <v>2025</v>
      </c>
      <c r="J2" s="116">
        <v>2026</v>
      </c>
      <c r="K2" s="116">
        <v>2027</v>
      </c>
      <c r="L2" s="116">
        <v>2028</v>
      </c>
      <c r="M2" s="116">
        <v>2029</v>
      </c>
      <c r="N2" s="116">
        <v>2030</v>
      </c>
      <c r="O2" s="116">
        <v>2031</v>
      </c>
      <c r="P2" s="116">
        <v>2032</v>
      </c>
      <c r="Q2" s="116">
        <v>2033</v>
      </c>
      <c r="R2" s="116">
        <v>2034</v>
      </c>
      <c r="S2" s="116">
        <v>2035</v>
      </c>
      <c r="T2" s="116">
        <v>2036</v>
      </c>
      <c r="U2" s="116">
        <v>2037</v>
      </c>
      <c r="V2" s="116">
        <v>2038</v>
      </c>
      <c r="W2" s="116">
        <v>2039</v>
      </c>
      <c r="X2" s="116">
        <v>2040</v>
      </c>
      <c r="Y2" s="116">
        <v>2041</v>
      </c>
      <c r="Z2" s="116">
        <v>2042</v>
      </c>
      <c r="AA2" s="116">
        <v>2043</v>
      </c>
      <c r="AB2" s="116">
        <v>2044</v>
      </c>
      <c r="AC2" s="116">
        <v>2045</v>
      </c>
      <c r="AD2" s="116">
        <v>2046</v>
      </c>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row>
    <row r="3" spans="2:10" ht="12.75">
      <c r="B3" s="116" t="s">
        <v>231</v>
      </c>
      <c r="C3" s="116"/>
      <c r="D3" s="244" t="s">
        <v>589</v>
      </c>
      <c r="E3" s="205"/>
      <c r="F3" s="205"/>
      <c r="G3" s="205"/>
      <c r="H3" s="205"/>
      <c r="I3" s="205"/>
      <c r="J3" s="205"/>
    </row>
    <row r="4" spans="2:55" s="251" customFormat="1" ht="12.75">
      <c r="B4" s="251" t="s">
        <v>381</v>
      </c>
      <c r="C4" s="110">
        <v>67521</v>
      </c>
      <c r="D4" s="110">
        <v>62230</v>
      </c>
      <c r="E4" s="110">
        <v>70032</v>
      </c>
      <c r="F4" s="110">
        <v>79227</v>
      </c>
      <c r="G4" s="110">
        <v>79804</v>
      </c>
      <c r="H4" s="110">
        <v>85137</v>
      </c>
      <c r="I4" s="110">
        <v>92874</v>
      </c>
      <c r="J4" s="110">
        <v>98151</v>
      </c>
      <c r="K4" s="110">
        <v>104295</v>
      </c>
      <c r="L4" s="110">
        <v>110573</v>
      </c>
      <c r="M4" s="110">
        <v>117165</v>
      </c>
      <c r="N4" s="110">
        <v>115066</v>
      </c>
      <c r="O4" s="110">
        <v>113761</v>
      </c>
      <c r="P4" s="110">
        <v>113482</v>
      </c>
      <c r="Q4" s="110">
        <v>117331</v>
      </c>
      <c r="R4" s="110">
        <v>119409</v>
      </c>
      <c r="S4" s="110">
        <v>118687</v>
      </c>
      <c r="T4" s="110">
        <v>110971</v>
      </c>
      <c r="U4" s="110">
        <v>99312</v>
      </c>
      <c r="V4" s="110">
        <v>85781</v>
      </c>
      <c r="W4" s="110">
        <v>69157</v>
      </c>
      <c r="X4" s="110">
        <v>49926</v>
      </c>
      <c r="Y4" s="110">
        <v>30883</v>
      </c>
      <c r="Z4" s="110">
        <v>15343</v>
      </c>
      <c r="AA4" s="110">
        <v>8846</v>
      </c>
      <c r="AB4" s="110">
        <v>8846</v>
      </c>
      <c r="AC4" s="110">
        <v>8846</v>
      </c>
      <c r="AD4" s="110">
        <v>8846</v>
      </c>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row>
    <row r="5" spans="2:55" s="251" customFormat="1" ht="12.75">
      <c r="B5" s="251" t="s">
        <v>382</v>
      </c>
      <c r="C5" s="110">
        <v>52463</v>
      </c>
      <c r="D5" s="110">
        <v>44685</v>
      </c>
      <c r="E5" s="110">
        <v>45908</v>
      </c>
      <c r="F5" s="110">
        <v>47974</v>
      </c>
      <c r="G5" s="110">
        <v>47909</v>
      </c>
      <c r="H5" s="110">
        <v>47791</v>
      </c>
      <c r="I5" s="110">
        <v>46504</v>
      </c>
      <c r="J5" s="110">
        <v>45331</v>
      </c>
      <c r="K5" s="110">
        <v>45027</v>
      </c>
      <c r="L5" s="110">
        <v>44241</v>
      </c>
      <c r="M5" s="110">
        <v>41721</v>
      </c>
      <c r="N5" s="110">
        <v>32555</v>
      </c>
      <c r="O5" s="110">
        <v>28572</v>
      </c>
      <c r="P5" s="110">
        <v>26418</v>
      </c>
      <c r="Q5" s="110">
        <v>17477</v>
      </c>
      <c r="R5" s="110">
        <v>8213</v>
      </c>
      <c r="S5" s="110">
        <v>735</v>
      </c>
      <c r="T5" s="110">
        <v>0</v>
      </c>
      <c r="U5" s="110">
        <v>0</v>
      </c>
      <c r="V5" s="110">
        <v>0</v>
      </c>
      <c r="W5" s="110">
        <v>0</v>
      </c>
      <c r="X5" s="110">
        <v>0</v>
      </c>
      <c r="Y5" s="110">
        <v>0</v>
      </c>
      <c r="Z5" s="110">
        <v>0</v>
      </c>
      <c r="AA5" s="110">
        <v>0</v>
      </c>
      <c r="AB5" s="110">
        <v>0</v>
      </c>
      <c r="AC5" s="110">
        <v>0</v>
      </c>
      <c r="AD5" s="110">
        <v>0</v>
      </c>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row>
    <row r="6" spans="2:24" s="251" customFormat="1" ht="12.75">
      <c r="B6" s="269" t="s">
        <v>494</v>
      </c>
      <c r="C6" s="20">
        <v>10747.46794684212</v>
      </c>
      <c r="D6" s="20">
        <v>9826.374364535337</v>
      </c>
      <c r="E6" s="20">
        <v>8862.537513691579</v>
      </c>
      <c r="F6" s="20">
        <v>7853.97357060828</v>
      </c>
      <c r="G6" s="20">
        <v>6798.60662309995</v>
      </c>
      <c r="H6" s="20">
        <v>5694.264395162258</v>
      </c>
      <c r="I6" s="20">
        <v>4538.673773120818</v>
      </c>
      <c r="J6" s="20">
        <v>3329.456124045985</v>
      </c>
      <c r="K6" s="20">
        <v>2064.1223967866927</v>
      </c>
      <c r="L6" s="20">
        <v>740.067995528412</v>
      </c>
      <c r="M6" s="20"/>
      <c r="N6" s="20"/>
      <c r="O6" s="20"/>
      <c r="P6" s="20"/>
      <c r="Q6" s="110"/>
      <c r="R6" s="110"/>
      <c r="S6" s="110"/>
      <c r="T6" s="110"/>
      <c r="U6" s="110"/>
      <c r="V6" s="110"/>
      <c r="W6" s="110"/>
      <c r="X6" s="110"/>
    </row>
    <row r="7" spans="2:26" s="251" customFormat="1" ht="12.75">
      <c r="B7" s="251" t="s">
        <v>383</v>
      </c>
      <c r="C7" s="251">
        <v>0</v>
      </c>
      <c r="D7" s="251">
        <v>0</v>
      </c>
      <c r="E7" s="251">
        <v>0</v>
      </c>
      <c r="F7" s="251">
        <v>0</v>
      </c>
      <c r="G7" s="251">
        <v>0</v>
      </c>
      <c r="H7" s="251">
        <v>0</v>
      </c>
      <c r="I7" s="251">
        <v>0</v>
      </c>
      <c r="J7" s="251">
        <v>0</v>
      </c>
      <c r="K7" s="251">
        <v>0</v>
      </c>
      <c r="L7" s="251">
        <v>0</v>
      </c>
      <c r="M7" s="251">
        <v>0</v>
      </c>
      <c r="N7" s="251">
        <v>0</v>
      </c>
      <c r="O7" s="251">
        <v>0</v>
      </c>
      <c r="P7" s="251">
        <v>0</v>
      </c>
      <c r="Q7" s="251">
        <v>0</v>
      </c>
      <c r="R7" s="251">
        <v>0</v>
      </c>
      <c r="S7" s="251">
        <v>0</v>
      </c>
      <c r="T7" s="251">
        <v>0</v>
      </c>
      <c r="U7" s="251">
        <v>0</v>
      </c>
      <c r="V7" s="251">
        <v>0</v>
      </c>
      <c r="W7" s="251">
        <v>0</v>
      </c>
      <c r="X7" s="251">
        <v>0</v>
      </c>
      <c r="Y7" s="251">
        <v>0</v>
      </c>
      <c r="Z7" s="251">
        <v>0</v>
      </c>
    </row>
    <row r="8" spans="2:30" s="251" customFormat="1" ht="12.75">
      <c r="B8" s="269" t="s">
        <v>696</v>
      </c>
      <c r="C8" s="251">
        <v>0</v>
      </c>
      <c r="D8" s="251">
        <v>13</v>
      </c>
      <c r="E8" s="251">
        <v>10</v>
      </c>
      <c r="F8" s="251">
        <v>20379</v>
      </c>
      <c r="G8" s="251">
        <v>0</v>
      </c>
      <c r="H8" s="251">
        <v>0</v>
      </c>
      <c r="I8" s="251">
        <v>0</v>
      </c>
      <c r="J8" s="251">
        <v>0</v>
      </c>
      <c r="K8" s="251">
        <v>0</v>
      </c>
      <c r="L8" s="251">
        <v>0</v>
      </c>
      <c r="M8" s="251">
        <v>0</v>
      </c>
      <c r="N8" s="251">
        <v>1465</v>
      </c>
      <c r="O8" s="251">
        <v>0</v>
      </c>
      <c r="P8" s="251">
        <v>0</v>
      </c>
      <c r="Q8" s="251">
        <v>0</v>
      </c>
      <c r="R8" s="251">
        <v>-15941</v>
      </c>
      <c r="S8" s="251">
        <v>-32338</v>
      </c>
      <c r="T8" s="251">
        <v>0</v>
      </c>
      <c r="U8" s="251">
        <v>0</v>
      </c>
      <c r="V8" s="251">
        <v>0</v>
      </c>
      <c r="W8" s="251">
        <v>0</v>
      </c>
      <c r="X8" s="251">
        <v>0</v>
      </c>
      <c r="Y8" s="251">
        <v>0</v>
      </c>
      <c r="Z8" s="251">
        <v>0</v>
      </c>
      <c r="AA8" s="251">
        <v>0</v>
      </c>
      <c r="AB8" s="251">
        <v>0</v>
      </c>
      <c r="AC8" s="251">
        <v>0</v>
      </c>
      <c r="AD8" s="251">
        <v>0</v>
      </c>
    </row>
    <row r="9" s="251" customFormat="1" ht="12.75"/>
    <row r="10" spans="2:30" s="251" customFormat="1" ht="12.75">
      <c r="B10" s="117" t="s">
        <v>385</v>
      </c>
      <c r="C10" s="251">
        <v>2151</v>
      </c>
      <c r="D10" s="251">
        <v>1225</v>
      </c>
      <c r="E10" s="251">
        <v>2874</v>
      </c>
      <c r="F10" s="251">
        <v>2091</v>
      </c>
      <c r="G10" s="251">
        <v>969</v>
      </c>
      <c r="H10" s="251">
        <v>984</v>
      </c>
      <c r="I10" s="251">
        <v>977</v>
      </c>
      <c r="J10" s="251">
        <v>980</v>
      </c>
      <c r="K10" s="251">
        <v>1000</v>
      </c>
      <c r="L10" s="251">
        <v>1029</v>
      </c>
      <c r="M10" s="251">
        <v>2528</v>
      </c>
      <c r="N10" s="251">
        <v>2048</v>
      </c>
      <c r="O10" s="251">
        <v>2118</v>
      </c>
      <c r="P10" s="251">
        <v>2373</v>
      </c>
      <c r="Q10" s="251">
        <v>2412</v>
      </c>
      <c r="R10" s="251">
        <v>2421</v>
      </c>
      <c r="S10" s="251">
        <v>2535</v>
      </c>
      <c r="T10" s="251">
        <v>2622</v>
      </c>
      <c r="U10" s="251">
        <v>2672</v>
      </c>
      <c r="V10" s="251">
        <v>2847</v>
      </c>
      <c r="W10" s="251">
        <v>3284</v>
      </c>
      <c r="X10" s="251">
        <v>3345</v>
      </c>
      <c r="Y10" s="251">
        <v>3431</v>
      </c>
      <c r="Z10" s="251">
        <v>3480</v>
      </c>
      <c r="AA10" s="251">
        <v>3518</v>
      </c>
      <c r="AB10" s="251">
        <v>3015</v>
      </c>
      <c r="AC10" s="251">
        <v>1506</v>
      </c>
      <c r="AD10" s="251">
        <v>1506</v>
      </c>
    </row>
    <row r="11" s="251" customFormat="1" ht="12.75"/>
    <row r="12" s="251" customFormat="1" ht="12.75">
      <c r="B12" s="117" t="s">
        <v>384</v>
      </c>
    </row>
    <row r="13" spans="2:30" s="251" customFormat="1" ht="12.75">
      <c r="B13" s="251" t="s">
        <v>382</v>
      </c>
      <c r="C13" s="251">
        <v>227083</v>
      </c>
      <c r="D13" s="251">
        <v>0</v>
      </c>
      <c r="E13" s="251">
        <v>0</v>
      </c>
      <c r="F13" s="251">
        <v>1439</v>
      </c>
      <c r="G13" s="251">
        <v>2627</v>
      </c>
      <c r="H13" s="251">
        <v>28608</v>
      </c>
      <c r="I13" s="251">
        <v>26065</v>
      </c>
      <c r="J13" s="251">
        <v>6756</v>
      </c>
      <c r="K13" s="251">
        <v>17455</v>
      </c>
      <c r="L13" s="251">
        <v>56007</v>
      </c>
      <c r="M13" s="251">
        <v>207048</v>
      </c>
      <c r="N13" s="251">
        <v>92729</v>
      </c>
      <c r="O13" s="251">
        <v>55666</v>
      </c>
      <c r="P13" s="251">
        <v>238395</v>
      </c>
      <c r="Q13" s="251">
        <v>257188</v>
      </c>
      <c r="R13" s="251">
        <v>255182</v>
      </c>
      <c r="S13" s="251">
        <v>61904</v>
      </c>
      <c r="T13" s="251">
        <v>0</v>
      </c>
      <c r="U13" s="251">
        <v>0</v>
      </c>
      <c r="V13" s="251">
        <v>0</v>
      </c>
      <c r="W13" s="251">
        <v>0</v>
      </c>
      <c r="X13" s="251">
        <v>0</v>
      </c>
      <c r="Y13" s="251">
        <v>0</v>
      </c>
      <c r="Z13" s="251">
        <v>0</v>
      </c>
      <c r="AA13" s="251">
        <v>0</v>
      </c>
      <c r="AB13" s="251">
        <v>0</v>
      </c>
      <c r="AC13" s="251">
        <v>0</v>
      </c>
      <c r="AD13" s="251">
        <v>0</v>
      </c>
    </row>
    <row r="14" spans="2:30" s="251" customFormat="1" ht="12.75">
      <c r="B14" s="251" t="s">
        <v>381</v>
      </c>
      <c r="C14" s="251">
        <v>271250</v>
      </c>
      <c r="D14" s="251">
        <v>173072</v>
      </c>
      <c r="E14" s="251">
        <v>518065</v>
      </c>
      <c r="F14" s="251">
        <v>322663</v>
      </c>
      <c r="G14" s="251">
        <v>102000</v>
      </c>
      <c r="H14" s="251">
        <v>74200</v>
      </c>
      <c r="I14" s="251">
        <v>74000</v>
      </c>
      <c r="J14" s="251">
        <v>86000</v>
      </c>
      <c r="K14" s="251">
        <v>91000</v>
      </c>
      <c r="L14" s="251">
        <v>51000</v>
      </c>
      <c r="M14" s="251">
        <v>227000</v>
      </c>
      <c r="N14" s="251">
        <v>251486</v>
      </c>
      <c r="O14" s="251">
        <v>301514</v>
      </c>
      <c r="P14" s="251">
        <v>185321</v>
      </c>
      <c r="Q14" s="251">
        <v>176779</v>
      </c>
      <c r="R14" s="251">
        <v>209649</v>
      </c>
      <c r="S14" s="251">
        <v>446643</v>
      </c>
      <c r="T14" s="251">
        <v>479144</v>
      </c>
      <c r="U14" s="251">
        <v>509033</v>
      </c>
      <c r="V14" s="251">
        <v>569404</v>
      </c>
      <c r="W14" s="251">
        <v>658014</v>
      </c>
      <c r="X14" s="251">
        <v>695096</v>
      </c>
      <c r="Y14" s="251">
        <v>648923</v>
      </c>
      <c r="Z14" s="251">
        <v>526291</v>
      </c>
      <c r="AA14" s="251">
        <v>213150</v>
      </c>
      <c r="AB14" s="251">
        <v>213150</v>
      </c>
      <c r="AC14" s="251">
        <v>213150</v>
      </c>
      <c r="AD14" s="251">
        <v>213150</v>
      </c>
    </row>
    <row r="15" spans="2:30" s="251" customFormat="1" ht="12.75">
      <c r="B15" s="251" t="s">
        <v>183</v>
      </c>
      <c r="C15" s="251">
        <v>56604</v>
      </c>
      <c r="D15" s="251">
        <v>24331</v>
      </c>
      <c r="E15" s="251">
        <v>14747</v>
      </c>
      <c r="F15" s="251">
        <v>16060</v>
      </c>
      <c r="G15" s="251">
        <v>12852</v>
      </c>
      <c r="H15" s="251">
        <v>15111</v>
      </c>
      <c r="I15" s="251">
        <v>13550</v>
      </c>
      <c r="J15" s="251">
        <v>20774</v>
      </c>
      <c r="K15" s="251">
        <v>6121</v>
      </c>
      <c r="L15" s="251">
        <v>11191</v>
      </c>
      <c r="M15" s="251">
        <v>4065</v>
      </c>
      <c r="N15" s="251">
        <v>1996</v>
      </c>
      <c r="O15" s="251">
        <v>10530</v>
      </c>
      <c r="P15" s="251">
        <v>0</v>
      </c>
      <c r="Q15" s="251">
        <v>4347</v>
      </c>
      <c r="R15" s="251">
        <v>0</v>
      </c>
      <c r="S15" s="251">
        <v>7766</v>
      </c>
      <c r="T15" s="251">
        <v>28920</v>
      </c>
      <c r="U15" s="251">
        <v>15710</v>
      </c>
      <c r="V15" s="251">
        <v>0</v>
      </c>
      <c r="W15" s="251">
        <v>14069</v>
      </c>
      <c r="X15" s="251">
        <v>0</v>
      </c>
      <c r="Y15" s="251">
        <v>73659</v>
      </c>
      <c r="Z15" s="251">
        <v>0</v>
      </c>
      <c r="AA15" s="251">
        <v>0</v>
      </c>
      <c r="AB15" s="251">
        <v>0</v>
      </c>
      <c r="AC15" s="251">
        <v>11586</v>
      </c>
      <c r="AD15" s="251">
        <v>0</v>
      </c>
    </row>
    <row r="16" spans="2:27" s="251" customFormat="1" ht="12.75">
      <c r="B16" s="251" t="s">
        <v>388</v>
      </c>
      <c r="C16" s="251">
        <v>30600</v>
      </c>
      <c r="D16" s="251">
        <v>30600</v>
      </c>
      <c r="E16" s="251">
        <v>30600</v>
      </c>
      <c r="F16" s="251">
        <v>30600</v>
      </c>
      <c r="G16" s="251">
        <v>30600</v>
      </c>
      <c r="H16" s="251">
        <v>30600</v>
      </c>
      <c r="I16" s="251">
        <v>30600</v>
      </c>
      <c r="J16" s="251">
        <v>30600</v>
      </c>
      <c r="K16" s="251">
        <v>30600</v>
      </c>
      <c r="L16" s="251">
        <v>30600</v>
      </c>
      <c r="S16" s="251">
        <v>0</v>
      </c>
      <c r="T16" s="251">
        <v>0</v>
      </c>
      <c r="U16" s="251">
        <v>0</v>
      </c>
      <c r="V16" s="251">
        <v>0</v>
      </c>
      <c r="W16" s="251">
        <v>0</v>
      </c>
      <c r="X16" s="251">
        <v>0</v>
      </c>
      <c r="Y16" s="251">
        <v>0</v>
      </c>
      <c r="Z16" s="251">
        <v>0</v>
      </c>
      <c r="AA16" s="251">
        <v>0</v>
      </c>
    </row>
    <row r="17" spans="2:27" s="251" customFormat="1" ht="12.75">
      <c r="B17" s="251" t="s">
        <v>383</v>
      </c>
      <c r="C17" s="251">
        <v>0</v>
      </c>
      <c r="D17" s="251">
        <v>0</v>
      </c>
      <c r="E17" s="251">
        <v>0</v>
      </c>
      <c r="F17" s="251">
        <v>0</v>
      </c>
      <c r="G17" s="251">
        <v>0</v>
      </c>
      <c r="H17" s="251">
        <v>0</v>
      </c>
      <c r="I17" s="251">
        <v>0</v>
      </c>
      <c r="J17" s="251">
        <v>0</v>
      </c>
      <c r="K17" s="251">
        <v>0</v>
      </c>
      <c r="L17" s="251">
        <v>0</v>
      </c>
      <c r="M17" s="251">
        <v>0</v>
      </c>
      <c r="N17" s="251">
        <v>0</v>
      </c>
      <c r="O17" s="251">
        <v>0</v>
      </c>
      <c r="P17" s="251">
        <v>0</v>
      </c>
      <c r="Q17" s="251">
        <v>0</v>
      </c>
      <c r="R17" s="251">
        <v>0</v>
      </c>
      <c r="S17" s="251">
        <v>0</v>
      </c>
      <c r="T17" s="251">
        <v>0</v>
      </c>
      <c r="U17" s="251">
        <v>0</v>
      </c>
      <c r="V17" s="251">
        <v>0</v>
      </c>
      <c r="W17" s="251">
        <v>0</v>
      </c>
      <c r="X17" s="251">
        <v>0</v>
      </c>
      <c r="Y17" s="251">
        <v>0</v>
      </c>
      <c r="Z17" s="251">
        <v>0</v>
      </c>
      <c r="AA17" s="251">
        <v>0</v>
      </c>
    </row>
    <row r="18" spans="3:30" ht="12.75">
      <c r="C18" s="205">
        <f>SUM(C13:C14)</f>
        <v>498333</v>
      </c>
      <c r="D18" s="205">
        <f>SUM(D13:D14)</f>
        <v>173072</v>
      </c>
      <c r="E18" s="205">
        <f aca="true" t="shared" si="0" ref="E18:AD18">SUM(E13:E14)</f>
        <v>518065</v>
      </c>
      <c r="F18" s="205">
        <f t="shared" si="0"/>
        <v>324102</v>
      </c>
      <c r="G18" s="205">
        <f t="shared" si="0"/>
        <v>104627</v>
      </c>
      <c r="H18" s="205">
        <f t="shared" si="0"/>
        <v>102808</v>
      </c>
      <c r="I18" s="205">
        <f t="shared" si="0"/>
        <v>100065</v>
      </c>
      <c r="J18" s="205">
        <f t="shared" si="0"/>
        <v>92756</v>
      </c>
      <c r="K18" s="205">
        <f t="shared" si="0"/>
        <v>108455</v>
      </c>
      <c r="L18" s="205">
        <f t="shared" si="0"/>
        <v>107007</v>
      </c>
      <c r="M18" s="205">
        <f t="shared" si="0"/>
        <v>434048</v>
      </c>
      <c r="N18" s="205">
        <f t="shared" si="0"/>
        <v>344215</v>
      </c>
      <c r="O18" s="205">
        <f t="shared" si="0"/>
        <v>357180</v>
      </c>
      <c r="P18" s="205">
        <f t="shared" si="0"/>
        <v>423716</v>
      </c>
      <c r="Q18" s="205">
        <f t="shared" si="0"/>
        <v>433967</v>
      </c>
      <c r="R18" s="205">
        <f t="shared" si="0"/>
        <v>464831</v>
      </c>
      <c r="S18" s="205">
        <f t="shared" si="0"/>
        <v>508547</v>
      </c>
      <c r="T18" s="205">
        <f t="shared" si="0"/>
        <v>479144</v>
      </c>
      <c r="U18" s="205">
        <f t="shared" si="0"/>
        <v>509033</v>
      </c>
      <c r="V18" s="205">
        <f t="shared" si="0"/>
        <v>569404</v>
      </c>
      <c r="W18" s="205">
        <f t="shared" si="0"/>
        <v>658014</v>
      </c>
      <c r="X18" s="205">
        <f t="shared" si="0"/>
        <v>695096</v>
      </c>
      <c r="Y18" s="205">
        <f t="shared" si="0"/>
        <v>648923</v>
      </c>
      <c r="Z18" s="205">
        <f t="shared" si="0"/>
        <v>526291</v>
      </c>
      <c r="AA18" s="205">
        <f t="shared" si="0"/>
        <v>213150</v>
      </c>
      <c r="AB18" s="205">
        <f t="shared" si="0"/>
        <v>213150</v>
      </c>
      <c r="AC18" s="205">
        <f t="shared" si="0"/>
        <v>213150</v>
      </c>
      <c r="AD18" s="205">
        <f t="shared" si="0"/>
        <v>213150</v>
      </c>
    </row>
    <row r="19" spans="2:6" ht="20.25">
      <c r="B19" s="273" t="s">
        <v>615</v>
      </c>
      <c r="C19" s="273"/>
      <c r="D19" s="273" t="s">
        <v>705</v>
      </c>
      <c r="F19" s="273"/>
    </row>
    <row r="21" spans="4:30" ht="12.75">
      <c r="D21" s="116">
        <v>2020</v>
      </c>
      <c r="E21" s="116">
        <v>2021</v>
      </c>
      <c r="F21" s="116">
        <v>2022</v>
      </c>
      <c r="G21" s="116">
        <v>2023</v>
      </c>
      <c r="H21" s="116">
        <v>2024</v>
      </c>
      <c r="I21" s="116">
        <v>2025</v>
      </c>
      <c r="J21" s="116">
        <v>2026</v>
      </c>
      <c r="K21" s="116">
        <v>2027</v>
      </c>
      <c r="L21" s="116">
        <v>2028</v>
      </c>
      <c r="M21" s="116">
        <v>2029</v>
      </c>
      <c r="N21" s="116">
        <v>2030</v>
      </c>
      <c r="O21" s="116">
        <v>2031</v>
      </c>
      <c r="P21" s="116">
        <v>2032</v>
      </c>
      <c r="Q21" s="116">
        <v>2033</v>
      </c>
      <c r="R21" s="116">
        <v>2034</v>
      </c>
      <c r="S21" s="116">
        <v>2035</v>
      </c>
      <c r="T21" s="116">
        <v>2036</v>
      </c>
      <c r="U21" s="116">
        <v>2037</v>
      </c>
      <c r="V21" s="116">
        <v>2038</v>
      </c>
      <c r="W21" s="116">
        <v>2039</v>
      </c>
      <c r="X21" s="116">
        <v>2040</v>
      </c>
      <c r="Y21" s="116">
        <v>2041</v>
      </c>
      <c r="Z21" s="116">
        <v>2042</v>
      </c>
      <c r="AA21" s="116">
        <v>2043</v>
      </c>
      <c r="AB21" s="116">
        <v>2044</v>
      </c>
      <c r="AC21" s="116">
        <v>2045</v>
      </c>
      <c r="AD21" s="116">
        <v>2046</v>
      </c>
    </row>
    <row r="22" spans="2:5" ht="12.75">
      <c r="B22" s="116" t="s">
        <v>231</v>
      </c>
      <c r="C22" s="116"/>
      <c r="D22" s="244"/>
      <c r="E22" s="205"/>
    </row>
    <row r="23" spans="2:30" ht="12.75">
      <c r="B23" s="251" t="s">
        <v>381</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row>
    <row r="24" spans="2:30" ht="12.75">
      <c r="B24" s="251" t="s">
        <v>382</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row>
    <row r="25" spans="2:30" ht="12.75">
      <c r="B25" s="269" t="s">
        <v>494</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row>
    <row r="26" spans="2:30" ht="12.75">
      <c r="B26" s="251" t="s">
        <v>383</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row>
    <row r="27" spans="2:30" ht="12.75">
      <c r="B27" s="251"/>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row>
    <row r="28" spans="2:30" ht="12.75">
      <c r="B28" s="117" t="s">
        <v>385</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row>
    <row r="29" spans="2:30" ht="12.75">
      <c r="B29" s="251"/>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row>
    <row r="30" spans="2:30" ht="12.75">
      <c r="B30" s="117" t="s">
        <v>384</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row>
    <row r="31" spans="2:30" ht="12.75">
      <c r="B31" s="251" t="s">
        <v>382</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row>
    <row r="32" spans="2:30" ht="12.75">
      <c r="B32" s="251" t="s">
        <v>381</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row>
    <row r="33" spans="2:30" ht="12.75">
      <c r="B33" s="251" t="s">
        <v>183</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row>
    <row r="34" spans="2:30" ht="12.75">
      <c r="B34" s="251" t="s">
        <v>388</v>
      </c>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row>
    <row r="35" spans="2:31" s="133" customFormat="1" ht="12.75">
      <c r="B35" s="251" t="s">
        <v>383</v>
      </c>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203"/>
    </row>
    <row r="36" spans="2:55" s="133" customFormat="1" ht="12.75">
      <c r="B36" s="202" t="s">
        <v>387</v>
      </c>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row>
    <row r="37" spans="4:5" ht="12.75">
      <c r="D37" s="205"/>
      <c r="E37" s="205"/>
    </row>
    <row r="38" spans="2:27" ht="12.75">
      <c r="B38" s="270" t="s">
        <v>114</v>
      </c>
      <c r="C38" s="270"/>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row>
    <row r="41" spans="2:6" ht="18">
      <c r="B41" s="266" t="s">
        <v>616</v>
      </c>
      <c r="C41" s="266"/>
      <c r="F41" s="266"/>
    </row>
    <row r="42" spans="4:55" ht="12.75">
      <c r="D42" s="116">
        <v>2020</v>
      </c>
      <c r="E42" s="116">
        <v>2021</v>
      </c>
      <c r="F42" s="116">
        <v>2022</v>
      </c>
      <c r="G42" s="116">
        <v>2023</v>
      </c>
      <c r="H42" s="116">
        <v>2024</v>
      </c>
      <c r="I42" s="116">
        <v>2025</v>
      </c>
      <c r="J42" s="116">
        <v>2026</v>
      </c>
      <c r="K42" s="116">
        <v>2027</v>
      </c>
      <c r="L42" s="116">
        <v>2028</v>
      </c>
      <c r="M42" s="116">
        <v>2029</v>
      </c>
      <c r="N42" s="116">
        <v>2030</v>
      </c>
      <c r="O42" s="116">
        <v>2031</v>
      </c>
      <c r="P42" s="116">
        <v>2032</v>
      </c>
      <c r="Q42" s="116">
        <v>2033</v>
      </c>
      <c r="R42" s="116">
        <v>2034</v>
      </c>
      <c r="S42" s="116">
        <v>2035</v>
      </c>
      <c r="T42" s="116">
        <v>2036</v>
      </c>
      <c r="U42" s="116">
        <v>2037</v>
      </c>
      <c r="V42" s="116">
        <v>2038</v>
      </c>
      <c r="W42" s="116">
        <v>2039</v>
      </c>
      <c r="X42" s="116">
        <v>2040</v>
      </c>
      <c r="Y42" s="116">
        <v>2041</v>
      </c>
      <c r="Z42" s="116">
        <v>2042</v>
      </c>
      <c r="AA42" s="116">
        <v>2043</v>
      </c>
      <c r="AB42" s="116">
        <v>2044</v>
      </c>
      <c r="AC42" s="116">
        <v>2045</v>
      </c>
      <c r="AD42" s="116">
        <v>2046</v>
      </c>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row>
    <row r="43" spans="2:12" ht="12.75">
      <c r="B43" s="116" t="s">
        <v>231</v>
      </c>
      <c r="C43" s="116"/>
      <c r="D43" s="205"/>
      <c r="E43" s="205"/>
      <c r="F43" s="205"/>
      <c r="G43" s="205"/>
      <c r="H43" s="205"/>
      <c r="I43" s="205"/>
      <c r="J43" s="205"/>
      <c r="K43" s="205"/>
      <c r="L43" s="205"/>
    </row>
    <row r="44" spans="2:55" s="251" customFormat="1" ht="12.75">
      <c r="B44" s="251" t="s">
        <v>381</v>
      </c>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row>
    <row r="45" spans="2:49" s="251" customFormat="1" ht="12.75">
      <c r="B45" s="251" t="s">
        <v>382</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row>
    <row r="46" spans="2:49" s="251" customFormat="1" ht="12.75">
      <c r="B46" s="251" t="s">
        <v>494</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row>
    <row r="47" s="251" customFormat="1" ht="12.75">
      <c r="B47" s="251" t="s">
        <v>383</v>
      </c>
    </row>
    <row r="48" s="251" customFormat="1" ht="12.75"/>
    <row r="49" spans="2:3" s="251" customFormat="1" ht="12.75">
      <c r="B49" s="117" t="s">
        <v>385</v>
      </c>
      <c r="C49" s="117"/>
    </row>
    <row r="50" s="251" customFormat="1" ht="12.75"/>
    <row r="51" spans="2:3" s="251" customFormat="1" ht="12.75">
      <c r="B51" s="117" t="s">
        <v>384</v>
      </c>
      <c r="C51" s="117"/>
    </row>
    <row r="52" s="251" customFormat="1" ht="12.75">
      <c r="B52" s="251" t="s">
        <v>381</v>
      </c>
    </row>
    <row r="53" s="251" customFormat="1" ht="12.75">
      <c r="B53" s="251" t="s">
        <v>382</v>
      </c>
    </row>
    <row r="54" s="251" customFormat="1" ht="12.75">
      <c r="B54" s="251" t="s">
        <v>183</v>
      </c>
    </row>
    <row r="55" s="251" customFormat="1" ht="12.75">
      <c r="B55" s="251" t="s">
        <v>388</v>
      </c>
    </row>
    <row r="56" s="251" customFormat="1" ht="12.75">
      <c r="B56" s="251" t="s">
        <v>383</v>
      </c>
    </row>
    <row r="57" spans="4:30" ht="12.7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row>
    <row r="59" spans="2:39" ht="12.75">
      <c r="B59" s="271" t="s">
        <v>386</v>
      </c>
      <c r="C59" s="27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row>
    <row r="60" spans="2:30" ht="12.75">
      <c r="B60" s="271" t="s">
        <v>387</v>
      </c>
      <c r="C60" s="27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row>
    <row r="62" spans="2:27" ht="12.75">
      <c r="B62" s="270" t="s">
        <v>114</v>
      </c>
      <c r="C62" s="270"/>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row>
    <row r="68" spans="2:5" ht="12.75">
      <c r="B68" s="254"/>
      <c r="C68" s="254"/>
      <c r="D68" s="116"/>
      <c r="E68" s="116"/>
    </row>
    <row r="69" spans="2:5" ht="12.75">
      <c r="B69" s="254" t="s">
        <v>695</v>
      </c>
      <c r="C69" s="254"/>
      <c r="D69" s="272">
        <v>-1084.6082976640664</v>
      </c>
      <c r="E69" s="272">
        <v>-1103.6674543187466</v>
      </c>
    </row>
  </sheetData>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B1:AG299"/>
  <sheetViews>
    <sheetView workbookViewId="0" topLeftCell="A1">
      <selection activeCell="B8" sqref="B8"/>
    </sheetView>
  </sheetViews>
  <sheetFormatPr defaultColWidth="9.140625" defaultRowHeight="12.75"/>
  <cols>
    <col min="1" max="1" width="0.13671875" style="120" customWidth="1"/>
    <col min="2" max="2" width="22.140625" style="134" customWidth="1"/>
    <col min="3" max="3" width="22.140625" style="134" hidden="1" customWidth="1"/>
    <col min="4" max="4" width="22.140625" style="134" customWidth="1"/>
    <col min="5" max="5" width="14.8515625" style="123" customWidth="1"/>
    <col min="6" max="11" width="11.57421875" style="120" bestFit="1" customWidth="1"/>
    <col min="12" max="30" width="11.28125" style="120" bestFit="1" customWidth="1"/>
    <col min="31" max="253" width="9.140625" style="120" customWidth="1"/>
    <col min="254" max="254" width="0.13671875" style="120" customWidth="1"/>
    <col min="255" max="255" width="35.140625" style="120" customWidth="1"/>
    <col min="256" max="256" width="9.7109375" style="120" customWidth="1"/>
    <col min="257" max="257" width="9.421875" style="120" customWidth="1"/>
    <col min="258" max="258" width="10.421875" style="120" customWidth="1"/>
    <col min="259" max="261" width="13.7109375" style="120" customWidth="1"/>
    <col min="262" max="509" width="9.140625" style="120" customWidth="1"/>
    <col min="510" max="510" width="0.13671875" style="120" customWidth="1"/>
    <col min="511" max="511" width="35.140625" style="120" customWidth="1"/>
    <col min="512" max="512" width="9.7109375" style="120" customWidth="1"/>
    <col min="513" max="513" width="9.421875" style="120" customWidth="1"/>
    <col min="514" max="514" width="10.421875" style="120" customWidth="1"/>
    <col min="515" max="517" width="13.7109375" style="120" customWidth="1"/>
    <col min="518" max="765" width="9.140625" style="120" customWidth="1"/>
    <col min="766" max="766" width="0.13671875" style="120" customWidth="1"/>
    <col min="767" max="767" width="35.140625" style="120" customWidth="1"/>
    <col min="768" max="768" width="9.7109375" style="120" customWidth="1"/>
    <col min="769" max="769" width="9.421875" style="120" customWidth="1"/>
    <col min="770" max="770" width="10.421875" style="120" customWidth="1"/>
    <col min="771" max="773" width="13.7109375" style="120" customWidth="1"/>
    <col min="774" max="1021" width="9.140625" style="120" customWidth="1"/>
    <col min="1022" max="1022" width="0.13671875" style="120" customWidth="1"/>
    <col min="1023" max="1023" width="35.140625" style="120" customWidth="1"/>
    <col min="1024" max="1024" width="9.7109375" style="120" customWidth="1"/>
    <col min="1025" max="1025" width="9.421875" style="120" customWidth="1"/>
    <col min="1026" max="1026" width="10.421875" style="120" customWidth="1"/>
    <col min="1027" max="1029" width="13.7109375" style="120" customWidth="1"/>
    <col min="1030" max="1277" width="9.140625" style="120" customWidth="1"/>
    <col min="1278" max="1278" width="0.13671875" style="120" customWidth="1"/>
    <col min="1279" max="1279" width="35.140625" style="120" customWidth="1"/>
    <col min="1280" max="1280" width="9.7109375" style="120" customWidth="1"/>
    <col min="1281" max="1281" width="9.421875" style="120" customWidth="1"/>
    <col min="1282" max="1282" width="10.421875" style="120" customWidth="1"/>
    <col min="1283" max="1285" width="13.7109375" style="120" customWidth="1"/>
    <col min="1286" max="1533" width="9.140625" style="120" customWidth="1"/>
    <col min="1534" max="1534" width="0.13671875" style="120" customWidth="1"/>
    <col min="1535" max="1535" width="35.140625" style="120" customWidth="1"/>
    <col min="1536" max="1536" width="9.7109375" style="120" customWidth="1"/>
    <col min="1537" max="1537" width="9.421875" style="120" customWidth="1"/>
    <col min="1538" max="1538" width="10.421875" style="120" customWidth="1"/>
    <col min="1539" max="1541" width="13.7109375" style="120" customWidth="1"/>
    <col min="1542" max="1789" width="9.140625" style="120" customWidth="1"/>
    <col min="1790" max="1790" width="0.13671875" style="120" customWidth="1"/>
    <col min="1791" max="1791" width="35.140625" style="120" customWidth="1"/>
    <col min="1792" max="1792" width="9.7109375" style="120" customWidth="1"/>
    <col min="1793" max="1793" width="9.421875" style="120" customWidth="1"/>
    <col min="1794" max="1794" width="10.421875" style="120" customWidth="1"/>
    <col min="1795" max="1797" width="13.7109375" style="120" customWidth="1"/>
    <col min="1798" max="2045" width="9.140625" style="120" customWidth="1"/>
    <col min="2046" max="2046" width="0.13671875" style="120" customWidth="1"/>
    <col min="2047" max="2047" width="35.140625" style="120" customWidth="1"/>
    <col min="2048" max="2048" width="9.7109375" style="120" customWidth="1"/>
    <col min="2049" max="2049" width="9.421875" style="120" customWidth="1"/>
    <col min="2050" max="2050" width="10.421875" style="120" customWidth="1"/>
    <col min="2051" max="2053" width="13.7109375" style="120" customWidth="1"/>
    <col min="2054" max="2301" width="9.140625" style="120" customWidth="1"/>
    <col min="2302" max="2302" width="0.13671875" style="120" customWidth="1"/>
    <col min="2303" max="2303" width="35.140625" style="120" customWidth="1"/>
    <col min="2304" max="2304" width="9.7109375" style="120" customWidth="1"/>
    <col min="2305" max="2305" width="9.421875" style="120" customWidth="1"/>
    <col min="2306" max="2306" width="10.421875" style="120" customWidth="1"/>
    <col min="2307" max="2309" width="13.7109375" style="120" customWidth="1"/>
    <col min="2310" max="2557" width="9.140625" style="120" customWidth="1"/>
    <col min="2558" max="2558" width="0.13671875" style="120" customWidth="1"/>
    <col min="2559" max="2559" width="35.140625" style="120" customWidth="1"/>
    <col min="2560" max="2560" width="9.7109375" style="120" customWidth="1"/>
    <col min="2561" max="2561" width="9.421875" style="120" customWidth="1"/>
    <col min="2562" max="2562" width="10.421875" style="120" customWidth="1"/>
    <col min="2563" max="2565" width="13.7109375" style="120" customWidth="1"/>
    <col min="2566" max="2813" width="9.140625" style="120" customWidth="1"/>
    <col min="2814" max="2814" width="0.13671875" style="120" customWidth="1"/>
    <col min="2815" max="2815" width="35.140625" style="120" customWidth="1"/>
    <col min="2816" max="2816" width="9.7109375" style="120" customWidth="1"/>
    <col min="2817" max="2817" width="9.421875" style="120" customWidth="1"/>
    <col min="2818" max="2818" width="10.421875" style="120" customWidth="1"/>
    <col min="2819" max="2821" width="13.7109375" style="120" customWidth="1"/>
    <col min="2822" max="3069" width="9.140625" style="120" customWidth="1"/>
    <col min="3070" max="3070" width="0.13671875" style="120" customWidth="1"/>
    <col min="3071" max="3071" width="35.140625" style="120" customWidth="1"/>
    <col min="3072" max="3072" width="9.7109375" style="120" customWidth="1"/>
    <col min="3073" max="3073" width="9.421875" style="120" customWidth="1"/>
    <col min="3074" max="3074" width="10.421875" style="120" customWidth="1"/>
    <col min="3075" max="3077" width="13.7109375" style="120" customWidth="1"/>
    <col min="3078" max="3325" width="9.140625" style="120" customWidth="1"/>
    <col min="3326" max="3326" width="0.13671875" style="120" customWidth="1"/>
    <col min="3327" max="3327" width="35.140625" style="120" customWidth="1"/>
    <col min="3328" max="3328" width="9.7109375" style="120" customWidth="1"/>
    <col min="3329" max="3329" width="9.421875" style="120" customWidth="1"/>
    <col min="3330" max="3330" width="10.421875" style="120" customWidth="1"/>
    <col min="3331" max="3333" width="13.7109375" style="120" customWidth="1"/>
    <col min="3334" max="3581" width="9.140625" style="120" customWidth="1"/>
    <col min="3582" max="3582" width="0.13671875" style="120" customWidth="1"/>
    <col min="3583" max="3583" width="35.140625" style="120" customWidth="1"/>
    <col min="3584" max="3584" width="9.7109375" style="120" customWidth="1"/>
    <col min="3585" max="3585" width="9.421875" style="120" customWidth="1"/>
    <col min="3586" max="3586" width="10.421875" style="120" customWidth="1"/>
    <col min="3587" max="3589" width="13.7109375" style="120" customWidth="1"/>
    <col min="3590" max="3837" width="9.140625" style="120" customWidth="1"/>
    <col min="3838" max="3838" width="0.13671875" style="120" customWidth="1"/>
    <col min="3839" max="3839" width="35.140625" style="120" customWidth="1"/>
    <col min="3840" max="3840" width="9.7109375" style="120" customWidth="1"/>
    <col min="3841" max="3841" width="9.421875" style="120" customWidth="1"/>
    <col min="3842" max="3842" width="10.421875" style="120" customWidth="1"/>
    <col min="3843" max="3845" width="13.7109375" style="120" customWidth="1"/>
    <col min="3846" max="4093" width="9.140625" style="120" customWidth="1"/>
    <col min="4094" max="4094" width="0.13671875" style="120" customWidth="1"/>
    <col min="4095" max="4095" width="35.140625" style="120" customWidth="1"/>
    <col min="4096" max="4096" width="9.7109375" style="120" customWidth="1"/>
    <col min="4097" max="4097" width="9.421875" style="120" customWidth="1"/>
    <col min="4098" max="4098" width="10.421875" style="120" customWidth="1"/>
    <col min="4099" max="4101" width="13.7109375" style="120" customWidth="1"/>
    <col min="4102" max="4349" width="9.140625" style="120" customWidth="1"/>
    <col min="4350" max="4350" width="0.13671875" style="120" customWidth="1"/>
    <col min="4351" max="4351" width="35.140625" style="120" customWidth="1"/>
    <col min="4352" max="4352" width="9.7109375" style="120" customWidth="1"/>
    <col min="4353" max="4353" width="9.421875" style="120" customWidth="1"/>
    <col min="4354" max="4354" width="10.421875" style="120" customWidth="1"/>
    <col min="4355" max="4357" width="13.7109375" style="120" customWidth="1"/>
    <col min="4358" max="4605" width="9.140625" style="120" customWidth="1"/>
    <col min="4606" max="4606" width="0.13671875" style="120" customWidth="1"/>
    <col min="4607" max="4607" width="35.140625" style="120" customWidth="1"/>
    <col min="4608" max="4608" width="9.7109375" style="120" customWidth="1"/>
    <col min="4609" max="4609" width="9.421875" style="120" customWidth="1"/>
    <col min="4610" max="4610" width="10.421875" style="120" customWidth="1"/>
    <col min="4611" max="4613" width="13.7109375" style="120" customWidth="1"/>
    <col min="4614" max="4861" width="9.140625" style="120" customWidth="1"/>
    <col min="4862" max="4862" width="0.13671875" style="120" customWidth="1"/>
    <col min="4863" max="4863" width="35.140625" style="120" customWidth="1"/>
    <col min="4864" max="4864" width="9.7109375" style="120" customWidth="1"/>
    <col min="4865" max="4865" width="9.421875" style="120" customWidth="1"/>
    <col min="4866" max="4866" width="10.421875" style="120" customWidth="1"/>
    <col min="4867" max="4869" width="13.7109375" style="120" customWidth="1"/>
    <col min="4870" max="5117" width="9.140625" style="120" customWidth="1"/>
    <col min="5118" max="5118" width="0.13671875" style="120" customWidth="1"/>
    <col min="5119" max="5119" width="35.140625" style="120" customWidth="1"/>
    <col min="5120" max="5120" width="9.7109375" style="120" customWidth="1"/>
    <col min="5121" max="5121" width="9.421875" style="120" customWidth="1"/>
    <col min="5122" max="5122" width="10.421875" style="120" customWidth="1"/>
    <col min="5123" max="5125" width="13.7109375" style="120" customWidth="1"/>
    <col min="5126" max="5373" width="9.140625" style="120" customWidth="1"/>
    <col min="5374" max="5374" width="0.13671875" style="120" customWidth="1"/>
    <col min="5375" max="5375" width="35.140625" style="120" customWidth="1"/>
    <col min="5376" max="5376" width="9.7109375" style="120" customWidth="1"/>
    <col min="5377" max="5377" width="9.421875" style="120" customWidth="1"/>
    <col min="5378" max="5378" width="10.421875" style="120" customWidth="1"/>
    <col min="5379" max="5381" width="13.7109375" style="120" customWidth="1"/>
    <col min="5382" max="5629" width="9.140625" style="120" customWidth="1"/>
    <col min="5630" max="5630" width="0.13671875" style="120" customWidth="1"/>
    <col min="5631" max="5631" width="35.140625" style="120" customWidth="1"/>
    <col min="5632" max="5632" width="9.7109375" style="120" customWidth="1"/>
    <col min="5633" max="5633" width="9.421875" style="120" customWidth="1"/>
    <col min="5634" max="5634" width="10.421875" style="120" customWidth="1"/>
    <col min="5635" max="5637" width="13.7109375" style="120" customWidth="1"/>
    <col min="5638" max="5885" width="9.140625" style="120" customWidth="1"/>
    <col min="5886" max="5886" width="0.13671875" style="120" customWidth="1"/>
    <col min="5887" max="5887" width="35.140625" style="120" customWidth="1"/>
    <col min="5888" max="5888" width="9.7109375" style="120" customWidth="1"/>
    <col min="5889" max="5889" width="9.421875" style="120" customWidth="1"/>
    <col min="5890" max="5890" width="10.421875" style="120" customWidth="1"/>
    <col min="5891" max="5893" width="13.7109375" style="120" customWidth="1"/>
    <col min="5894" max="6141" width="9.140625" style="120" customWidth="1"/>
    <col min="6142" max="6142" width="0.13671875" style="120" customWidth="1"/>
    <col min="6143" max="6143" width="35.140625" style="120" customWidth="1"/>
    <col min="6144" max="6144" width="9.7109375" style="120" customWidth="1"/>
    <col min="6145" max="6145" width="9.421875" style="120" customWidth="1"/>
    <col min="6146" max="6146" width="10.421875" style="120" customWidth="1"/>
    <col min="6147" max="6149" width="13.7109375" style="120" customWidth="1"/>
    <col min="6150" max="6397" width="9.140625" style="120" customWidth="1"/>
    <col min="6398" max="6398" width="0.13671875" style="120" customWidth="1"/>
    <col min="6399" max="6399" width="35.140625" style="120" customWidth="1"/>
    <col min="6400" max="6400" width="9.7109375" style="120" customWidth="1"/>
    <col min="6401" max="6401" width="9.421875" style="120" customWidth="1"/>
    <col min="6402" max="6402" width="10.421875" style="120" customWidth="1"/>
    <col min="6403" max="6405" width="13.7109375" style="120" customWidth="1"/>
    <col min="6406" max="6653" width="9.140625" style="120" customWidth="1"/>
    <col min="6654" max="6654" width="0.13671875" style="120" customWidth="1"/>
    <col min="6655" max="6655" width="35.140625" style="120" customWidth="1"/>
    <col min="6656" max="6656" width="9.7109375" style="120" customWidth="1"/>
    <col min="6657" max="6657" width="9.421875" style="120" customWidth="1"/>
    <col min="6658" max="6658" width="10.421875" style="120" customWidth="1"/>
    <col min="6659" max="6661" width="13.7109375" style="120" customWidth="1"/>
    <col min="6662" max="6909" width="9.140625" style="120" customWidth="1"/>
    <col min="6910" max="6910" width="0.13671875" style="120" customWidth="1"/>
    <col min="6911" max="6911" width="35.140625" style="120" customWidth="1"/>
    <col min="6912" max="6912" width="9.7109375" style="120" customWidth="1"/>
    <col min="6913" max="6913" width="9.421875" style="120" customWidth="1"/>
    <col min="6914" max="6914" width="10.421875" style="120" customWidth="1"/>
    <col min="6915" max="6917" width="13.7109375" style="120" customWidth="1"/>
    <col min="6918" max="7165" width="9.140625" style="120" customWidth="1"/>
    <col min="7166" max="7166" width="0.13671875" style="120" customWidth="1"/>
    <col min="7167" max="7167" width="35.140625" style="120" customWidth="1"/>
    <col min="7168" max="7168" width="9.7109375" style="120" customWidth="1"/>
    <col min="7169" max="7169" width="9.421875" style="120" customWidth="1"/>
    <col min="7170" max="7170" width="10.421875" style="120" customWidth="1"/>
    <col min="7171" max="7173" width="13.7109375" style="120" customWidth="1"/>
    <col min="7174" max="7421" width="9.140625" style="120" customWidth="1"/>
    <col min="7422" max="7422" width="0.13671875" style="120" customWidth="1"/>
    <col min="7423" max="7423" width="35.140625" style="120" customWidth="1"/>
    <col min="7424" max="7424" width="9.7109375" style="120" customWidth="1"/>
    <col min="7425" max="7425" width="9.421875" style="120" customWidth="1"/>
    <col min="7426" max="7426" width="10.421875" style="120" customWidth="1"/>
    <col min="7427" max="7429" width="13.7109375" style="120" customWidth="1"/>
    <col min="7430" max="7677" width="9.140625" style="120" customWidth="1"/>
    <col min="7678" max="7678" width="0.13671875" style="120" customWidth="1"/>
    <col min="7679" max="7679" width="35.140625" style="120" customWidth="1"/>
    <col min="7680" max="7680" width="9.7109375" style="120" customWidth="1"/>
    <col min="7681" max="7681" width="9.421875" style="120" customWidth="1"/>
    <col min="7682" max="7682" width="10.421875" style="120" customWidth="1"/>
    <col min="7683" max="7685" width="13.7109375" style="120" customWidth="1"/>
    <col min="7686" max="7933" width="9.140625" style="120" customWidth="1"/>
    <col min="7934" max="7934" width="0.13671875" style="120" customWidth="1"/>
    <col min="7935" max="7935" width="35.140625" style="120" customWidth="1"/>
    <col min="7936" max="7936" width="9.7109375" style="120" customWidth="1"/>
    <col min="7937" max="7937" width="9.421875" style="120" customWidth="1"/>
    <col min="7938" max="7938" width="10.421875" style="120" customWidth="1"/>
    <col min="7939" max="7941" width="13.7109375" style="120" customWidth="1"/>
    <col min="7942" max="8189" width="9.140625" style="120" customWidth="1"/>
    <col min="8190" max="8190" width="0.13671875" style="120" customWidth="1"/>
    <col min="8191" max="8191" width="35.140625" style="120" customWidth="1"/>
    <col min="8192" max="8192" width="9.7109375" style="120" customWidth="1"/>
    <col min="8193" max="8193" width="9.421875" style="120" customWidth="1"/>
    <col min="8194" max="8194" width="10.421875" style="120" customWidth="1"/>
    <col min="8195" max="8197" width="13.7109375" style="120" customWidth="1"/>
    <col min="8198" max="8445" width="9.140625" style="120" customWidth="1"/>
    <col min="8446" max="8446" width="0.13671875" style="120" customWidth="1"/>
    <col min="8447" max="8447" width="35.140625" style="120" customWidth="1"/>
    <col min="8448" max="8448" width="9.7109375" style="120" customWidth="1"/>
    <col min="8449" max="8449" width="9.421875" style="120" customWidth="1"/>
    <col min="8450" max="8450" width="10.421875" style="120" customWidth="1"/>
    <col min="8451" max="8453" width="13.7109375" style="120" customWidth="1"/>
    <col min="8454" max="8701" width="9.140625" style="120" customWidth="1"/>
    <col min="8702" max="8702" width="0.13671875" style="120" customWidth="1"/>
    <col min="8703" max="8703" width="35.140625" style="120" customWidth="1"/>
    <col min="8704" max="8704" width="9.7109375" style="120" customWidth="1"/>
    <col min="8705" max="8705" width="9.421875" style="120" customWidth="1"/>
    <col min="8706" max="8706" width="10.421875" style="120" customWidth="1"/>
    <col min="8707" max="8709" width="13.7109375" style="120" customWidth="1"/>
    <col min="8710" max="8957" width="9.140625" style="120" customWidth="1"/>
    <col min="8958" max="8958" width="0.13671875" style="120" customWidth="1"/>
    <col min="8959" max="8959" width="35.140625" style="120" customWidth="1"/>
    <col min="8960" max="8960" width="9.7109375" style="120" customWidth="1"/>
    <col min="8961" max="8961" width="9.421875" style="120" customWidth="1"/>
    <col min="8962" max="8962" width="10.421875" style="120" customWidth="1"/>
    <col min="8963" max="8965" width="13.7109375" style="120" customWidth="1"/>
    <col min="8966" max="9213" width="9.140625" style="120" customWidth="1"/>
    <col min="9214" max="9214" width="0.13671875" style="120" customWidth="1"/>
    <col min="9215" max="9215" width="35.140625" style="120" customWidth="1"/>
    <col min="9216" max="9216" width="9.7109375" style="120" customWidth="1"/>
    <col min="9217" max="9217" width="9.421875" style="120" customWidth="1"/>
    <col min="9218" max="9218" width="10.421875" style="120" customWidth="1"/>
    <col min="9219" max="9221" width="13.7109375" style="120" customWidth="1"/>
    <col min="9222" max="9469" width="9.140625" style="120" customWidth="1"/>
    <col min="9470" max="9470" width="0.13671875" style="120" customWidth="1"/>
    <col min="9471" max="9471" width="35.140625" style="120" customWidth="1"/>
    <col min="9472" max="9472" width="9.7109375" style="120" customWidth="1"/>
    <col min="9473" max="9473" width="9.421875" style="120" customWidth="1"/>
    <col min="9474" max="9474" width="10.421875" style="120" customWidth="1"/>
    <col min="9475" max="9477" width="13.7109375" style="120" customWidth="1"/>
    <col min="9478" max="9725" width="9.140625" style="120" customWidth="1"/>
    <col min="9726" max="9726" width="0.13671875" style="120" customWidth="1"/>
    <col min="9727" max="9727" width="35.140625" style="120" customWidth="1"/>
    <col min="9728" max="9728" width="9.7109375" style="120" customWidth="1"/>
    <col min="9729" max="9729" width="9.421875" style="120" customWidth="1"/>
    <col min="9730" max="9730" width="10.421875" style="120" customWidth="1"/>
    <col min="9731" max="9733" width="13.7109375" style="120" customWidth="1"/>
    <col min="9734" max="9981" width="9.140625" style="120" customWidth="1"/>
    <col min="9982" max="9982" width="0.13671875" style="120" customWidth="1"/>
    <col min="9983" max="9983" width="35.140625" style="120" customWidth="1"/>
    <col min="9984" max="9984" width="9.7109375" style="120" customWidth="1"/>
    <col min="9985" max="9985" width="9.421875" style="120" customWidth="1"/>
    <col min="9986" max="9986" width="10.421875" style="120" customWidth="1"/>
    <col min="9987" max="9989" width="13.7109375" style="120" customWidth="1"/>
    <col min="9990" max="10237" width="9.140625" style="120" customWidth="1"/>
    <col min="10238" max="10238" width="0.13671875" style="120" customWidth="1"/>
    <col min="10239" max="10239" width="35.140625" style="120" customWidth="1"/>
    <col min="10240" max="10240" width="9.7109375" style="120" customWidth="1"/>
    <col min="10241" max="10241" width="9.421875" style="120" customWidth="1"/>
    <col min="10242" max="10242" width="10.421875" style="120" customWidth="1"/>
    <col min="10243" max="10245" width="13.7109375" style="120" customWidth="1"/>
    <col min="10246" max="10493" width="9.140625" style="120" customWidth="1"/>
    <col min="10494" max="10494" width="0.13671875" style="120" customWidth="1"/>
    <col min="10495" max="10495" width="35.140625" style="120" customWidth="1"/>
    <col min="10496" max="10496" width="9.7109375" style="120" customWidth="1"/>
    <col min="10497" max="10497" width="9.421875" style="120" customWidth="1"/>
    <col min="10498" max="10498" width="10.421875" style="120" customWidth="1"/>
    <col min="10499" max="10501" width="13.7109375" style="120" customWidth="1"/>
    <col min="10502" max="10749" width="9.140625" style="120" customWidth="1"/>
    <col min="10750" max="10750" width="0.13671875" style="120" customWidth="1"/>
    <col min="10751" max="10751" width="35.140625" style="120" customWidth="1"/>
    <col min="10752" max="10752" width="9.7109375" style="120" customWidth="1"/>
    <col min="10753" max="10753" width="9.421875" style="120" customWidth="1"/>
    <col min="10754" max="10754" width="10.421875" style="120" customWidth="1"/>
    <col min="10755" max="10757" width="13.7109375" style="120" customWidth="1"/>
    <col min="10758" max="11005" width="9.140625" style="120" customWidth="1"/>
    <col min="11006" max="11006" width="0.13671875" style="120" customWidth="1"/>
    <col min="11007" max="11007" width="35.140625" style="120" customWidth="1"/>
    <col min="11008" max="11008" width="9.7109375" style="120" customWidth="1"/>
    <col min="11009" max="11009" width="9.421875" style="120" customWidth="1"/>
    <col min="11010" max="11010" width="10.421875" style="120" customWidth="1"/>
    <col min="11011" max="11013" width="13.7109375" style="120" customWidth="1"/>
    <col min="11014" max="11261" width="9.140625" style="120" customWidth="1"/>
    <col min="11262" max="11262" width="0.13671875" style="120" customWidth="1"/>
    <col min="11263" max="11263" width="35.140625" style="120" customWidth="1"/>
    <col min="11264" max="11264" width="9.7109375" style="120" customWidth="1"/>
    <col min="11265" max="11265" width="9.421875" style="120" customWidth="1"/>
    <col min="11266" max="11266" width="10.421875" style="120" customWidth="1"/>
    <col min="11267" max="11269" width="13.7109375" style="120" customWidth="1"/>
    <col min="11270" max="11517" width="9.140625" style="120" customWidth="1"/>
    <col min="11518" max="11518" width="0.13671875" style="120" customWidth="1"/>
    <col min="11519" max="11519" width="35.140625" style="120" customWidth="1"/>
    <col min="11520" max="11520" width="9.7109375" style="120" customWidth="1"/>
    <col min="11521" max="11521" width="9.421875" style="120" customWidth="1"/>
    <col min="11522" max="11522" width="10.421875" style="120" customWidth="1"/>
    <col min="11523" max="11525" width="13.7109375" style="120" customWidth="1"/>
    <col min="11526" max="11773" width="9.140625" style="120" customWidth="1"/>
    <col min="11774" max="11774" width="0.13671875" style="120" customWidth="1"/>
    <col min="11775" max="11775" width="35.140625" style="120" customWidth="1"/>
    <col min="11776" max="11776" width="9.7109375" style="120" customWidth="1"/>
    <col min="11777" max="11777" width="9.421875" style="120" customWidth="1"/>
    <col min="11778" max="11778" width="10.421875" style="120" customWidth="1"/>
    <col min="11779" max="11781" width="13.7109375" style="120" customWidth="1"/>
    <col min="11782" max="12029" width="9.140625" style="120" customWidth="1"/>
    <col min="12030" max="12030" width="0.13671875" style="120" customWidth="1"/>
    <col min="12031" max="12031" width="35.140625" style="120" customWidth="1"/>
    <col min="12032" max="12032" width="9.7109375" style="120" customWidth="1"/>
    <col min="12033" max="12033" width="9.421875" style="120" customWidth="1"/>
    <col min="12034" max="12034" width="10.421875" style="120" customWidth="1"/>
    <col min="12035" max="12037" width="13.7109375" style="120" customWidth="1"/>
    <col min="12038" max="12285" width="9.140625" style="120" customWidth="1"/>
    <col min="12286" max="12286" width="0.13671875" style="120" customWidth="1"/>
    <col min="12287" max="12287" width="35.140625" style="120" customWidth="1"/>
    <col min="12288" max="12288" width="9.7109375" style="120" customWidth="1"/>
    <col min="12289" max="12289" width="9.421875" style="120" customWidth="1"/>
    <col min="12290" max="12290" width="10.421875" style="120" customWidth="1"/>
    <col min="12291" max="12293" width="13.7109375" style="120" customWidth="1"/>
    <col min="12294" max="12541" width="9.140625" style="120" customWidth="1"/>
    <col min="12542" max="12542" width="0.13671875" style="120" customWidth="1"/>
    <col min="12543" max="12543" width="35.140625" style="120" customWidth="1"/>
    <col min="12544" max="12544" width="9.7109375" style="120" customWidth="1"/>
    <col min="12545" max="12545" width="9.421875" style="120" customWidth="1"/>
    <col min="12546" max="12546" width="10.421875" style="120" customWidth="1"/>
    <col min="12547" max="12549" width="13.7109375" style="120" customWidth="1"/>
    <col min="12550" max="12797" width="9.140625" style="120" customWidth="1"/>
    <col min="12798" max="12798" width="0.13671875" style="120" customWidth="1"/>
    <col min="12799" max="12799" width="35.140625" style="120" customWidth="1"/>
    <col min="12800" max="12800" width="9.7109375" style="120" customWidth="1"/>
    <col min="12801" max="12801" width="9.421875" style="120" customWidth="1"/>
    <col min="12802" max="12802" width="10.421875" style="120" customWidth="1"/>
    <col min="12803" max="12805" width="13.7109375" style="120" customWidth="1"/>
    <col min="12806" max="13053" width="9.140625" style="120" customWidth="1"/>
    <col min="13054" max="13054" width="0.13671875" style="120" customWidth="1"/>
    <col min="13055" max="13055" width="35.140625" style="120" customWidth="1"/>
    <col min="13056" max="13056" width="9.7109375" style="120" customWidth="1"/>
    <col min="13057" max="13057" width="9.421875" style="120" customWidth="1"/>
    <col min="13058" max="13058" width="10.421875" style="120" customWidth="1"/>
    <col min="13059" max="13061" width="13.7109375" style="120" customWidth="1"/>
    <col min="13062" max="13309" width="9.140625" style="120" customWidth="1"/>
    <col min="13310" max="13310" width="0.13671875" style="120" customWidth="1"/>
    <col min="13311" max="13311" width="35.140625" style="120" customWidth="1"/>
    <col min="13312" max="13312" width="9.7109375" style="120" customWidth="1"/>
    <col min="13313" max="13313" width="9.421875" style="120" customWidth="1"/>
    <col min="13314" max="13314" width="10.421875" style="120" customWidth="1"/>
    <col min="13315" max="13317" width="13.7109375" style="120" customWidth="1"/>
    <col min="13318" max="13565" width="9.140625" style="120" customWidth="1"/>
    <col min="13566" max="13566" width="0.13671875" style="120" customWidth="1"/>
    <col min="13567" max="13567" width="35.140625" style="120" customWidth="1"/>
    <col min="13568" max="13568" width="9.7109375" style="120" customWidth="1"/>
    <col min="13569" max="13569" width="9.421875" style="120" customWidth="1"/>
    <col min="13570" max="13570" width="10.421875" style="120" customWidth="1"/>
    <col min="13571" max="13573" width="13.7109375" style="120" customWidth="1"/>
    <col min="13574" max="13821" width="9.140625" style="120" customWidth="1"/>
    <col min="13822" max="13822" width="0.13671875" style="120" customWidth="1"/>
    <col min="13823" max="13823" width="35.140625" style="120" customWidth="1"/>
    <col min="13824" max="13824" width="9.7109375" style="120" customWidth="1"/>
    <col min="13825" max="13825" width="9.421875" style="120" customWidth="1"/>
    <col min="13826" max="13826" width="10.421875" style="120" customWidth="1"/>
    <col min="13827" max="13829" width="13.7109375" style="120" customWidth="1"/>
    <col min="13830" max="14077" width="9.140625" style="120" customWidth="1"/>
    <col min="14078" max="14078" width="0.13671875" style="120" customWidth="1"/>
    <col min="14079" max="14079" width="35.140625" style="120" customWidth="1"/>
    <col min="14080" max="14080" width="9.7109375" style="120" customWidth="1"/>
    <col min="14081" max="14081" width="9.421875" style="120" customWidth="1"/>
    <col min="14082" max="14082" width="10.421875" style="120" customWidth="1"/>
    <col min="14083" max="14085" width="13.7109375" style="120" customWidth="1"/>
    <col min="14086" max="14333" width="9.140625" style="120" customWidth="1"/>
    <col min="14334" max="14334" width="0.13671875" style="120" customWidth="1"/>
    <col min="14335" max="14335" width="35.140625" style="120" customWidth="1"/>
    <col min="14336" max="14336" width="9.7109375" style="120" customWidth="1"/>
    <col min="14337" max="14337" width="9.421875" style="120" customWidth="1"/>
    <col min="14338" max="14338" width="10.421875" style="120" customWidth="1"/>
    <col min="14339" max="14341" width="13.7109375" style="120" customWidth="1"/>
    <col min="14342" max="14589" width="9.140625" style="120" customWidth="1"/>
    <col min="14590" max="14590" width="0.13671875" style="120" customWidth="1"/>
    <col min="14591" max="14591" width="35.140625" style="120" customWidth="1"/>
    <col min="14592" max="14592" width="9.7109375" style="120" customWidth="1"/>
    <col min="14593" max="14593" width="9.421875" style="120" customWidth="1"/>
    <col min="14594" max="14594" width="10.421875" style="120" customWidth="1"/>
    <col min="14595" max="14597" width="13.7109375" style="120" customWidth="1"/>
    <col min="14598" max="14845" width="9.140625" style="120" customWidth="1"/>
    <col min="14846" max="14846" width="0.13671875" style="120" customWidth="1"/>
    <col min="14847" max="14847" width="35.140625" style="120" customWidth="1"/>
    <col min="14848" max="14848" width="9.7109375" style="120" customWidth="1"/>
    <col min="14849" max="14849" width="9.421875" style="120" customWidth="1"/>
    <col min="14850" max="14850" width="10.421875" style="120" customWidth="1"/>
    <col min="14851" max="14853" width="13.7109375" style="120" customWidth="1"/>
    <col min="14854" max="15101" width="9.140625" style="120" customWidth="1"/>
    <col min="15102" max="15102" width="0.13671875" style="120" customWidth="1"/>
    <col min="15103" max="15103" width="35.140625" style="120" customWidth="1"/>
    <col min="15104" max="15104" width="9.7109375" style="120" customWidth="1"/>
    <col min="15105" max="15105" width="9.421875" style="120" customWidth="1"/>
    <col min="15106" max="15106" width="10.421875" style="120" customWidth="1"/>
    <col min="15107" max="15109" width="13.7109375" style="120" customWidth="1"/>
    <col min="15110" max="15357" width="9.140625" style="120" customWidth="1"/>
    <col min="15358" max="15358" width="0.13671875" style="120" customWidth="1"/>
    <col min="15359" max="15359" width="35.140625" style="120" customWidth="1"/>
    <col min="15360" max="15360" width="9.7109375" style="120" customWidth="1"/>
    <col min="15361" max="15361" width="9.421875" style="120" customWidth="1"/>
    <col min="15362" max="15362" width="10.421875" style="120" customWidth="1"/>
    <col min="15363" max="15365" width="13.7109375" style="120" customWidth="1"/>
    <col min="15366" max="15613" width="9.140625" style="120" customWidth="1"/>
    <col min="15614" max="15614" width="0.13671875" style="120" customWidth="1"/>
    <col min="15615" max="15615" width="35.140625" style="120" customWidth="1"/>
    <col min="15616" max="15616" width="9.7109375" style="120" customWidth="1"/>
    <col min="15617" max="15617" width="9.421875" style="120" customWidth="1"/>
    <col min="15618" max="15618" width="10.421875" style="120" customWidth="1"/>
    <col min="15619" max="15621" width="13.7109375" style="120" customWidth="1"/>
    <col min="15622" max="15869" width="9.140625" style="120" customWidth="1"/>
    <col min="15870" max="15870" width="0.13671875" style="120" customWidth="1"/>
    <col min="15871" max="15871" width="35.140625" style="120" customWidth="1"/>
    <col min="15872" max="15872" width="9.7109375" style="120" customWidth="1"/>
    <col min="15873" max="15873" width="9.421875" style="120" customWidth="1"/>
    <col min="15874" max="15874" width="10.421875" style="120" customWidth="1"/>
    <col min="15875" max="15877" width="13.7109375" style="120" customWidth="1"/>
    <col min="15878" max="16125" width="9.140625" style="120" customWidth="1"/>
    <col min="16126" max="16126" width="0.13671875" style="120" customWidth="1"/>
    <col min="16127" max="16127" width="35.140625" style="120" customWidth="1"/>
    <col min="16128" max="16128" width="9.7109375" style="120" customWidth="1"/>
    <col min="16129" max="16129" width="9.421875" style="120" customWidth="1"/>
    <col min="16130" max="16130" width="10.421875" style="120" customWidth="1"/>
    <col min="16131" max="16133" width="13.7109375" style="120" customWidth="1"/>
    <col min="16134" max="16384" width="9.140625" style="120" customWidth="1"/>
  </cols>
  <sheetData>
    <row r="1" spans="6:7" ht="18" customHeight="1">
      <c r="F1" s="204" t="s">
        <v>680</v>
      </c>
      <c r="G1" s="204"/>
    </row>
    <row r="2" ht="15.2" customHeight="1"/>
    <row r="3" spans="2:26" ht="12.75">
      <c r="B3" s="135"/>
      <c r="C3" s="133">
        <v>2018</v>
      </c>
      <c r="D3" s="133">
        <v>2019</v>
      </c>
      <c r="E3" s="133">
        <v>2020</v>
      </c>
      <c r="F3" s="120">
        <v>2021</v>
      </c>
      <c r="G3" s="133">
        <v>2022</v>
      </c>
      <c r="H3" s="133">
        <v>2023</v>
      </c>
      <c r="I3" s="133">
        <v>2024</v>
      </c>
      <c r="J3" s="133">
        <v>2025</v>
      </c>
      <c r="K3" s="133">
        <v>2026</v>
      </c>
      <c r="L3" s="133">
        <v>2027</v>
      </c>
      <c r="M3" s="133">
        <v>2028</v>
      </c>
      <c r="N3" s="133">
        <v>2029</v>
      </c>
      <c r="O3" s="133">
        <v>2030</v>
      </c>
      <c r="P3" s="133">
        <v>2031</v>
      </c>
      <c r="Q3" s="133">
        <v>2032</v>
      </c>
      <c r="R3" s="133">
        <v>2033</v>
      </c>
      <c r="S3" s="133">
        <v>2034</v>
      </c>
      <c r="T3" s="133">
        <v>2035</v>
      </c>
      <c r="U3" s="133">
        <v>2036</v>
      </c>
      <c r="V3" s="133">
        <v>2037</v>
      </c>
      <c r="W3" s="133">
        <v>2038</v>
      </c>
      <c r="X3" s="133">
        <v>2039</v>
      </c>
      <c r="Y3" s="133">
        <v>2040</v>
      </c>
      <c r="Z3" s="133">
        <v>2041</v>
      </c>
    </row>
    <row r="4" spans="2:30" s="123" customFormat="1" ht="21.75" customHeight="1">
      <c r="B4" s="306" t="s">
        <v>625</v>
      </c>
      <c r="C4" s="306">
        <f>+C6-C5</f>
        <v>205511</v>
      </c>
      <c r="D4" s="306">
        <f>+D6-D5</f>
        <v>135525</v>
      </c>
      <c r="E4" s="306">
        <f aca="true" t="shared" si="0" ref="E4:AD4">+E6-E5</f>
        <v>252835</v>
      </c>
      <c r="F4" s="306">
        <f t="shared" si="0"/>
        <v>271589</v>
      </c>
      <c r="G4" s="306">
        <f t="shared" si="0"/>
        <v>297679</v>
      </c>
      <c r="H4" s="306">
        <f t="shared" si="0"/>
        <v>317847</v>
      </c>
      <c r="I4" s="306">
        <f t="shared" si="0"/>
        <v>324829</v>
      </c>
      <c r="J4" s="306">
        <f t="shared" si="0"/>
        <v>332565</v>
      </c>
      <c r="K4" s="306">
        <f t="shared" si="0"/>
        <v>339189</v>
      </c>
      <c r="L4" s="306">
        <f t="shared" si="0"/>
        <v>346777</v>
      </c>
      <c r="M4" s="306">
        <f t="shared" si="0"/>
        <v>354378</v>
      </c>
      <c r="N4" s="306">
        <f t="shared" si="0"/>
        <v>361999</v>
      </c>
      <c r="O4" s="306">
        <f t="shared" si="0"/>
        <v>369466</v>
      </c>
      <c r="P4" s="306">
        <f t="shared" si="0"/>
        <v>377078.36340000003</v>
      </c>
      <c r="Q4" s="306">
        <f t="shared" si="0"/>
        <v>384833.85120434</v>
      </c>
      <c r="R4" s="306">
        <f t="shared" si="0"/>
        <v>392774.37159866764</v>
      </c>
      <c r="S4" s="306">
        <f t="shared" si="0"/>
        <v>400950.8019792804</v>
      </c>
      <c r="T4" s="306">
        <f t="shared" si="0"/>
        <v>409371.60930005356</v>
      </c>
      <c r="U4" s="306">
        <f t="shared" si="0"/>
        <v>418006.20251256466</v>
      </c>
      <c r="V4" s="306">
        <f t="shared" si="0"/>
        <v>426822.1039045747</v>
      </c>
      <c r="W4" s="306">
        <f t="shared" si="0"/>
        <v>435782.7648450089</v>
      </c>
      <c r="X4" s="306">
        <f t="shared" si="0"/>
        <v>444890.18402433157</v>
      </c>
      <c r="Y4" s="306">
        <f t="shared" si="0"/>
        <v>454227.55941523286</v>
      </c>
      <c r="Z4" s="306">
        <f t="shared" si="0"/>
        <v>463803.97089512815</v>
      </c>
      <c r="AA4" s="306">
        <f t="shared" si="0"/>
        <v>473623.6886897468</v>
      </c>
      <c r="AB4" s="306">
        <f t="shared" si="0"/>
        <v>483739.4261522314</v>
      </c>
      <c r="AC4" s="306">
        <f t="shared" si="0"/>
        <v>494115.4656440434</v>
      </c>
      <c r="AD4" s="306">
        <f t="shared" si="0"/>
        <v>504759.7599156972</v>
      </c>
    </row>
    <row r="5" spans="2:11" s="123" customFormat="1" ht="15">
      <c r="B5" s="306" t="s">
        <v>626</v>
      </c>
      <c r="C5" s="306"/>
      <c r="D5" s="307">
        <v>82000</v>
      </c>
      <c r="E5" s="307"/>
      <c r="F5" s="307"/>
      <c r="G5" s="307"/>
      <c r="H5" s="307"/>
      <c r="I5" s="307"/>
      <c r="J5" s="307"/>
      <c r="K5" s="307"/>
    </row>
    <row r="6" spans="2:30" s="123" customFormat="1" ht="15">
      <c r="B6" s="306" t="s">
        <v>627</v>
      </c>
      <c r="C6" s="306">
        <v>205511</v>
      </c>
      <c r="D6" s="359">
        <v>217525</v>
      </c>
      <c r="E6" s="307">
        <v>252835</v>
      </c>
      <c r="F6" s="307">
        <v>271589</v>
      </c>
      <c r="G6" s="307">
        <v>297679</v>
      </c>
      <c r="H6" s="307">
        <v>317847</v>
      </c>
      <c r="I6" s="307">
        <v>324829</v>
      </c>
      <c r="J6" s="307">
        <v>332565</v>
      </c>
      <c r="K6" s="307">
        <v>339189</v>
      </c>
      <c r="L6" s="123">
        <v>346777</v>
      </c>
      <c r="M6" s="123">
        <v>354378</v>
      </c>
      <c r="N6" s="123">
        <v>361999</v>
      </c>
      <c r="O6" s="123">
        <v>369466</v>
      </c>
      <c r="P6" s="123">
        <v>377078.36340000003</v>
      </c>
      <c r="Q6" s="123">
        <v>384833.85120434</v>
      </c>
      <c r="R6" s="123">
        <v>392774.37159866764</v>
      </c>
      <c r="S6" s="123">
        <v>400950.8019792804</v>
      </c>
      <c r="T6" s="123">
        <v>409371.60930005356</v>
      </c>
      <c r="U6" s="123">
        <v>418006.20251256466</v>
      </c>
      <c r="V6" s="123">
        <v>426822.1039045747</v>
      </c>
      <c r="W6" s="123">
        <v>435782.7648450089</v>
      </c>
      <c r="X6" s="123">
        <v>444890.18402433157</v>
      </c>
      <c r="Y6" s="123">
        <v>454227.55941523286</v>
      </c>
      <c r="Z6" s="123">
        <v>463803.97089512815</v>
      </c>
      <c r="AA6" s="123">
        <v>473623.6886897468</v>
      </c>
      <c r="AB6" s="123">
        <v>483739.4261522314</v>
      </c>
      <c r="AC6" s="123">
        <v>494115.4656440434</v>
      </c>
      <c r="AD6" s="123">
        <v>504759.7599156972</v>
      </c>
    </row>
    <row r="7" spans="2:11" s="123" customFormat="1" ht="15">
      <c r="B7" s="306"/>
      <c r="C7" s="306"/>
      <c r="D7" s="306"/>
      <c r="E7" s="307"/>
      <c r="F7" s="307"/>
      <c r="G7" s="307"/>
      <c r="H7" s="307"/>
      <c r="I7" s="307"/>
      <c r="J7" s="307"/>
      <c r="K7" s="307"/>
    </row>
    <row r="8" spans="2:33" s="123" customFormat="1" ht="15">
      <c r="B8" s="306" t="s">
        <v>679</v>
      </c>
      <c r="C8" s="309">
        <v>48340.419323</v>
      </c>
      <c r="D8" s="309">
        <v>79572.42009999999</v>
      </c>
      <c r="E8" s="309">
        <v>19118.7751</v>
      </c>
      <c r="F8" s="309">
        <v>42645.902799999996</v>
      </c>
      <c r="G8" s="309">
        <v>16019.885000000002</v>
      </c>
      <c r="H8" s="309">
        <v>6022.15</v>
      </c>
      <c r="I8" s="309">
        <v>31073.645000000004</v>
      </c>
      <c r="J8" s="309">
        <v>54303.47</v>
      </c>
      <c r="K8" s="309">
        <v>10471.467200000001</v>
      </c>
      <c r="L8" s="309">
        <v>0</v>
      </c>
      <c r="M8" s="309">
        <v>56751.435000000005</v>
      </c>
      <c r="N8" s="309">
        <v>20346</v>
      </c>
      <c r="O8" s="332">
        <v>0</v>
      </c>
      <c r="P8" s="332">
        <v>16428</v>
      </c>
      <c r="Q8" s="332">
        <v>16428</v>
      </c>
      <c r="R8" s="332">
        <v>16428</v>
      </c>
      <c r="S8" s="332">
        <v>16428</v>
      </c>
      <c r="T8" s="332">
        <v>16428</v>
      </c>
      <c r="U8" s="332">
        <v>16428</v>
      </c>
      <c r="V8" s="332">
        <v>16428</v>
      </c>
      <c r="W8" s="332">
        <v>16428</v>
      </c>
      <c r="X8" s="332">
        <v>16428</v>
      </c>
      <c r="Y8" s="332">
        <v>16428</v>
      </c>
      <c r="Z8" s="332">
        <v>16428</v>
      </c>
      <c r="AA8" s="332">
        <v>16428</v>
      </c>
      <c r="AB8" s="332">
        <v>16428</v>
      </c>
      <c r="AC8" s="332">
        <v>16428</v>
      </c>
      <c r="AD8" s="332">
        <v>16428</v>
      </c>
      <c r="AE8" s="332">
        <v>16428</v>
      </c>
      <c r="AF8" s="332">
        <v>16428</v>
      </c>
      <c r="AG8" s="332">
        <v>16428</v>
      </c>
    </row>
    <row r="9" spans="2:30" s="123" customFormat="1" ht="15">
      <c r="B9" s="306" t="s">
        <v>408</v>
      </c>
      <c r="C9" s="306">
        <v>9862.532673499998</v>
      </c>
      <c r="D9" s="306">
        <v>7168</v>
      </c>
      <c r="E9" s="307">
        <v>8783.268</v>
      </c>
      <c r="F9" s="307">
        <v>8783.268</v>
      </c>
      <c r="G9" s="307">
        <v>8766.9</v>
      </c>
      <c r="H9" s="307">
        <v>8771.15</v>
      </c>
      <c r="I9" s="307">
        <v>8321.144</v>
      </c>
      <c r="J9" s="307">
        <v>7963.659</v>
      </c>
      <c r="K9" s="307">
        <v>7548.987</v>
      </c>
      <c r="L9" s="123">
        <v>7097.7235</v>
      </c>
      <c r="M9" s="123">
        <v>6739.116</v>
      </c>
      <c r="N9" s="123">
        <v>6742.3735</v>
      </c>
      <c r="O9" s="123">
        <v>6881.2181831</v>
      </c>
      <c r="P9" s="123">
        <v>7022.920436142885</v>
      </c>
      <c r="Q9" s="123">
        <v>7167.53903879994</v>
      </c>
      <c r="R9" s="123">
        <v>7315.851078892471</v>
      </c>
      <c r="S9" s="123">
        <v>7468.694158541429</v>
      </c>
      <c r="T9" s="123">
        <v>7626.223130030308</v>
      </c>
      <c r="U9" s="123">
        <v>7787.8358697915955</v>
      </c>
      <c r="V9" s="123">
        <v>7952.871616630015</v>
      </c>
      <c r="W9" s="123">
        <v>8120.6071636796</v>
      </c>
      <c r="X9" s="123">
        <v>8291.066083312853</v>
      </c>
      <c r="Y9" s="123">
        <v>8465.930638746142</v>
      </c>
      <c r="Z9" s="123">
        <v>8645.328216983453</v>
      </c>
      <c r="AA9" s="123">
        <v>8829.390236443494</v>
      </c>
      <c r="AB9" s="123">
        <v>9019.135646999073</v>
      </c>
      <c r="AC9" s="123">
        <v>9213.858950089976</v>
      </c>
      <c r="AD9" s="123">
        <v>9413.705995039018</v>
      </c>
    </row>
    <row r="10" spans="2:30" s="123" customFormat="1" ht="15">
      <c r="B10" s="306" t="s">
        <v>337</v>
      </c>
      <c r="C10" s="306">
        <v>37000</v>
      </c>
      <c r="D10" s="306">
        <v>35000</v>
      </c>
      <c r="E10" s="307">
        <v>47266.246</v>
      </c>
      <c r="F10" s="307">
        <v>47266.246</v>
      </c>
      <c r="G10" s="307">
        <v>43000</v>
      </c>
      <c r="H10" s="307">
        <v>43000</v>
      </c>
      <c r="I10" s="307">
        <v>40000</v>
      </c>
      <c r="J10" s="307">
        <v>40000</v>
      </c>
      <c r="K10" s="307">
        <v>40000</v>
      </c>
      <c r="L10" s="123">
        <v>40000</v>
      </c>
      <c r="M10" s="123">
        <v>39922.553</v>
      </c>
      <c r="N10" s="123">
        <v>15000</v>
      </c>
      <c r="O10" s="123">
        <v>15301.5</v>
      </c>
      <c r="P10" s="123">
        <v>15609.06015</v>
      </c>
      <c r="Q10" s="123">
        <v>15922.802259015</v>
      </c>
      <c r="R10" s="123">
        <v>16244.442864647102</v>
      </c>
      <c r="S10" s="123">
        <v>16575.829499085903</v>
      </c>
      <c r="T10" s="123">
        <v>16917.29158676707</v>
      </c>
      <c r="U10" s="123">
        <v>17267.479522613146</v>
      </c>
      <c r="V10" s="123">
        <v>17624.916348731236</v>
      </c>
      <c r="W10" s="123">
        <v>17987.9896255151</v>
      </c>
      <c r="X10" s="123">
        <v>18356.743412838157</v>
      </c>
      <c r="Y10" s="123">
        <v>18734.89232714262</v>
      </c>
      <c r="Z10" s="123">
        <v>19122.70459831447</v>
      </c>
      <c r="AA10" s="123">
        <v>19520.45685395941</v>
      </c>
      <c r="AB10" s="123">
        <v>19930.386447892557</v>
      </c>
      <c r="AC10" s="123">
        <v>20350.91760194309</v>
      </c>
      <c r="AD10" s="123">
        <v>20782.357055104283</v>
      </c>
    </row>
    <row r="11" spans="2:30" s="123" customFormat="1" ht="12.75">
      <c r="B11" s="306" t="s">
        <v>677</v>
      </c>
      <c r="C11" s="306">
        <f>SUM(C6:C10)</f>
        <v>300713.9519965</v>
      </c>
      <c r="D11" s="306">
        <f>SUM(D6:D10)</f>
        <v>339265.4201</v>
      </c>
      <c r="E11" s="306">
        <f aca="true" t="shared" si="1" ref="E11:AD11">SUM(E6:E10)</f>
        <v>328003.28909999994</v>
      </c>
      <c r="F11" s="306">
        <f t="shared" si="1"/>
        <v>370284.41679999995</v>
      </c>
      <c r="G11" s="306">
        <f t="shared" si="1"/>
        <v>365465.78500000003</v>
      </c>
      <c r="H11" s="306">
        <f t="shared" si="1"/>
        <v>375640.30000000005</v>
      </c>
      <c r="I11" s="306">
        <f t="shared" si="1"/>
        <v>404223.789</v>
      </c>
      <c r="J11" s="306">
        <f t="shared" si="1"/>
        <v>434832.12899999996</v>
      </c>
      <c r="K11" s="306">
        <f t="shared" si="1"/>
        <v>397209.45420000004</v>
      </c>
      <c r="L11" s="306">
        <f t="shared" si="1"/>
        <v>393874.7235</v>
      </c>
      <c r="M11" s="306">
        <f t="shared" si="1"/>
        <v>457791.104</v>
      </c>
      <c r="N11" s="306">
        <f t="shared" si="1"/>
        <v>404087.3735</v>
      </c>
      <c r="O11" s="306">
        <f t="shared" si="1"/>
        <v>391648.7181831</v>
      </c>
      <c r="P11" s="306">
        <f t="shared" si="1"/>
        <v>416138.3439861429</v>
      </c>
      <c r="Q11" s="306">
        <f t="shared" si="1"/>
        <v>424352.1925021549</v>
      </c>
      <c r="R11" s="306">
        <f t="shared" si="1"/>
        <v>432762.6655422072</v>
      </c>
      <c r="S11" s="306">
        <f t="shared" si="1"/>
        <v>441423.3256369078</v>
      </c>
      <c r="T11" s="306">
        <f t="shared" si="1"/>
        <v>450343.12401685095</v>
      </c>
      <c r="U11" s="306">
        <f t="shared" si="1"/>
        <v>459489.5179049694</v>
      </c>
      <c r="V11" s="306">
        <f t="shared" si="1"/>
        <v>468827.89186993596</v>
      </c>
      <c r="W11" s="306">
        <f t="shared" si="1"/>
        <v>478319.36163420364</v>
      </c>
      <c r="X11" s="306">
        <f t="shared" si="1"/>
        <v>487965.99352048256</v>
      </c>
      <c r="Y11" s="306">
        <f t="shared" si="1"/>
        <v>497856.3823811216</v>
      </c>
      <c r="Z11" s="306">
        <f t="shared" si="1"/>
        <v>508000.0037104261</v>
      </c>
      <c r="AA11" s="306">
        <f t="shared" si="1"/>
        <v>518401.5357801497</v>
      </c>
      <c r="AB11" s="306">
        <f t="shared" si="1"/>
        <v>529116.948247123</v>
      </c>
      <c r="AC11" s="306">
        <f t="shared" si="1"/>
        <v>540108.2421960764</v>
      </c>
      <c r="AD11" s="306">
        <f t="shared" si="1"/>
        <v>551383.8229658406</v>
      </c>
    </row>
    <row r="12" spans="2:30" s="123" customFormat="1" ht="12.75">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row>
    <row r="13" spans="2:30" s="123" customFormat="1" ht="12.75">
      <c r="B13" s="306" t="s">
        <v>678</v>
      </c>
      <c r="C13" s="306">
        <v>15210.808943600001</v>
      </c>
      <c r="D13" s="306">
        <v>7808.496800000001</v>
      </c>
      <c r="E13" s="306">
        <v>16431.7705</v>
      </c>
      <c r="F13" s="306">
        <v>14410.776000000002</v>
      </c>
      <c r="G13" s="306">
        <v>6924.681499999999</v>
      </c>
      <c r="H13" s="306">
        <v>4952.865599999999</v>
      </c>
      <c r="I13" s="306">
        <v>3767.9262</v>
      </c>
      <c r="J13" s="306">
        <v>1093.7508</v>
      </c>
      <c r="K13" s="306">
        <v>812.6632999999999</v>
      </c>
      <c r="L13" s="306">
        <v>207.39329999999998</v>
      </c>
      <c r="M13" s="306">
        <v>0</v>
      </c>
      <c r="N13" s="306">
        <v>0</v>
      </c>
      <c r="O13" s="306">
        <v>40764.0212</v>
      </c>
      <c r="P13" s="306"/>
      <c r="Q13" s="306"/>
      <c r="R13" s="306"/>
      <c r="S13" s="306"/>
      <c r="T13" s="306"/>
      <c r="U13" s="306"/>
      <c r="V13" s="306"/>
      <c r="W13" s="306"/>
      <c r="X13" s="306"/>
      <c r="Y13" s="306"/>
      <c r="Z13" s="306"/>
      <c r="AA13" s="306"/>
      <c r="AB13" s="306"/>
      <c r="AC13" s="306"/>
      <c r="AD13" s="306"/>
    </row>
    <row r="14" spans="2:30" ht="12.75">
      <c r="B14" s="136" t="s">
        <v>648</v>
      </c>
      <c r="C14" s="308">
        <f>+C11-C5+C13</f>
        <v>315924.7609401</v>
      </c>
      <c r="D14" s="308">
        <f>+D11-D5+D13</f>
        <v>265073.9169</v>
      </c>
      <c r="E14" s="308">
        <f>+E11-E5+E13</f>
        <v>344435.0595999999</v>
      </c>
      <c r="F14" s="308">
        <f aca="true" t="shared" si="2" ref="F14:AD14">+F11-F5+F13</f>
        <v>384695.19279999996</v>
      </c>
      <c r="G14" s="308">
        <f t="shared" si="2"/>
        <v>372390.46650000004</v>
      </c>
      <c r="H14" s="308">
        <f t="shared" si="2"/>
        <v>380593.16560000007</v>
      </c>
      <c r="I14" s="308">
        <f t="shared" si="2"/>
        <v>407991.7152</v>
      </c>
      <c r="J14" s="308">
        <f t="shared" si="2"/>
        <v>435925.87979999994</v>
      </c>
      <c r="K14" s="308">
        <f t="shared" si="2"/>
        <v>398022.11750000005</v>
      </c>
      <c r="L14" s="308">
        <f t="shared" si="2"/>
        <v>394082.1168</v>
      </c>
      <c r="M14" s="308">
        <f t="shared" si="2"/>
        <v>457791.104</v>
      </c>
      <c r="N14" s="308">
        <f t="shared" si="2"/>
        <v>404087.3735</v>
      </c>
      <c r="O14" s="308">
        <f t="shared" si="2"/>
        <v>432412.7393831</v>
      </c>
      <c r="P14" s="308">
        <f t="shared" si="2"/>
        <v>416138.3439861429</v>
      </c>
      <c r="Q14" s="308">
        <f t="shared" si="2"/>
        <v>424352.1925021549</v>
      </c>
      <c r="R14" s="308">
        <f t="shared" si="2"/>
        <v>432762.6655422072</v>
      </c>
      <c r="S14" s="308">
        <f t="shared" si="2"/>
        <v>441423.3256369078</v>
      </c>
      <c r="T14" s="308">
        <f t="shared" si="2"/>
        <v>450343.12401685095</v>
      </c>
      <c r="U14" s="308">
        <f t="shared" si="2"/>
        <v>459489.5179049694</v>
      </c>
      <c r="V14" s="308">
        <f t="shared" si="2"/>
        <v>468827.89186993596</v>
      </c>
      <c r="W14" s="308">
        <f t="shared" si="2"/>
        <v>478319.36163420364</v>
      </c>
      <c r="X14" s="308">
        <f t="shared" si="2"/>
        <v>487965.99352048256</v>
      </c>
      <c r="Y14" s="308">
        <f t="shared" si="2"/>
        <v>497856.3823811216</v>
      </c>
      <c r="Z14" s="308">
        <f t="shared" si="2"/>
        <v>508000.0037104261</v>
      </c>
      <c r="AA14" s="308">
        <f t="shared" si="2"/>
        <v>518401.5357801497</v>
      </c>
      <c r="AB14" s="308">
        <f t="shared" si="2"/>
        <v>529116.948247123</v>
      </c>
      <c r="AC14" s="308">
        <f t="shared" si="2"/>
        <v>540108.2421960764</v>
      </c>
      <c r="AD14" s="308">
        <f t="shared" si="2"/>
        <v>551383.8229658406</v>
      </c>
    </row>
    <row r="15" spans="2:6" ht="12.75">
      <c r="B15" s="14"/>
      <c r="C15" s="14"/>
      <c r="D15" s="14"/>
      <c r="E15" s="7"/>
      <c r="F15" s="7"/>
    </row>
    <row r="16" spans="2:6" ht="12.75">
      <c r="B16" s="14"/>
      <c r="C16" s="14"/>
      <c r="D16" s="14"/>
      <c r="E16" s="15"/>
      <c r="F16" s="15"/>
    </row>
    <row r="17" spans="2:6" ht="12.75">
      <c r="B17" s="14"/>
      <c r="C17" s="14"/>
      <c r="D17" s="14"/>
      <c r="E17" s="15"/>
      <c r="F17" s="15"/>
    </row>
    <row r="18" spans="2:6" ht="12.75">
      <c r="B18" s="14"/>
      <c r="C18" s="14"/>
      <c r="D18" s="14"/>
      <c r="E18" s="15"/>
      <c r="F18"/>
    </row>
    <row r="19" spans="2:6" ht="12.75">
      <c r="B19" s="137"/>
      <c r="C19" s="137"/>
      <c r="D19" s="137"/>
      <c r="E19" s="15">
        <f>+F6+G6</f>
        <v>569268</v>
      </c>
      <c r="F19"/>
    </row>
    <row r="20" spans="2:8" ht="13.5" customHeight="1">
      <c r="B20" s="137"/>
      <c r="C20" s="137"/>
      <c r="D20" s="137"/>
      <c r="E20" s="15">
        <f>+E10+F10</f>
        <v>94532.492</v>
      </c>
      <c r="F20"/>
      <c r="G20" s="123"/>
      <c r="H20" s="123"/>
    </row>
    <row r="21" spans="2:6" ht="12.75">
      <c r="B21" s="137"/>
      <c r="C21" s="137"/>
      <c r="D21" s="137"/>
      <c r="E21" s="15">
        <f>+E9+F9</f>
        <v>17566.536</v>
      </c>
      <c r="F21"/>
    </row>
    <row r="22" spans="2:8" ht="12.75">
      <c r="B22" s="137"/>
      <c r="C22" s="137"/>
      <c r="D22" s="137"/>
      <c r="E22" s="15">
        <f>SUM(E19:E21)</f>
        <v>681367.0279999999</v>
      </c>
      <c r="F22"/>
      <c r="G22" s="123"/>
      <c r="H22" s="121"/>
    </row>
    <row r="23" spans="2:6" ht="12.75">
      <c r="B23" s="138"/>
      <c r="C23" s="138"/>
      <c r="D23" s="138"/>
      <c r="E23" s="15"/>
      <c r="F23"/>
    </row>
    <row r="24" spans="2:6" ht="12.75">
      <c r="B24" s="138"/>
      <c r="C24" s="138"/>
      <c r="D24" s="138"/>
      <c r="E24" s="15">
        <f>+F8+E8+E13+F13</f>
        <v>92607.22439999999</v>
      </c>
      <c r="F24"/>
    </row>
    <row r="25" spans="2:6" ht="12.75">
      <c r="B25" s="138"/>
      <c r="C25" s="138"/>
      <c r="D25" s="138"/>
      <c r="E25" s="15"/>
      <c r="F25"/>
    </row>
    <row r="26" spans="2:6" ht="12.75">
      <c r="B26" s="138"/>
      <c r="C26" s="138"/>
      <c r="D26" s="138"/>
      <c r="E26" s="15"/>
      <c r="F26"/>
    </row>
    <row r="27" spans="2:6" ht="12.75">
      <c r="B27" s="138"/>
      <c r="C27" s="138"/>
      <c r="D27" s="138"/>
      <c r="E27" s="15"/>
      <c r="F27"/>
    </row>
    <row r="28" spans="2:6" ht="12.75">
      <c r="B28" s="138"/>
      <c r="C28" s="138"/>
      <c r="D28" s="138"/>
      <c r="E28" s="15"/>
      <c r="F28"/>
    </row>
    <row r="29" spans="2:6" ht="12.75">
      <c r="B29" s="138"/>
      <c r="C29" s="138"/>
      <c r="D29" s="138"/>
      <c r="E29" s="15"/>
      <c r="F29"/>
    </row>
    <row r="30" spans="2:6" ht="12.75">
      <c r="B30" s="138"/>
      <c r="C30" s="138"/>
      <c r="D30" s="138"/>
      <c r="E30" s="15"/>
      <c r="F30"/>
    </row>
    <row r="31" spans="2:6" ht="12.75">
      <c r="B31" s="138"/>
      <c r="C31" s="138"/>
      <c r="D31" s="138"/>
      <c r="E31" s="15"/>
      <c r="F31"/>
    </row>
    <row r="32" spans="2:6" ht="12.75">
      <c r="B32" s="138"/>
      <c r="C32" s="138"/>
      <c r="D32" s="138"/>
      <c r="E32" s="15"/>
      <c r="F32"/>
    </row>
    <row r="33" spans="2:5" ht="12.75">
      <c r="B33" s="138"/>
      <c r="C33" s="138"/>
      <c r="D33" s="138"/>
      <c r="E33" s="15"/>
    </row>
    <row r="34" spans="2:5" ht="12.75">
      <c r="B34" s="138"/>
      <c r="C34" s="138"/>
      <c r="D34" s="138"/>
      <c r="E34" s="15"/>
    </row>
    <row r="35" spans="2:5" ht="12.75">
      <c r="B35" s="138"/>
      <c r="C35" s="138"/>
      <c r="D35" s="138"/>
      <c r="E35" s="15"/>
    </row>
    <row r="36" spans="2:5" ht="12.75">
      <c r="B36" s="138"/>
      <c r="C36" s="138"/>
      <c r="D36" s="138"/>
      <c r="E36" s="15"/>
    </row>
    <row r="37" spans="2:5" ht="12.75">
      <c r="B37" s="138"/>
      <c r="C37" s="138"/>
      <c r="D37" s="138"/>
      <c r="E37" s="15"/>
    </row>
    <row r="38" spans="2:5" ht="12.75">
      <c r="B38" s="138"/>
      <c r="C38" s="138"/>
      <c r="D38" s="138"/>
      <c r="E38" s="15"/>
    </row>
    <row r="39" spans="2:5" ht="12.75">
      <c r="B39" s="138"/>
      <c r="C39" s="138"/>
      <c r="D39" s="138"/>
      <c r="E39" s="15"/>
    </row>
    <row r="40" spans="2:5" ht="12.75">
      <c r="B40" s="138"/>
      <c r="C40" s="138"/>
      <c r="D40" s="138"/>
      <c r="E40" s="15"/>
    </row>
    <row r="41" spans="2:5" ht="12.75">
      <c r="B41" s="138"/>
      <c r="C41" s="138"/>
      <c r="D41" s="138"/>
      <c r="E41" s="15"/>
    </row>
    <row r="42" spans="2:5" ht="12.75">
      <c r="B42" s="138"/>
      <c r="C42" s="138"/>
      <c r="D42" s="138"/>
      <c r="E42" s="15"/>
    </row>
    <row r="43" spans="2:5" ht="12.75">
      <c r="B43" s="138"/>
      <c r="C43" s="138"/>
      <c r="D43" s="138"/>
      <c r="E43" s="15"/>
    </row>
    <row r="44" spans="2:5" ht="12.75">
      <c r="B44" s="138"/>
      <c r="C44" s="138"/>
      <c r="D44" s="138"/>
      <c r="E44" s="15"/>
    </row>
    <row r="45" spans="2:5" ht="12.75">
      <c r="B45" s="138"/>
      <c r="C45" s="138"/>
      <c r="D45" s="138"/>
      <c r="E45" s="15"/>
    </row>
    <row r="46" spans="2:5" ht="12.75">
      <c r="B46" s="138"/>
      <c r="C46" s="138"/>
      <c r="D46" s="138"/>
      <c r="E46" s="15"/>
    </row>
    <row r="47" spans="2:5" ht="12.75">
      <c r="B47" s="138"/>
      <c r="C47" s="138"/>
      <c r="D47" s="138"/>
      <c r="E47" s="15"/>
    </row>
    <row r="48" spans="2:5" ht="12.75">
      <c r="B48" s="138"/>
      <c r="C48" s="138"/>
      <c r="D48" s="138"/>
      <c r="E48" s="15"/>
    </row>
    <row r="49" spans="2:5" ht="12.75">
      <c r="B49" s="138"/>
      <c r="C49" s="138"/>
      <c r="D49" s="138"/>
      <c r="E49" s="15"/>
    </row>
    <row r="50" spans="2:5" ht="12.75">
      <c r="B50" s="14"/>
      <c r="C50" s="14"/>
      <c r="D50" s="14"/>
      <c r="E50" s="15"/>
    </row>
    <row r="51" spans="2:5" ht="12.75">
      <c r="B51" s="14"/>
      <c r="C51" s="14"/>
      <c r="D51" s="14"/>
      <c r="E51" s="15"/>
    </row>
    <row r="52" spans="2:5" ht="12.75">
      <c r="B52" s="137"/>
      <c r="C52" s="137"/>
      <c r="D52" s="137"/>
      <c r="E52" s="15"/>
    </row>
    <row r="53" spans="2:5" ht="12.75">
      <c r="B53" s="137"/>
      <c r="C53" s="137"/>
      <c r="D53" s="137"/>
      <c r="E53" s="15"/>
    </row>
    <row r="54" spans="2:5" ht="12.75">
      <c r="B54" s="137"/>
      <c r="C54" s="137"/>
      <c r="D54" s="137"/>
      <c r="E54" s="15"/>
    </row>
    <row r="55" spans="2:5" ht="12.75">
      <c r="B55" s="137"/>
      <c r="C55" s="137"/>
      <c r="D55" s="137"/>
      <c r="E55" s="15"/>
    </row>
    <row r="56" spans="2:5" ht="12.75">
      <c r="B56" s="14"/>
      <c r="C56" s="14"/>
      <c r="D56" s="14"/>
      <c r="E56" s="15"/>
    </row>
    <row r="57" spans="2:5" ht="12.75">
      <c r="B57" s="14"/>
      <c r="C57" s="14"/>
      <c r="D57" s="14"/>
      <c r="E57"/>
    </row>
    <row r="58" spans="2:5" ht="12.75">
      <c r="B58" s="14"/>
      <c r="C58" s="14"/>
      <c r="D58" s="14"/>
      <c r="E58"/>
    </row>
    <row r="59" spans="2:5" ht="12.75">
      <c r="B59" s="14"/>
      <c r="C59" s="14"/>
      <c r="D59" s="14"/>
      <c r="E59"/>
    </row>
    <row r="60" spans="2:5" ht="12.75">
      <c r="B60" s="14"/>
      <c r="C60" s="14"/>
      <c r="D60" s="14"/>
      <c r="E60"/>
    </row>
    <row r="61" spans="2:5" ht="12.75">
      <c r="B61" s="14"/>
      <c r="C61" s="14"/>
      <c r="D61" s="14"/>
      <c r="E61"/>
    </row>
    <row r="62" spans="2:5" ht="12.75">
      <c r="B62" s="14"/>
      <c r="C62" s="14"/>
      <c r="D62" s="14"/>
      <c r="E62"/>
    </row>
    <row r="63" spans="2:5" ht="12.75">
      <c r="B63" s="14"/>
      <c r="C63" s="14"/>
      <c r="D63" s="14"/>
      <c r="E63"/>
    </row>
    <row r="64" spans="2:5" ht="12.75">
      <c r="B64" s="14"/>
      <c r="C64" s="14"/>
      <c r="D64" s="14"/>
      <c r="E64"/>
    </row>
    <row r="65" spans="2:5" ht="12.75">
      <c r="B65" s="14"/>
      <c r="C65" s="14"/>
      <c r="D65" s="14"/>
      <c r="E65"/>
    </row>
    <row r="66" spans="2:5" ht="12.75">
      <c r="B66" s="14"/>
      <c r="C66" s="14"/>
      <c r="D66" s="14"/>
      <c r="E66"/>
    </row>
    <row r="67" spans="2:5" ht="12.75">
      <c r="B67" s="14"/>
      <c r="C67" s="14"/>
      <c r="D67" s="14"/>
      <c r="E67"/>
    </row>
    <row r="68" spans="2:5" ht="12.75">
      <c r="B68" s="14"/>
      <c r="C68" s="14"/>
      <c r="D68" s="14"/>
      <c r="E68"/>
    </row>
    <row r="69" spans="2:5" ht="12.75">
      <c r="B69" s="14"/>
      <c r="C69" s="14"/>
      <c r="D69" s="14"/>
      <c r="E69"/>
    </row>
    <row r="70" spans="2:5" ht="12.75">
      <c r="B70" s="14"/>
      <c r="C70" s="14"/>
      <c r="D70" s="14"/>
      <c r="E70"/>
    </row>
    <row r="71" spans="2:5" ht="12.75">
      <c r="B71" s="14"/>
      <c r="C71" s="14"/>
      <c r="D71" s="14"/>
      <c r="E71"/>
    </row>
    <row r="72" spans="2:5" ht="12.75">
      <c r="B72" s="14"/>
      <c r="C72" s="14"/>
      <c r="D72" s="14"/>
      <c r="E72"/>
    </row>
    <row r="73" spans="2:5" ht="12.75">
      <c r="B73" s="14"/>
      <c r="C73" s="14"/>
      <c r="D73" s="14"/>
      <c r="E73"/>
    </row>
    <row r="74" spans="2:5" ht="12.75">
      <c r="B74" s="14"/>
      <c r="C74" s="14"/>
      <c r="D74" s="14"/>
      <c r="E74"/>
    </row>
    <row r="75" spans="2:5" ht="12.75">
      <c r="B75" s="14"/>
      <c r="C75" s="14"/>
      <c r="D75" s="14"/>
      <c r="E75"/>
    </row>
    <row r="76" spans="2:5" ht="12.75">
      <c r="B76" s="14"/>
      <c r="C76" s="14"/>
      <c r="D76" s="14"/>
      <c r="E76"/>
    </row>
    <row r="77" spans="2:5" ht="12.75">
      <c r="B77" s="14"/>
      <c r="C77" s="14"/>
      <c r="D77" s="14"/>
      <c r="E77"/>
    </row>
    <row r="78" spans="2:5" ht="12.75">
      <c r="B78" s="14"/>
      <c r="C78" s="14"/>
      <c r="D78" s="14"/>
      <c r="E78"/>
    </row>
    <row r="79" spans="2:5" ht="12.75">
      <c r="B79" s="14"/>
      <c r="C79" s="14"/>
      <c r="D79" s="14"/>
      <c r="E79"/>
    </row>
    <row r="80" spans="2:5" ht="12.75">
      <c r="B80" s="14"/>
      <c r="C80" s="14"/>
      <c r="D80" s="14"/>
      <c r="E80"/>
    </row>
    <row r="81" spans="2:5" ht="12.75">
      <c r="B81" s="14"/>
      <c r="C81" s="14"/>
      <c r="D81" s="14"/>
      <c r="E81"/>
    </row>
    <row r="82" spans="2:5" ht="12.75">
      <c r="B82" s="14"/>
      <c r="C82" s="14"/>
      <c r="D82" s="14"/>
      <c r="E82"/>
    </row>
    <row r="83" spans="2:5" ht="12.75">
      <c r="B83" s="14"/>
      <c r="C83" s="14"/>
      <c r="D83" s="14"/>
      <c r="E83"/>
    </row>
    <row r="84" spans="2:5" ht="12.75">
      <c r="B84" s="14"/>
      <c r="C84" s="14"/>
      <c r="D84" s="14"/>
      <c r="E84"/>
    </row>
    <row r="85" spans="2:5" ht="12.75">
      <c r="B85" s="14"/>
      <c r="C85" s="14"/>
      <c r="D85" s="14"/>
      <c r="E85"/>
    </row>
    <row r="86" spans="2:5" ht="12.75">
      <c r="B86" s="14"/>
      <c r="C86" s="14"/>
      <c r="D86" s="14"/>
      <c r="E86"/>
    </row>
    <row r="87" spans="2:5" ht="12.75">
      <c r="B87" s="14"/>
      <c r="C87" s="14"/>
      <c r="D87" s="14"/>
      <c r="E87"/>
    </row>
    <row r="88" spans="2:5" ht="12.75">
      <c r="B88" s="14"/>
      <c r="C88" s="14"/>
      <c r="D88" s="14"/>
      <c r="E88"/>
    </row>
    <row r="89" spans="2:5" ht="12.75">
      <c r="B89" s="14"/>
      <c r="C89" s="14"/>
      <c r="D89" s="14"/>
      <c r="E89"/>
    </row>
    <row r="90" spans="2:5" ht="12.75">
      <c r="B90" s="14"/>
      <c r="C90" s="14"/>
      <c r="D90" s="14"/>
      <c r="E90"/>
    </row>
    <row r="91" spans="2:5" ht="12.75">
      <c r="B91" s="14"/>
      <c r="C91" s="14"/>
      <c r="D91" s="14"/>
      <c r="E91"/>
    </row>
    <row r="92" spans="2:5" ht="12.75">
      <c r="B92" s="14"/>
      <c r="C92" s="14"/>
      <c r="D92" s="14"/>
      <c r="E92"/>
    </row>
    <row r="93" spans="2:5" ht="12.75">
      <c r="B93" s="14"/>
      <c r="C93" s="14"/>
      <c r="D93" s="14"/>
      <c r="E93"/>
    </row>
    <row r="94" spans="2:5" ht="12.75">
      <c r="B94" s="14"/>
      <c r="C94" s="14"/>
      <c r="D94" s="14"/>
      <c r="E94"/>
    </row>
    <row r="95" spans="2:5" ht="12.75">
      <c r="B95" s="14"/>
      <c r="C95" s="14"/>
      <c r="D95" s="14"/>
      <c r="E95"/>
    </row>
    <row r="96" spans="2:5" ht="12.75">
      <c r="B96" s="14"/>
      <c r="C96" s="14"/>
      <c r="D96" s="14"/>
      <c r="E96"/>
    </row>
    <row r="97" spans="2:5" ht="12.75">
      <c r="B97" s="14"/>
      <c r="C97" s="14"/>
      <c r="D97" s="14"/>
      <c r="E97"/>
    </row>
    <row r="98" spans="2:5" ht="12.75">
      <c r="B98" s="14"/>
      <c r="C98" s="14"/>
      <c r="D98" s="14"/>
      <c r="E98"/>
    </row>
    <row r="99" spans="2:5" ht="12.75">
      <c r="B99" s="14"/>
      <c r="C99" s="14"/>
      <c r="D99" s="14"/>
      <c r="E99"/>
    </row>
    <row r="100" spans="2:5" ht="12.75">
      <c r="B100" s="14"/>
      <c r="C100" s="14"/>
      <c r="D100" s="14"/>
      <c r="E100"/>
    </row>
    <row r="101" spans="2:5" ht="12.75">
      <c r="B101" s="14"/>
      <c r="C101" s="14"/>
      <c r="D101" s="14"/>
      <c r="E101"/>
    </row>
    <row r="102" spans="2:5" ht="12.75">
      <c r="B102" s="14"/>
      <c r="C102" s="14"/>
      <c r="D102" s="14"/>
      <c r="E102"/>
    </row>
    <row r="103" spans="2:5" ht="12.75">
      <c r="B103" s="14"/>
      <c r="C103" s="14"/>
      <c r="D103" s="14"/>
      <c r="E103"/>
    </row>
    <row r="104" spans="2:5" ht="12.75">
      <c r="B104" s="14"/>
      <c r="C104" s="14"/>
      <c r="D104" s="14"/>
      <c r="E104"/>
    </row>
    <row r="105" spans="2:5" ht="12.75">
      <c r="B105" s="14"/>
      <c r="C105" s="14"/>
      <c r="D105" s="14"/>
      <c r="E105"/>
    </row>
    <row r="106" spans="2:5" ht="12.75">
      <c r="B106" s="14"/>
      <c r="C106" s="14"/>
      <c r="D106" s="14"/>
      <c r="E106"/>
    </row>
    <row r="107" spans="2:5" ht="12.75">
      <c r="B107" s="14"/>
      <c r="C107" s="14"/>
      <c r="D107" s="14"/>
      <c r="E107"/>
    </row>
    <row r="108" spans="2:5" ht="12.75">
      <c r="B108" s="14"/>
      <c r="C108" s="14"/>
      <c r="D108" s="14"/>
      <c r="E108"/>
    </row>
    <row r="109" spans="2:5" ht="12.75">
      <c r="B109" s="14"/>
      <c r="C109" s="14"/>
      <c r="D109" s="14"/>
      <c r="E109"/>
    </row>
    <row r="110" spans="2:5" ht="12.75">
      <c r="B110" s="14"/>
      <c r="C110" s="14"/>
      <c r="D110" s="14"/>
      <c r="E110"/>
    </row>
    <row r="111" spans="2:5" ht="12.75">
      <c r="B111" s="14"/>
      <c r="C111" s="14"/>
      <c r="D111" s="14"/>
      <c r="E111"/>
    </row>
    <row r="112" spans="2:5" ht="12.75">
      <c r="B112" s="14"/>
      <c r="C112" s="14"/>
      <c r="D112" s="14"/>
      <c r="E112"/>
    </row>
    <row r="113" spans="2:5" ht="12.75">
      <c r="B113" s="14"/>
      <c r="C113" s="14"/>
      <c r="D113" s="14"/>
      <c r="E113"/>
    </row>
    <row r="114" spans="2:5" ht="12.75">
      <c r="B114" s="14"/>
      <c r="C114" s="14"/>
      <c r="D114" s="14"/>
      <c r="E114"/>
    </row>
    <row r="115" spans="2:5" ht="12.75">
      <c r="B115" s="14"/>
      <c r="C115" s="14"/>
      <c r="D115" s="14"/>
      <c r="E115"/>
    </row>
    <row r="116" spans="2:5" ht="12.75">
      <c r="B116" s="14"/>
      <c r="C116" s="14"/>
      <c r="D116" s="14"/>
      <c r="E116"/>
    </row>
    <row r="117" spans="2:5" ht="12.75">
      <c r="B117" s="14"/>
      <c r="C117" s="14"/>
      <c r="D117" s="14"/>
      <c r="E117"/>
    </row>
    <row r="118" spans="2:5" ht="12.75">
      <c r="B118" s="14"/>
      <c r="C118" s="14"/>
      <c r="D118" s="14"/>
      <c r="E118"/>
    </row>
    <row r="119" spans="2:5" ht="12.75">
      <c r="B119" s="14"/>
      <c r="C119" s="14"/>
      <c r="D119" s="14"/>
      <c r="E119"/>
    </row>
    <row r="120" spans="2:5" ht="12.75">
      <c r="B120" s="14"/>
      <c r="C120" s="14"/>
      <c r="D120" s="14"/>
      <c r="E120"/>
    </row>
    <row r="121" spans="2:5" ht="12.75">
      <c r="B121" s="14"/>
      <c r="C121" s="14"/>
      <c r="D121" s="14"/>
      <c r="E121"/>
    </row>
    <row r="122" spans="2:5" ht="12.75">
      <c r="B122" s="14"/>
      <c r="C122" s="14"/>
      <c r="D122" s="14"/>
      <c r="E122"/>
    </row>
    <row r="123" spans="2:5" ht="12.75">
      <c r="B123" s="14"/>
      <c r="C123" s="14"/>
      <c r="D123" s="14"/>
      <c r="E123"/>
    </row>
    <row r="124" spans="2:5" ht="12.75">
      <c r="B124" s="14"/>
      <c r="C124" s="14"/>
      <c r="D124" s="14"/>
      <c r="E124"/>
    </row>
    <row r="125" spans="2:5" ht="12.75">
      <c r="B125" s="14"/>
      <c r="C125" s="14"/>
      <c r="D125" s="14"/>
      <c r="E125"/>
    </row>
    <row r="126" spans="2:5" ht="12.75">
      <c r="B126" s="14"/>
      <c r="C126" s="14"/>
      <c r="D126" s="14"/>
      <c r="E126"/>
    </row>
    <row r="127" spans="2:5" ht="12.75">
      <c r="B127" s="136"/>
      <c r="C127" s="136"/>
      <c r="D127" s="136"/>
      <c r="E127" s="124"/>
    </row>
    <row r="128" spans="2:5" ht="12.75">
      <c r="B128" s="136"/>
      <c r="C128" s="136"/>
      <c r="D128" s="136"/>
      <c r="E128" s="124"/>
    </row>
    <row r="129" spans="2:5" ht="12.75">
      <c r="B129" s="136"/>
      <c r="C129" s="136"/>
      <c r="D129" s="136"/>
      <c r="E129" s="124"/>
    </row>
    <row r="130" spans="2:5" ht="12.75">
      <c r="B130" s="136"/>
      <c r="C130" s="136"/>
      <c r="D130" s="136"/>
      <c r="E130" s="124"/>
    </row>
    <row r="131" spans="2:5" ht="12.75">
      <c r="B131" s="136"/>
      <c r="C131" s="136"/>
      <c r="D131" s="136"/>
      <c r="E131" s="124"/>
    </row>
    <row r="132" spans="2:5" ht="12.75">
      <c r="B132" s="136"/>
      <c r="C132" s="136"/>
      <c r="D132" s="136"/>
      <c r="E132" s="124"/>
    </row>
    <row r="133" spans="2:5" ht="12.75">
      <c r="B133" s="136"/>
      <c r="C133" s="136"/>
      <c r="D133" s="136"/>
      <c r="E133" s="124"/>
    </row>
    <row r="134" spans="2:5" ht="12.75">
      <c r="B134" s="136"/>
      <c r="C134" s="136"/>
      <c r="D134" s="136"/>
      <c r="E134" s="124"/>
    </row>
    <row r="135" spans="2:5" ht="12.75">
      <c r="B135" s="136"/>
      <c r="C135" s="136"/>
      <c r="D135" s="136"/>
      <c r="E135" s="124"/>
    </row>
    <row r="136" spans="2:5" ht="12.75">
      <c r="B136" s="136"/>
      <c r="C136" s="136"/>
      <c r="D136" s="136"/>
      <c r="E136" s="124"/>
    </row>
    <row r="137" spans="2:5" ht="12.75">
      <c r="B137" s="136"/>
      <c r="C137" s="136"/>
      <c r="D137" s="136"/>
      <c r="E137" s="124"/>
    </row>
    <row r="138" spans="2:5" ht="12.75">
      <c r="B138" s="136"/>
      <c r="C138" s="136"/>
      <c r="D138" s="136"/>
      <c r="E138" s="124"/>
    </row>
    <row r="139" spans="2:5" ht="12.75">
      <c r="B139" s="136"/>
      <c r="C139" s="136"/>
      <c r="D139" s="136"/>
      <c r="E139" s="124"/>
    </row>
    <row r="140" spans="2:5" ht="12.75">
      <c r="B140" s="136"/>
      <c r="C140" s="136"/>
      <c r="D140" s="136"/>
      <c r="E140" s="124"/>
    </row>
    <row r="141" spans="2:5" ht="12.75">
      <c r="B141" s="136"/>
      <c r="C141" s="136"/>
      <c r="D141" s="136"/>
      <c r="E141" s="124"/>
    </row>
    <row r="142" spans="2:5" ht="12.75">
      <c r="B142" s="136"/>
      <c r="C142" s="136"/>
      <c r="D142" s="136"/>
      <c r="E142" s="124"/>
    </row>
    <row r="143" spans="2:5" ht="12.75">
      <c r="B143" s="136"/>
      <c r="C143" s="136"/>
      <c r="D143" s="136"/>
      <c r="E143" s="124"/>
    </row>
    <row r="144" spans="2:5" ht="12.75">
      <c r="B144" s="136"/>
      <c r="C144" s="136"/>
      <c r="D144" s="136"/>
      <c r="E144" s="124"/>
    </row>
    <row r="145" spans="2:5" ht="12.75">
      <c r="B145" s="136"/>
      <c r="C145" s="136"/>
      <c r="D145" s="136"/>
      <c r="E145" s="124"/>
    </row>
    <row r="146" spans="2:5" ht="12.75">
      <c r="B146" s="136"/>
      <c r="C146" s="136"/>
      <c r="D146" s="136"/>
      <c r="E146" s="124"/>
    </row>
    <row r="147" spans="2:5" ht="12.75">
      <c r="B147" s="136"/>
      <c r="C147" s="136"/>
      <c r="D147" s="136"/>
      <c r="E147" s="124"/>
    </row>
    <row r="148" spans="2:5" ht="12.75">
      <c r="B148" s="136"/>
      <c r="C148" s="136"/>
      <c r="D148" s="136"/>
      <c r="E148" s="124"/>
    </row>
    <row r="149" spans="2:5" ht="12.75">
      <c r="B149" s="136"/>
      <c r="C149" s="136"/>
      <c r="D149" s="136"/>
      <c r="E149" s="124"/>
    </row>
    <row r="150" spans="2:5" ht="12.75">
      <c r="B150" s="136"/>
      <c r="C150" s="136"/>
      <c r="D150" s="136"/>
      <c r="E150" s="124"/>
    </row>
    <row r="151" spans="2:5" ht="12.75">
      <c r="B151" s="136"/>
      <c r="C151" s="136"/>
      <c r="D151" s="136"/>
      <c r="E151" s="124"/>
    </row>
    <row r="152" spans="2:5" ht="12.75">
      <c r="B152" s="136"/>
      <c r="C152" s="136"/>
      <c r="D152" s="136"/>
      <c r="E152" s="124"/>
    </row>
    <row r="153" spans="2:5" ht="12.75">
      <c r="B153" s="136"/>
      <c r="C153" s="136"/>
      <c r="D153" s="136"/>
      <c r="E153" s="124"/>
    </row>
    <row r="154" spans="2:5" ht="12.75">
      <c r="B154" s="136"/>
      <c r="C154" s="136"/>
      <c r="D154" s="136"/>
      <c r="E154" s="124"/>
    </row>
    <row r="155" spans="2:5" ht="12.75">
      <c r="B155" s="136"/>
      <c r="C155" s="136"/>
      <c r="D155" s="136"/>
      <c r="E155" s="124"/>
    </row>
    <row r="156" spans="2:5" ht="12.75">
      <c r="B156" s="136"/>
      <c r="C156" s="136"/>
      <c r="D156" s="136"/>
      <c r="E156" s="124"/>
    </row>
    <row r="157" spans="2:5" ht="12.75">
      <c r="B157" s="136"/>
      <c r="C157" s="136"/>
      <c r="D157" s="136"/>
      <c r="E157" s="124"/>
    </row>
    <row r="158" spans="2:5" ht="12.75">
      <c r="B158" s="136"/>
      <c r="C158" s="136"/>
      <c r="D158" s="136"/>
      <c r="E158" s="124"/>
    </row>
    <row r="159" spans="2:5" ht="12.75">
      <c r="B159" s="136"/>
      <c r="C159" s="136"/>
      <c r="D159" s="136"/>
      <c r="E159" s="124"/>
    </row>
    <row r="160" spans="2:5" ht="12.75">
      <c r="B160" s="136"/>
      <c r="C160" s="136"/>
      <c r="D160" s="136"/>
      <c r="E160" s="124"/>
    </row>
    <row r="161" spans="2:5" ht="12.75">
      <c r="B161" s="136"/>
      <c r="C161" s="136"/>
      <c r="D161" s="136"/>
      <c r="E161" s="124"/>
    </row>
    <row r="162" spans="2:5" ht="12.75">
      <c r="B162" s="136"/>
      <c r="C162" s="136"/>
      <c r="D162" s="136"/>
      <c r="E162" s="124"/>
    </row>
    <row r="163" ht="12.75">
      <c r="E163" s="124"/>
    </row>
    <row r="164" ht="12.75">
      <c r="E164" s="124"/>
    </row>
    <row r="165" ht="12.75">
      <c r="E165" s="124"/>
    </row>
    <row r="166" spans="2:5" ht="12.75">
      <c r="B166" s="136"/>
      <c r="C166" s="136"/>
      <c r="D166" s="136"/>
      <c r="E166" s="124"/>
    </row>
    <row r="167" spans="2:5" ht="12.75">
      <c r="B167" s="136"/>
      <c r="C167" s="136"/>
      <c r="D167" s="136"/>
      <c r="E167" s="124"/>
    </row>
    <row r="168" spans="2:5" ht="12.75">
      <c r="B168" s="136"/>
      <c r="C168" s="136"/>
      <c r="D168" s="136"/>
      <c r="E168" s="124"/>
    </row>
    <row r="169" spans="2:5" ht="12.75">
      <c r="B169" s="136"/>
      <c r="C169" s="136"/>
      <c r="D169" s="136"/>
      <c r="E169" s="124"/>
    </row>
    <row r="170" spans="2:5" ht="12.75">
      <c r="B170" s="136"/>
      <c r="C170" s="136"/>
      <c r="D170" s="136"/>
      <c r="E170" s="124"/>
    </row>
    <row r="171" spans="2:5" ht="12.75">
      <c r="B171" s="136"/>
      <c r="C171" s="136"/>
      <c r="D171" s="136"/>
      <c r="E171" s="124"/>
    </row>
    <row r="172" spans="2:5" ht="12.75">
      <c r="B172" s="136"/>
      <c r="C172" s="136"/>
      <c r="D172" s="136"/>
      <c r="E172" s="124"/>
    </row>
    <row r="173" spans="2:5" ht="12.75">
      <c r="B173" s="136"/>
      <c r="C173" s="136"/>
      <c r="D173" s="136"/>
      <c r="E173" s="124"/>
    </row>
    <row r="174" spans="2:5" ht="12.75">
      <c r="B174" s="136"/>
      <c r="C174" s="136"/>
      <c r="D174" s="136"/>
      <c r="E174" s="124"/>
    </row>
    <row r="175" spans="2:5" ht="12.75">
      <c r="B175" s="136"/>
      <c r="C175" s="136"/>
      <c r="D175" s="136"/>
      <c r="E175" s="124"/>
    </row>
    <row r="176" spans="2:5" ht="12.75">
      <c r="B176" s="136"/>
      <c r="C176" s="136"/>
      <c r="D176" s="136"/>
      <c r="E176" s="124"/>
    </row>
    <row r="177" spans="2:5" ht="12.75">
      <c r="B177" s="136"/>
      <c r="C177" s="136"/>
      <c r="D177" s="136"/>
      <c r="E177" s="124"/>
    </row>
    <row r="178" spans="2:5" ht="12.75">
      <c r="B178" s="136"/>
      <c r="C178" s="136"/>
      <c r="D178" s="136"/>
      <c r="E178" s="124"/>
    </row>
    <row r="179" spans="2:5" ht="12.75">
      <c r="B179" s="136"/>
      <c r="C179" s="136"/>
      <c r="D179" s="136"/>
      <c r="E179" s="124"/>
    </row>
    <row r="180" spans="2:5" ht="12.75">
      <c r="B180" s="136"/>
      <c r="C180" s="136"/>
      <c r="D180" s="136"/>
      <c r="E180" s="124"/>
    </row>
    <row r="181" spans="2:5" ht="12.75">
      <c r="B181" s="136"/>
      <c r="C181" s="136"/>
      <c r="D181" s="136"/>
      <c r="E181" s="124"/>
    </row>
    <row r="182" spans="2:5" ht="12.75">
      <c r="B182" s="136"/>
      <c r="C182" s="136"/>
      <c r="D182" s="136"/>
      <c r="E182" s="124"/>
    </row>
    <row r="183" spans="2:5" ht="12.75">
      <c r="B183" s="136"/>
      <c r="C183" s="136"/>
      <c r="D183" s="136"/>
      <c r="E183" s="124"/>
    </row>
    <row r="184" spans="2:5" ht="12.75">
      <c r="B184" s="136"/>
      <c r="C184" s="136"/>
      <c r="D184" s="136"/>
      <c r="E184" s="124"/>
    </row>
    <row r="185" spans="2:5" ht="12.75">
      <c r="B185" s="136"/>
      <c r="C185" s="136"/>
      <c r="D185" s="136"/>
      <c r="E185" s="124"/>
    </row>
    <row r="186" spans="2:5" ht="12.75">
      <c r="B186" s="136"/>
      <c r="C186" s="136"/>
      <c r="D186" s="136"/>
      <c r="E186" s="124"/>
    </row>
    <row r="187" spans="2:5" ht="12.75">
      <c r="B187" s="136"/>
      <c r="C187" s="136"/>
      <c r="D187" s="136"/>
      <c r="E187" s="124"/>
    </row>
    <row r="188" spans="2:5" ht="12.75">
      <c r="B188" s="136"/>
      <c r="C188" s="136"/>
      <c r="D188" s="136"/>
      <c r="E188" s="124"/>
    </row>
    <row r="189" spans="2:5" ht="12.75">
      <c r="B189" s="136"/>
      <c r="C189" s="136"/>
      <c r="D189" s="136"/>
      <c r="E189" s="124"/>
    </row>
    <row r="190" spans="2:5" ht="12.75">
      <c r="B190" s="136"/>
      <c r="C190" s="136"/>
      <c r="D190" s="136"/>
      <c r="E190" s="124"/>
    </row>
    <row r="191" spans="2:5" ht="12.75">
      <c r="B191" s="136"/>
      <c r="C191" s="136"/>
      <c r="D191" s="136"/>
      <c r="E191" s="124"/>
    </row>
    <row r="192" spans="2:5" ht="12.75">
      <c r="B192" s="136"/>
      <c r="C192" s="136"/>
      <c r="D192" s="136"/>
      <c r="E192" s="124"/>
    </row>
    <row r="193" spans="2:5" ht="12.75">
      <c r="B193" s="136"/>
      <c r="C193" s="136"/>
      <c r="D193" s="136"/>
      <c r="E193" s="124"/>
    </row>
    <row r="194" spans="2:5" ht="12.75">
      <c r="B194" s="136"/>
      <c r="C194" s="136"/>
      <c r="D194" s="136"/>
      <c r="E194" s="124"/>
    </row>
    <row r="195" spans="2:5" ht="12.75">
      <c r="B195" s="136"/>
      <c r="C195" s="136"/>
      <c r="D195" s="136"/>
      <c r="E195" s="124"/>
    </row>
    <row r="196" spans="2:5" ht="12.75">
      <c r="B196" s="136"/>
      <c r="C196" s="136"/>
      <c r="D196" s="136"/>
      <c r="E196" s="124"/>
    </row>
    <row r="197" spans="2:5" ht="12.75">
      <c r="B197" s="136"/>
      <c r="C197" s="136"/>
      <c r="D197" s="136"/>
      <c r="E197" s="124"/>
    </row>
    <row r="198" spans="2:5" ht="12.75">
      <c r="B198" s="136"/>
      <c r="C198" s="136"/>
      <c r="D198" s="136"/>
      <c r="E198" s="124"/>
    </row>
    <row r="199" spans="2:5" ht="12.75">
      <c r="B199" s="136"/>
      <c r="C199" s="136"/>
      <c r="D199" s="136"/>
      <c r="E199" s="124"/>
    </row>
    <row r="200" spans="2:5" ht="12.75">
      <c r="B200" s="136"/>
      <c r="C200" s="136"/>
      <c r="D200" s="136"/>
      <c r="E200" s="124"/>
    </row>
    <row r="201" spans="2:5" ht="12.75">
      <c r="B201" s="136"/>
      <c r="C201" s="136"/>
      <c r="D201" s="136"/>
      <c r="E201" s="124"/>
    </row>
    <row r="202" spans="2:5" ht="12.75">
      <c r="B202" s="136"/>
      <c r="C202" s="136"/>
      <c r="D202" s="136"/>
      <c r="E202" s="124"/>
    </row>
    <row r="203" spans="2:5" ht="12.75">
      <c r="B203" s="136"/>
      <c r="C203" s="136"/>
      <c r="D203" s="136"/>
      <c r="E203" s="124"/>
    </row>
    <row r="204" spans="2:5" ht="12.75">
      <c r="B204" s="136"/>
      <c r="C204" s="136"/>
      <c r="D204" s="136"/>
      <c r="E204" s="124"/>
    </row>
    <row r="205" spans="2:5" ht="12.75">
      <c r="B205" s="136"/>
      <c r="C205" s="136"/>
      <c r="D205" s="136"/>
      <c r="E205" s="124"/>
    </row>
    <row r="206" spans="2:5" ht="12.75">
      <c r="B206" s="136"/>
      <c r="C206" s="136"/>
      <c r="D206" s="136"/>
      <c r="E206" s="124"/>
    </row>
    <row r="207" spans="2:5" ht="12.75">
      <c r="B207" s="136"/>
      <c r="C207" s="136"/>
      <c r="D207" s="136"/>
      <c r="E207" s="124"/>
    </row>
    <row r="208" spans="2:5" ht="12.75">
      <c r="B208" s="136"/>
      <c r="C208" s="136"/>
      <c r="D208" s="136"/>
      <c r="E208" s="124"/>
    </row>
    <row r="209" spans="2:5" ht="12.75">
      <c r="B209" s="136"/>
      <c r="C209" s="136"/>
      <c r="D209" s="136"/>
      <c r="E209" s="124"/>
    </row>
    <row r="210" spans="2:5" ht="12.75">
      <c r="B210" s="136"/>
      <c r="C210" s="136"/>
      <c r="D210" s="136"/>
      <c r="E210" s="124"/>
    </row>
    <row r="211" spans="2:5" ht="12.75">
      <c r="B211" s="136"/>
      <c r="C211" s="136"/>
      <c r="D211" s="136"/>
      <c r="E211" s="124"/>
    </row>
    <row r="212" spans="2:5" ht="12.75">
      <c r="B212" s="136"/>
      <c r="C212" s="136"/>
      <c r="D212" s="136"/>
      <c r="E212" s="124"/>
    </row>
    <row r="213" spans="2:5" ht="12.75">
      <c r="B213" s="136"/>
      <c r="C213" s="136"/>
      <c r="D213" s="136"/>
      <c r="E213" s="124"/>
    </row>
    <row r="214" spans="2:5" ht="12.75">
      <c r="B214" s="136"/>
      <c r="C214" s="136"/>
      <c r="D214" s="136"/>
      <c r="E214" s="124"/>
    </row>
    <row r="215" spans="2:5" ht="12.75">
      <c r="B215" s="136"/>
      <c r="C215" s="136"/>
      <c r="D215" s="136"/>
      <c r="E215" s="124"/>
    </row>
    <row r="216" spans="2:5" ht="12.75">
      <c r="B216" s="136"/>
      <c r="C216" s="136"/>
      <c r="D216" s="136"/>
      <c r="E216" s="124"/>
    </row>
    <row r="217" spans="2:5" ht="12.75">
      <c r="B217" s="136"/>
      <c r="C217" s="136"/>
      <c r="D217" s="136"/>
      <c r="E217" s="124"/>
    </row>
    <row r="218" spans="2:5" ht="12.75">
      <c r="B218" s="136"/>
      <c r="C218" s="136"/>
      <c r="D218" s="136"/>
      <c r="E218" s="124"/>
    </row>
    <row r="219" spans="2:5" ht="12.75">
      <c r="B219" s="136"/>
      <c r="C219" s="136"/>
      <c r="D219" s="136"/>
      <c r="E219" s="124"/>
    </row>
    <row r="220" spans="2:5" ht="12.75">
      <c r="B220" s="136"/>
      <c r="C220" s="136"/>
      <c r="D220" s="136"/>
      <c r="E220" s="124"/>
    </row>
    <row r="221" spans="2:5" ht="12.75">
      <c r="B221" s="136"/>
      <c r="C221" s="136"/>
      <c r="D221" s="136"/>
      <c r="E221" s="124"/>
    </row>
    <row r="222" spans="2:5" ht="12.75">
      <c r="B222" s="136"/>
      <c r="C222" s="136"/>
      <c r="D222" s="136"/>
      <c r="E222" s="124"/>
    </row>
    <row r="223" spans="2:5" ht="12.75">
      <c r="B223" s="136"/>
      <c r="C223" s="136"/>
      <c r="D223" s="136"/>
      <c r="E223" s="124"/>
    </row>
    <row r="224" spans="2:5" ht="12.75">
      <c r="B224" s="136"/>
      <c r="C224" s="136"/>
      <c r="D224" s="136"/>
      <c r="E224" s="124"/>
    </row>
    <row r="225" spans="2:5" ht="12.75">
      <c r="B225" s="136"/>
      <c r="C225" s="136"/>
      <c r="D225" s="136"/>
      <c r="E225" s="124"/>
    </row>
    <row r="226" spans="2:5" ht="12.75">
      <c r="B226" s="136"/>
      <c r="C226" s="136"/>
      <c r="D226" s="136"/>
      <c r="E226" s="124"/>
    </row>
    <row r="227" spans="2:5" ht="12.75">
      <c r="B227" s="136"/>
      <c r="C227" s="136"/>
      <c r="D227" s="136"/>
      <c r="E227" s="124"/>
    </row>
    <row r="228" spans="2:5" ht="12.75">
      <c r="B228" s="136"/>
      <c r="C228" s="136"/>
      <c r="D228" s="136"/>
      <c r="E228" s="124"/>
    </row>
    <row r="229" spans="2:5" ht="12.75">
      <c r="B229" s="136"/>
      <c r="C229" s="136"/>
      <c r="D229" s="136"/>
      <c r="E229" s="124"/>
    </row>
    <row r="230" spans="2:5" ht="12.75">
      <c r="B230" s="136"/>
      <c r="C230" s="136"/>
      <c r="D230" s="136"/>
      <c r="E230" s="124"/>
    </row>
    <row r="231" spans="2:5" ht="12.75">
      <c r="B231" s="136"/>
      <c r="C231" s="136"/>
      <c r="D231" s="136"/>
      <c r="E231" s="124"/>
    </row>
    <row r="232" spans="2:5" ht="12.75">
      <c r="B232" s="136"/>
      <c r="C232" s="136"/>
      <c r="D232" s="136"/>
      <c r="E232" s="124"/>
    </row>
    <row r="233" spans="2:5" ht="12.75">
      <c r="B233" s="136"/>
      <c r="C233" s="136"/>
      <c r="D233" s="136"/>
      <c r="E233" s="124"/>
    </row>
    <row r="234" spans="2:5" ht="12.75">
      <c r="B234" s="136"/>
      <c r="C234" s="136"/>
      <c r="D234" s="136"/>
      <c r="E234" s="124"/>
    </row>
    <row r="235" spans="2:5" ht="12.75">
      <c r="B235" s="136"/>
      <c r="C235" s="136"/>
      <c r="D235" s="136"/>
      <c r="E235" s="124"/>
    </row>
    <row r="236" spans="2:5" ht="12.75">
      <c r="B236" s="136"/>
      <c r="C236" s="136"/>
      <c r="D236" s="136"/>
      <c r="E236" s="124"/>
    </row>
    <row r="237" spans="2:5" ht="12.75">
      <c r="B237" s="136"/>
      <c r="C237" s="136"/>
      <c r="D237" s="136"/>
      <c r="E237" s="124"/>
    </row>
    <row r="238" spans="2:5" ht="12.75">
      <c r="B238" s="136"/>
      <c r="C238" s="136"/>
      <c r="D238" s="136"/>
      <c r="E238" s="124"/>
    </row>
    <row r="239" spans="2:5" ht="12.75">
      <c r="B239" s="136"/>
      <c r="C239" s="136"/>
      <c r="D239" s="136"/>
      <c r="E239" s="124"/>
    </row>
    <row r="240" spans="2:5" ht="12.75">
      <c r="B240" s="136"/>
      <c r="C240" s="136"/>
      <c r="D240" s="136"/>
      <c r="E240" s="124"/>
    </row>
    <row r="241" spans="2:5" ht="12.75">
      <c r="B241" s="136"/>
      <c r="C241" s="136"/>
      <c r="D241" s="136"/>
      <c r="E241" s="124"/>
    </row>
    <row r="242" spans="2:5" ht="12.75">
      <c r="B242" s="136"/>
      <c r="C242" s="136"/>
      <c r="D242" s="136"/>
      <c r="E242" s="124"/>
    </row>
    <row r="243" spans="2:5" ht="12.75">
      <c r="B243" s="136"/>
      <c r="C243" s="136"/>
      <c r="D243" s="136"/>
      <c r="E243" s="124"/>
    </row>
    <row r="244" spans="2:5" ht="12.75">
      <c r="B244" s="136"/>
      <c r="C244" s="136"/>
      <c r="D244" s="136"/>
      <c r="E244" s="124"/>
    </row>
    <row r="245" spans="2:5" ht="12.75">
      <c r="B245" s="136"/>
      <c r="C245" s="136"/>
      <c r="D245" s="136"/>
      <c r="E245" s="124"/>
    </row>
    <row r="246" spans="2:5" ht="12.75">
      <c r="B246" s="136"/>
      <c r="C246" s="136"/>
      <c r="D246" s="136"/>
      <c r="E246" s="124"/>
    </row>
    <row r="247" spans="2:5" ht="12.75">
      <c r="B247" s="136"/>
      <c r="C247" s="136"/>
      <c r="D247" s="136"/>
      <c r="E247" s="124"/>
    </row>
    <row r="248" spans="2:5" ht="12.75">
      <c r="B248" s="136"/>
      <c r="C248" s="136"/>
      <c r="D248" s="136"/>
      <c r="E248" s="124"/>
    </row>
    <row r="249" spans="2:5" ht="12.75">
      <c r="B249" s="136"/>
      <c r="C249" s="136"/>
      <c r="D249" s="136"/>
      <c r="E249" s="124"/>
    </row>
    <row r="250" spans="2:5" ht="12.75">
      <c r="B250" s="136"/>
      <c r="C250" s="136"/>
      <c r="D250" s="136"/>
      <c r="E250" s="124"/>
    </row>
    <row r="251" spans="2:5" ht="12.75">
      <c r="B251" s="136"/>
      <c r="C251" s="136"/>
      <c r="D251" s="136"/>
      <c r="E251" s="124"/>
    </row>
    <row r="252" spans="2:5" ht="12.75">
      <c r="B252" s="136"/>
      <c r="C252" s="136"/>
      <c r="D252" s="136"/>
      <c r="E252" s="124"/>
    </row>
    <row r="253" spans="2:5" ht="12.75">
      <c r="B253" s="136"/>
      <c r="C253" s="136"/>
      <c r="D253" s="136"/>
      <c r="E253" s="124"/>
    </row>
    <row r="254" spans="2:5" ht="12.75">
      <c r="B254" s="136"/>
      <c r="C254" s="136"/>
      <c r="D254" s="136"/>
      <c r="E254" s="124"/>
    </row>
    <row r="255" spans="2:5" ht="12.75">
      <c r="B255" s="136"/>
      <c r="C255" s="136"/>
      <c r="D255" s="136"/>
      <c r="E255" s="124"/>
    </row>
    <row r="256" spans="2:5" ht="12.75">
      <c r="B256" s="136"/>
      <c r="C256" s="136"/>
      <c r="D256" s="136"/>
      <c r="E256" s="124"/>
    </row>
    <row r="257" spans="2:5" ht="12.75">
      <c r="B257" s="136"/>
      <c r="C257" s="136"/>
      <c r="D257" s="136"/>
      <c r="E257" s="124"/>
    </row>
    <row r="258" spans="2:5" ht="12.75">
      <c r="B258" s="136"/>
      <c r="C258" s="136"/>
      <c r="D258" s="136"/>
      <c r="E258" s="124"/>
    </row>
    <row r="259" spans="2:5" ht="12.75">
      <c r="B259" s="136"/>
      <c r="C259" s="136"/>
      <c r="D259" s="136"/>
      <c r="E259" s="124"/>
    </row>
    <row r="260" spans="2:5" ht="12.75">
      <c r="B260" s="136"/>
      <c r="C260" s="136"/>
      <c r="D260" s="136"/>
      <c r="E260" s="124"/>
    </row>
    <row r="261" spans="2:5" ht="12.75">
      <c r="B261" s="136"/>
      <c r="C261" s="136"/>
      <c r="D261" s="136"/>
      <c r="E261" s="124"/>
    </row>
    <row r="262" spans="2:5" ht="12.75">
      <c r="B262" s="136"/>
      <c r="C262" s="136"/>
      <c r="D262" s="136"/>
      <c r="E262" s="124"/>
    </row>
    <row r="263" spans="2:5" ht="12.75">
      <c r="B263" s="136"/>
      <c r="C263" s="136"/>
      <c r="D263" s="136"/>
      <c r="E263" s="124"/>
    </row>
    <row r="264" spans="2:5" ht="12.75">
      <c r="B264" s="136"/>
      <c r="C264" s="136"/>
      <c r="D264" s="136"/>
      <c r="E264" s="124"/>
    </row>
    <row r="265" spans="2:5" ht="12.75">
      <c r="B265" s="136"/>
      <c r="C265" s="136"/>
      <c r="D265" s="136"/>
      <c r="E265" s="124"/>
    </row>
    <row r="266" spans="2:5" ht="12.75">
      <c r="B266" s="136"/>
      <c r="C266" s="136"/>
      <c r="D266" s="136"/>
      <c r="E266" s="124"/>
    </row>
    <row r="267" spans="2:5" ht="12.75">
      <c r="B267" s="136"/>
      <c r="C267" s="136"/>
      <c r="D267" s="136"/>
      <c r="E267" s="124"/>
    </row>
    <row r="268" spans="2:5" ht="12.75">
      <c r="B268" s="136"/>
      <c r="C268" s="136"/>
      <c r="D268" s="136"/>
      <c r="E268" s="124"/>
    </row>
    <row r="269" spans="2:5" ht="12.75">
      <c r="B269" s="136"/>
      <c r="C269" s="136"/>
      <c r="D269" s="136"/>
      <c r="E269" s="124"/>
    </row>
    <row r="270" spans="2:5" ht="12.75">
      <c r="B270" s="136"/>
      <c r="C270" s="136"/>
      <c r="D270" s="136"/>
      <c r="E270" s="124"/>
    </row>
    <row r="271" spans="2:5" ht="12.75">
      <c r="B271" s="136"/>
      <c r="C271" s="136"/>
      <c r="D271" s="136"/>
      <c r="E271" s="124"/>
    </row>
    <row r="272" spans="2:5" ht="12.75">
      <c r="B272" s="136"/>
      <c r="C272" s="136"/>
      <c r="D272" s="136"/>
      <c r="E272" s="124"/>
    </row>
    <row r="273" spans="2:5" ht="12.75" hidden="1">
      <c r="B273" s="136"/>
      <c r="C273" s="136"/>
      <c r="D273" s="136"/>
      <c r="E273" s="124"/>
    </row>
    <row r="274" spans="2:5" ht="12.75" hidden="1">
      <c r="B274" s="136"/>
      <c r="C274" s="136"/>
      <c r="D274" s="136"/>
      <c r="E274" s="124"/>
    </row>
    <row r="275" spans="2:5" ht="12.75" hidden="1">
      <c r="B275" s="136"/>
      <c r="C275" s="136"/>
      <c r="D275" s="136"/>
      <c r="E275" s="124"/>
    </row>
    <row r="276" spans="2:5" ht="12.75" hidden="1">
      <c r="B276" s="136"/>
      <c r="C276" s="136"/>
      <c r="D276" s="136"/>
      <c r="E276" s="124"/>
    </row>
    <row r="277" spans="2:5" ht="12.75" hidden="1">
      <c r="B277" s="136"/>
      <c r="C277" s="136"/>
      <c r="D277" s="136"/>
      <c r="E277" s="124"/>
    </row>
    <row r="278" spans="2:5" ht="12.75" hidden="1">
      <c r="B278" s="136"/>
      <c r="C278" s="136"/>
      <c r="D278" s="136"/>
      <c r="E278" s="124"/>
    </row>
    <row r="279" spans="2:5" ht="12.75" hidden="1">
      <c r="B279" s="136"/>
      <c r="C279" s="136"/>
      <c r="D279" s="136"/>
      <c r="E279" s="124"/>
    </row>
    <row r="280" spans="2:5" ht="12.75" hidden="1">
      <c r="B280" s="136"/>
      <c r="C280" s="136"/>
      <c r="D280" s="136"/>
      <c r="E280" s="124"/>
    </row>
    <row r="281" spans="2:5" ht="12.75" hidden="1">
      <c r="B281" s="136"/>
      <c r="C281" s="136"/>
      <c r="D281" s="136"/>
      <c r="E281" s="124"/>
    </row>
    <row r="282" spans="2:5" ht="12.75" hidden="1">
      <c r="B282" s="136"/>
      <c r="C282" s="136"/>
      <c r="D282" s="136"/>
      <c r="E282" s="124"/>
    </row>
    <row r="283" spans="2:5" ht="12.75" hidden="1">
      <c r="B283" s="136"/>
      <c r="C283" s="136"/>
      <c r="D283" s="136"/>
      <c r="E283" s="124"/>
    </row>
    <row r="284" spans="2:5" ht="12.75" hidden="1">
      <c r="B284" s="136"/>
      <c r="C284" s="136"/>
      <c r="D284" s="136"/>
      <c r="E284" s="124"/>
    </row>
    <row r="285" spans="2:5" ht="12.75" hidden="1">
      <c r="B285" s="136"/>
      <c r="C285" s="136"/>
      <c r="D285" s="136"/>
      <c r="E285" s="124"/>
    </row>
    <row r="286" spans="2:5" ht="12.75" hidden="1">
      <c r="B286" s="136"/>
      <c r="C286" s="136"/>
      <c r="D286" s="136"/>
      <c r="E286" s="124"/>
    </row>
    <row r="287" spans="2:5" ht="12.75" hidden="1">
      <c r="B287" s="136"/>
      <c r="C287" s="136"/>
      <c r="D287" s="136"/>
      <c r="E287" s="124"/>
    </row>
    <row r="288" spans="2:5" ht="12.75" hidden="1">
      <c r="B288" s="136"/>
      <c r="C288" s="136"/>
      <c r="D288" s="136"/>
      <c r="E288" s="124"/>
    </row>
    <row r="289" spans="2:5" ht="12.75" hidden="1">
      <c r="B289" s="136"/>
      <c r="C289" s="136"/>
      <c r="D289" s="136"/>
      <c r="E289" s="124"/>
    </row>
    <row r="290" spans="2:5" ht="12.75" hidden="1">
      <c r="B290" s="136"/>
      <c r="C290" s="136"/>
      <c r="D290" s="136"/>
      <c r="E290" s="124"/>
    </row>
    <row r="291" spans="2:5" ht="12.75" hidden="1">
      <c r="B291" s="136"/>
      <c r="C291" s="136"/>
      <c r="D291" s="136"/>
      <c r="E291" s="124"/>
    </row>
    <row r="292" spans="2:5" ht="12.75" hidden="1">
      <c r="B292" s="136"/>
      <c r="C292" s="136"/>
      <c r="D292" s="136"/>
      <c r="E292" s="124"/>
    </row>
    <row r="293" spans="2:5" ht="12.75" hidden="1">
      <c r="B293" s="136"/>
      <c r="C293" s="136"/>
      <c r="D293" s="136"/>
      <c r="E293" s="124"/>
    </row>
    <row r="294" spans="2:5" ht="12.75" hidden="1">
      <c r="B294" s="136"/>
      <c r="C294" s="136"/>
      <c r="D294" s="136"/>
      <c r="E294" s="124"/>
    </row>
    <row r="295" spans="2:5" ht="12.75" hidden="1">
      <c r="B295" s="136"/>
      <c r="C295" s="136"/>
      <c r="D295" s="136"/>
      <c r="E295" s="124"/>
    </row>
    <row r="296" spans="2:5" ht="12.75" hidden="1">
      <c r="B296" s="136"/>
      <c r="C296" s="136"/>
      <c r="D296" s="136"/>
      <c r="E296" s="124"/>
    </row>
    <row r="297" spans="2:5" ht="12.75" hidden="1">
      <c r="B297" s="136"/>
      <c r="C297" s="136"/>
      <c r="D297" s="136"/>
      <c r="E297" s="124"/>
    </row>
    <row r="298" spans="2:5" ht="12.75" hidden="1">
      <c r="B298" s="136"/>
      <c r="C298" s="136"/>
      <c r="D298" s="136"/>
      <c r="E298" s="124"/>
    </row>
    <row r="299" spans="2:5" ht="13.5" hidden="1" thickBot="1">
      <c r="B299" s="122"/>
      <c r="C299" s="122"/>
      <c r="D299" s="122"/>
      <c r="E299" s="125"/>
    </row>
    <row r="301" ht="409.6" customHeight="1" hidden="1"/>
    <row r="302" ht="409.6" customHeight="1" hidden="1" thickTop="1"/>
    <row r="303" ht="409.6" customHeight="1" hidden="1" thickTop="1"/>
  </sheetData>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pageSetUpPr fitToPage="1"/>
  </sheetPr>
  <dimension ref="A1:R202"/>
  <sheetViews>
    <sheetView workbookViewId="0" topLeftCell="A46">
      <selection activeCell="C58" sqref="C58:C60"/>
    </sheetView>
  </sheetViews>
  <sheetFormatPr defaultColWidth="9.140625" defaultRowHeight="12.75"/>
  <cols>
    <col min="1" max="1" width="42.421875" style="95" customWidth="1"/>
    <col min="2" max="2" width="18.28125" style="141" hidden="1" customWidth="1"/>
    <col min="3" max="3" width="18.28125" style="141" customWidth="1"/>
    <col min="4" max="8" width="19.00390625" style="141" customWidth="1"/>
    <col min="9" max="10" width="12.28125" style="141" bestFit="1" customWidth="1"/>
    <col min="11" max="15" width="15.00390625" style="141" bestFit="1" customWidth="1"/>
    <col min="16" max="16384" width="9.140625" style="95" customWidth="1"/>
  </cols>
  <sheetData>
    <row r="1" spans="1:8" ht="18.75">
      <c r="A1" s="139" t="s">
        <v>717</v>
      </c>
      <c r="B1" s="140"/>
      <c r="C1" s="140"/>
      <c r="D1" s="140"/>
      <c r="E1" s="140"/>
      <c r="F1" s="140"/>
      <c r="G1" s="140"/>
      <c r="H1" s="140"/>
    </row>
    <row r="3" spans="1:15" ht="15">
      <c r="A3" s="142" t="s">
        <v>389</v>
      </c>
      <c r="B3" s="143">
        <v>2015</v>
      </c>
      <c r="C3" s="148">
        <v>2020</v>
      </c>
      <c r="D3" s="148">
        <v>2021</v>
      </c>
      <c r="E3" s="148">
        <v>2022</v>
      </c>
      <c r="F3" s="148">
        <v>2023</v>
      </c>
      <c r="G3" s="148">
        <v>2024</v>
      </c>
      <c r="H3" s="148">
        <v>2025</v>
      </c>
      <c r="I3" s="148">
        <v>2026</v>
      </c>
      <c r="J3" s="148">
        <v>2027</v>
      </c>
      <c r="K3" s="148">
        <v>2028</v>
      </c>
      <c r="L3" s="148">
        <v>2029</v>
      </c>
      <c r="M3" s="148"/>
      <c r="N3" s="148"/>
      <c r="O3" s="148"/>
    </row>
    <row r="4" spans="1:12" ht="15">
      <c r="A4" s="144" t="s">
        <v>390</v>
      </c>
      <c r="B4" s="145">
        <v>339863384.04</v>
      </c>
      <c r="C4" s="353">
        <v>266570836</v>
      </c>
      <c r="D4" s="353">
        <v>323761597</v>
      </c>
      <c r="E4" s="353">
        <v>273148705.0141061</v>
      </c>
      <c r="F4" s="353">
        <v>338229984.288</v>
      </c>
      <c r="G4" s="353">
        <v>291718706.873635</v>
      </c>
      <c r="H4" s="353">
        <v>361224533.522636</v>
      </c>
      <c r="I4" s="353">
        <v>311459761.75439936</v>
      </c>
      <c r="J4" s="353">
        <v>385405050.2497382</v>
      </c>
      <c r="K4" s="353">
        <v>331983848.8529376</v>
      </c>
      <c r="L4" s="353">
        <v>410184591.51161087</v>
      </c>
    </row>
    <row r="5" spans="1:12" ht="15">
      <c r="A5" s="144" t="s">
        <v>391</v>
      </c>
      <c r="B5" s="145">
        <v>143032999.92000002</v>
      </c>
      <c r="C5" s="353">
        <v>153609000</v>
      </c>
      <c r="D5" s="353">
        <v>151623000</v>
      </c>
      <c r="E5" s="353">
        <v>154989031</v>
      </c>
      <c r="F5" s="353">
        <v>158445286</v>
      </c>
      <c r="G5" s="353">
        <v>161962771</v>
      </c>
      <c r="H5" s="353">
        <v>165525952</v>
      </c>
      <c r="I5" s="353">
        <v>169084760</v>
      </c>
      <c r="J5" s="353">
        <v>172635540</v>
      </c>
      <c r="K5" s="353">
        <v>176140042</v>
      </c>
      <c r="L5" s="353">
        <v>179662843</v>
      </c>
    </row>
    <row r="6" spans="1:12" ht="15">
      <c r="A6" s="144" t="s">
        <v>392</v>
      </c>
      <c r="B6" s="145">
        <v>231878000.04</v>
      </c>
      <c r="C6" s="353">
        <v>252557000</v>
      </c>
      <c r="D6" s="353">
        <v>252557000</v>
      </c>
      <c r="E6" s="353">
        <v>258163765</v>
      </c>
      <c r="F6" s="353">
        <v>263920817</v>
      </c>
      <c r="G6" s="353">
        <v>269779859</v>
      </c>
      <c r="H6" s="353">
        <v>275715016</v>
      </c>
      <c r="I6" s="353">
        <v>281642889</v>
      </c>
      <c r="J6" s="353">
        <v>287557390</v>
      </c>
      <c r="K6" s="353">
        <v>293394805</v>
      </c>
      <c r="L6" s="353">
        <v>299262701</v>
      </c>
    </row>
    <row r="7" spans="1:12" ht="15">
      <c r="A7" s="95" t="s">
        <v>154</v>
      </c>
      <c r="B7" s="141">
        <v>4932258</v>
      </c>
      <c r="C7" s="353">
        <v>0</v>
      </c>
      <c r="D7" s="353">
        <v>0</v>
      </c>
      <c r="E7" s="353">
        <v>0</v>
      </c>
      <c r="F7" s="353">
        <v>0</v>
      </c>
      <c r="G7" s="353">
        <v>0</v>
      </c>
      <c r="H7" s="353">
        <v>0</v>
      </c>
      <c r="I7" s="353">
        <v>0</v>
      </c>
      <c r="J7" s="353">
        <v>0</v>
      </c>
      <c r="K7" s="353">
        <v>0</v>
      </c>
      <c r="L7" s="353">
        <v>0</v>
      </c>
    </row>
    <row r="8" spans="1:12" ht="15">
      <c r="A8" s="95" t="s">
        <v>155</v>
      </c>
      <c r="B8" s="141">
        <v>4212645.96</v>
      </c>
      <c r="C8" s="353">
        <v>5448000</v>
      </c>
      <c r="D8" s="353">
        <v>5948000</v>
      </c>
      <c r="E8" s="353">
        <v>6080046</v>
      </c>
      <c r="F8" s="353">
        <v>6215631</v>
      </c>
      <c r="G8" s="353">
        <v>6353618</v>
      </c>
      <c r="H8" s="353">
        <v>6493397</v>
      </c>
      <c r="I8" s="353">
        <v>6633005</v>
      </c>
      <c r="J8" s="353">
        <v>6772298</v>
      </c>
      <c r="K8" s="353">
        <v>6909776</v>
      </c>
      <c r="L8" s="353">
        <v>7047972</v>
      </c>
    </row>
    <row r="9" spans="1:12" ht="15">
      <c r="A9" s="95" t="s">
        <v>156</v>
      </c>
      <c r="B9" s="141">
        <v>5300000.04</v>
      </c>
      <c r="C9" s="353">
        <v>5300000</v>
      </c>
      <c r="D9" s="353">
        <v>5300000</v>
      </c>
      <c r="E9" s="353">
        <v>5417660</v>
      </c>
      <c r="F9" s="353">
        <v>5538474</v>
      </c>
      <c r="G9" s="353">
        <v>5661428</v>
      </c>
      <c r="H9" s="353">
        <v>5785979</v>
      </c>
      <c r="I9" s="353">
        <v>5910378</v>
      </c>
      <c r="J9" s="353">
        <v>6034496</v>
      </c>
      <c r="K9" s="353">
        <v>6156996</v>
      </c>
      <c r="L9" s="353">
        <v>6280136</v>
      </c>
    </row>
    <row r="10" spans="1:12" ht="15">
      <c r="A10" s="95" t="s">
        <v>157</v>
      </c>
      <c r="B10" s="141">
        <v>10961354.04</v>
      </c>
      <c r="C10" s="353">
        <v>0</v>
      </c>
      <c r="D10" s="353">
        <v>0</v>
      </c>
      <c r="E10" s="353">
        <v>0</v>
      </c>
      <c r="F10" s="353">
        <v>0</v>
      </c>
      <c r="G10" s="353">
        <v>0</v>
      </c>
      <c r="H10" s="353">
        <v>0</v>
      </c>
      <c r="I10" s="353">
        <v>0</v>
      </c>
      <c r="J10" s="353">
        <v>0</v>
      </c>
      <c r="K10" s="353">
        <v>0</v>
      </c>
      <c r="L10" s="353">
        <v>0</v>
      </c>
    </row>
    <row r="11" spans="1:12" ht="15">
      <c r="A11" s="95" t="s">
        <v>158</v>
      </c>
      <c r="B11" s="141">
        <v>975354.96</v>
      </c>
      <c r="C11" s="353">
        <v>628602</v>
      </c>
      <c r="D11" s="353">
        <v>632000</v>
      </c>
      <c r="E11" s="353">
        <v>646030</v>
      </c>
      <c r="F11" s="353">
        <v>660437</v>
      </c>
      <c r="G11" s="353">
        <v>675099</v>
      </c>
      <c r="H11" s="353">
        <v>689951</v>
      </c>
      <c r="I11" s="353">
        <v>704785</v>
      </c>
      <c r="J11" s="353">
        <v>719585</v>
      </c>
      <c r="K11" s="353">
        <v>734193</v>
      </c>
      <c r="L11" s="353">
        <v>748877</v>
      </c>
    </row>
    <row r="12" spans="1:12" ht="15">
      <c r="A12" s="95" t="s">
        <v>159</v>
      </c>
      <c r="B12" s="141">
        <v>1079627.04</v>
      </c>
      <c r="C12" s="353">
        <v>1332000</v>
      </c>
      <c r="D12" s="353">
        <v>1370000</v>
      </c>
      <c r="E12" s="353">
        <v>1400414</v>
      </c>
      <c r="F12" s="353">
        <v>1431643</v>
      </c>
      <c r="G12" s="353">
        <v>1463426</v>
      </c>
      <c r="H12" s="353">
        <v>1495621</v>
      </c>
      <c r="I12" s="353">
        <v>1527777</v>
      </c>
      <c r="J12" s="353">
        <v>1559860</v>
      </c>
      <c r="K12" s="353">
        <v>1591525</v>
      </c>
      <c r="L12" s="353">
        <v>1623356</v>
      </c>
    </row>
    <row r="13" spans="1:12" ht="15">
      <c r="A13" s="144" t="s">
        <v>210</v>
      </c>
      <c r="B13" s="145">
        <v>27461240.04</v>
      </c>
      <c r="C13" s="353">
        <v>12708602</v>
      </c>
      <c r="D13" s="353">
        <v>13250000</v>
      </c>
      <c r="E13" s="353">
        <v>13544150</v>
      </c>
      <c r="F13" s="353">
        <v>13846185</v>
      </c>
      <c r="G13" s="353">
        <v>14153571</v>
      </c>
      <c r="H13" s="353">
        <v>14464948</v>
      </c>
      <c r="I13" s="353">
        <v>14775945</v>
      </c>
      <c r="J13" s="353">
        <v>15086239</v>
      </c>
      <c r="K13" s="353">
        <v>15392490</v>
      </c>
      <c r="L13" s="353">
        <v>15700341</v>
      </c>
    </row>
    <row r="14" spans="1:12" ht="15">
      <c r="A14" s="144" t="s">
        <v>393</v>
      </c>
      <c r="B14" s="145">
        <v>21497367.96</v>
      </c>
      <c r="C14" s="353">
        <v>22997000</v>
      </c>
      <c r="D14" s="353">
        <v>22997000</v>
      </c>
      <c r="E14" s="353">
        <v>23507533</v>
      </c>
      <c r="F14" s="353">
        <v>24031751</v>
      </c>
      <c r="G14" s="353">
        <v>24565256</v>
      </c>
      <c r="H14" s="353">
        <v>25105692</v>
      </c>
      <c r="I14" s="353">
        <v>25645464</v>
      </c>
      <c r="J14" s="353">
        <v>26184019</v>
      </c>
      <c r="K14" s="353">
        <v>26715555</v>
      </c>
      <c r="L14" s="353">
        <v>27249866</v>
      </c>
    </row>
    <row r="15" spans="1:12" ht="15">
      <c r="A15" s="95" t="s">
        <v>211</v>
      </c>
      <c r="B15" s="141">
        <v>999999.96</v>
      </c>
      <c r="C15" s="353">
        <v>1200000</v>
      </c>
      <c r="D15" s="353">
        <v>1200000</v>
      </c>
      <c r="E15" s="353">
        <v>1226640</v>
      </c>
      <c r="F15" s="353">
        <v>1253994</v>
      </c>
      <c r="G15" s="353">
        <v>1281833</v>
      </c>
      <c r="H15" s="353">
        <v>1310033</v>
      </c>
      <c r="I15" s="353">
        <v>1338199</v>
      </c>
      <c r="J15" s="353">
        <v>1366301</v>
      </c>
      <c r="K15" s="353">
        <v>1394037</v>
      </c>
      <c r="L15" s="353">
        <v>1421918</v>
      </c>
    </row>
    <row r="16" spans="1:12" ht="15">
      <c r="A16" s="95" t="s">
        <v>212</v>
      </c>
      <c r="B16" s="141">
        <v>467000.04</v>
      </c>
      <c r="C16" s="353">
        <v>431000</v>
      </c>
      <c r="D16" s="353">
        <v>331000</v>
      </c>
      <c r="E16" s="353">
        <v>338348</v>
      </c>
      <c r="F16" s="353">
        <v>345893</v>
      </c>
      <c r="G16" s="353">
        <v>353572</v>
      </c>
      <c r="H16" s="353">
        <v>361351</v>
      </c>
      <c r="I16" s="353">
        <v>369120</v>
      </c>
      <c r="J16" s="353">
        <v>376871</v>
      </c>
      <c r="K16" s="353">
        <v>384522</v>
      </c>
      <c r="L16" s="353">
        <v>392212</v>
      </c>
    </row>
    <row r="17" spans="1:12" ht="15">
      <c r="A17" s="144" t="s">
        <v>213</v>
      </c>
      <c r="B17" s="145">
        <v>1467000</v>
      </c>
      <c r="C17" s="353">
        <v>1631000</v>
      </c>
      <c r="D17" s="353">
        <v>1531000</v>
      </c>
      <c r="E17" s="353">
        <v>1564988</v>
      </c>
      <c r="F17" s="353">
        <v>1599887</v>
      </c>
      <c r="G17" s="353">
        <v>1635405</v>
      </c>
      <c r="H17" s="353">
        <v>1671384</v>
      </c>
      <c r="I17" s="353">
        <v>1707319</v>
      </c>
      <c r="J17" s="353">
        <v>1743172</v>
      </c>
      <c r="K17" s="353">
        <v>1778559</v>
      </c>
      <c r="L17" s="353">
        <v>1814130</v>
      </c>
    </row>
    <row r="18" spans="1:8" ht="15">
      <c r="A18" s="95" t="s">
        <v>214</v>
      </c>
      <c r="B18" s="141">
        <v>26719640.04</v>
      </c>
      <c r="C18" s="146"/>
      <c r="D18" s="146"/>
      <c r="E18" s="146"/>
      <c r="F18" s="146"/>
      <c r="G18" s="146"/>
      <c r="H18" s="146"/>
    </row>
    <row r="19" spans="1:8" ht="15">
      <c r="A19" s="95" t="s">
        <v>133</v>
      </c>
      <c r="B19" s="141">
        <v>94913013.96</v>
      </c>
      <c r="C19" s="146"/>
      <c r="D19" s="146"/>
      <c r="E19" s="146"/>
      <c r="F19" s="146"/>
      <c r="G19" s="146"/>
      <c r="H19" s="146"/>
    </row>
    <row r="20" spans="1:12" ht="15">
      <c r="A20" s="95" t="s">
        <v>132</v>
      </c>
      <c r="B20" s="141">
        <v>3000000</v>
      </c>
      <c r="C20" s="353">
        <v>3100000</v>
      </c>
      <c r="D20" s="353">
        <v>3100000</v>
      </c>
      <c r="E20" s="353">
        <v>3168820</v>
      </c>
      <c r="F20" s="353">
        <v>3239485</v>
      </c>
      <c r="G20" s="353">
        <v>3311401</v>
      </c>
      <c r="H20" s="353">
        <v>3384252</v>
      </c>
      <c r="I20" s="353">
        <v>3457014</v>
      </c>
      <c r="J20" s="353">
        <v>3529611</v>
      </c>
      <c r="K20" s="353">
        <v>3601262</v>
      </c>
      <c r="L20" s="353">
        <v>3673287</v>
      </c>
    </row>
    <row r="21" spans="1:11" ht="15">
      <c r="A21" s="95" t="s">
        <v>215</v>
      </c>
      <c r="B21" s="141">
        <v>24656070.96</v>
      </c>
      <c r="C21" s="146"/>
      <c r="D21" s="146">
        <v>0</v>
      </c>
      <c r="E21" s="146">
        <v>0</v>
      </c>
      <c r="F21" s="146">
        <v>0</v>
      </c>
      <c r="G21" s="146">
        <v>0</v>
      </c>
      <c r="H21" s="146">
        <v>0</v>
      </c>
      <c r="I21" s="141">
        <v>0</v>
      </c>
      <c r="J21" s="141">
        <v>0</v>
      </c>
      <c r="K21" s="141">
        <v>0</v>
      </c>
    </row>
    <row r="22" spans="1:15" ht="15">
      <c r="A22" s="144" t="s">
        <v>216</v>
      </c>
      <c r="B22" s="145">
        <v>149288724.96</v>
      </c>
      <c r="C22" s="146">
        <v>102770545</v>
      </c>
      <c r="D22" s="146">
        <f aca="true" t="shared" si="0" ref="D22:L22">SUM(D18:D21)</f>
        <v>3100000</v>
      </c>
      <c r="E22" s="146">
        <f t="shared" si="0"/>
        <v>3168820</v>
      </c>
      <c r="F22" s="146">
        <f t="shared" si="0"/>
        <v>3239485</v>
      </c>
      <c r="G22" s="146">
        <f t="shared" si="0"/>
        <v>3311401</v>
      </c>
      <c r="H22" s="146">
        <f t="shared" si="0"/>
        <v>3384252</v>
      </c>
      <c r="I22" s="146">
        <f t="shared" si="0"/>
        <v>3457014</v>
      </c>
      <c r="J22" s="146">
        <f t="shared" si="0"/>
        <v>3529611</v>
      </c>
      <c r="K22" s="146">
        <f t="shared" si="0"/>
        <v>3601262</v>
      </c>
      <c r="L22" s="146">
        <f t="shared" si="0"/>
        <v>3673287</v>
      </c>
      <c r="M22" s="146"/>
      <c r="N22" s="146"/>
      <c r="O22" s="146"/>
    </row>
    <row r="23" spans="1:12" ht="15">
      <c r="A23" s="144" t="s">
        <v>152</v>
      </c>
      <c r="B23" s="145">
        <v>203900000.04</v>
      </c>
      <c r="C23" s="146">
        <v>257122000</v>
      </c>
      <c r="D23" s="146">
        <v>255399000</v>
      </c>
      <c r="E23" s="146">
        <v>261068858</v>
      </c>
      <c r="F23" s="146">
        <v>266890693</v>
      </c>
      <c r="G23" s="146">
        <v>272815667</v>
      </c>
      <c r="H23" s="146">
        <v>278817611</v>
      </c>
      <c r="I23" s="141">
        <v>284812190</v>
      </c>
      <c r="J23" s="141">
        <v>290793246</v>
      </c>
      <c r="K23" s="141">
        <v>296696349</v>
      </c>
      <c r="L23" s="141">
        <v>302630276</v>
      </c>
    </row>
    <row r="24" spans="1:12" ht="15">
      <c r="A24" s="144" t="s">
        <v>134</v>
      </c>
      <c r="B24" s="145">
        <v>40330798.599999994</v>
      </c>
      <c r="C24" s="353">
        <v>36523000</v>
      </c>
      <c r="D24" s="353">
        <v>34869000</v>
      </c>
      <c r="E24" s="353">
        <v>35643092</v>
      </c>
      <c r="F24" s="353">
        <v>36437933</v>
      </c>
      <c r="G24" s="353">
        <v>37246855</v>
      </c>
      <c r="H24" s="353">
        <v>38066286</v>
      </c>
      <c r="I24" s="353">
        <v>38884711</v>
      </c>
      <c r="J24" s="353">
        <v>39701290</v>
      </c>
      <c r="K24" s="353">
        <v>40507226</v>
      </c>
      <c r="L24" s="353">
        <v>41317370</v>
      </c>
    </row>
    <row r="25" spans="1:12" ht="15">
      <c r="A25" s="248" t="s">
        <v>570</v>
      </c>
      <c r="B25" s="145"/>
      <c r="C25" s="353">
        <v>27295703</v>
      </c>
      <c r="D25" s="353">
        <v>27295703</v>
      </c>
      <c r="E25" s="353">
        <v>27901668</v>
      </c>
      <c r="F25" s="353">
        <v>28523875</v>
      </c>
      <c r="G25" s="353">
        <v>29157105</v>
      </c>
      <c r="H25" s="353">
        <v>29798561</v>
      </c>
      <c r="I25" s="353">
        <v>30439230</v>
      </c>
      <c r="J25" s="353">
        <v>31078454</v>
      </c>
      <c r="K25" s="353">
        <v>31709347</v>
      </c>
      <c r="L25" s="353">
        <v>32343534</v>
      </c>
    </row>
    <row r="26" spans="1:15" s="4" customFormat="1" ht="15">
      <c r="A26" s="95" t="s">
        <v>136</v>
      </c>
      <c r="B26" s="141">
        <v>605000.04</v>
      </c>
      <c r="C26" s="353">
        <v>590000</v>
      </c>
      <c r="D26" s="353">
        <v>590000</v>
      </c>
      <c r="E26" s="353">
        <v>590000</v>
      </c>
      <c r="F26" s="353">
        <v>590000</v>
      </c>
      <c r="G26" s="353">
        <v>590000</v>
      </c>
      <c r="H26" s="353">
        <v>590000</v>
      </c>
      <c r="I26" s="353">
        <v>590000</v>
      </c>
      <c r="J26" s="353">
        <v>590000</v>
      </c>
      <c r="K26" s="353">
        <v>590000</v>
      </c>
      <c r="L26" s="353">
        <v>590000</v>
      </c>
      <c r="M26" s="147"/>
      <c r="N26" s="147"/>
      <c r="O26" s="147"/>
    </row>
    <row r="27" spans="1:12" ht="15">
      <c r="A27" s="95" t="s">
        <v>137</v>
      </c>
      <c r="B27" s="141">
        <v>14748219</v>
      </c>
      <c r="C27" s="353">
        <v>12050000</v>
      </c>
      <c r="D27" s="353">
        <v>12050000</v>
      </c>
      <c r="E27" s="353">
        <v>12317510</v>
      </c>
      <c r="F27" s="353">
        <v>12592191</v>
      </c>
      <c r="G27" s="353">
        <v>12871737</v>
      </c>
      <c r="H27" s="353">
        <v>13154915</v>
      </c>
      <c r="I27" s="353">
        <v>13437746</v>
      </c>
      <c r="J27" s="353">
        <v>13719939</v>
      </c>
      <c r="K27" s="353">
        <v>13998453</v>
      </c>
      <c r="L27" s="353">
        <v>14278422</v>
      </c>
    </row>
    <row r="28" spans="1:12" ht="15">
      <c r="A28" s="95" t="s">
        <v>217</v>
      </c>
      <c r="B28" s="141">
        <v>12999999.96</v>
      </c>
      <c r="C28" s="353">
        <v>8000000</v>
      </c>
      <c r="D28" s="353">
        <v>8000000</v>
      </c>
      <c r="E28" s="353">
        <v>8177600</v>
      </c>
      <c r="F28" s="353">
        <v>8359960</v>
      </c>
      <c r="G28" s="353">
        <v>8545552</v>
      </c>
      <c r="H28" s="353">
        <v>8733554</v>
      </c>
      <c r="I28" s="353">
        <v>8921325</v>
      </c>
      <c r="J28" s="353">
        <v>9108673</v>
      </c>
      <c r="K28" s="353">
        <v>9293579</v>
      </c>
      <c r="L28" s="353">
        <v>9479451</v>
      </c>
    </row>
    <row r="29" spans="1:12" ht="15">
      <c r="A29" s="95" t="s">
        <v>218</v>
      </c>
      <c r="B29" s="141">
        <v>5252000.04</v>
      </c>
      <c r="C29" s="353">
        <v>5739000</v>
      </c>
      <c r="D29" s="353">
        <v>5853000</v>
      </c>
      <c r="E29" s="353">
        <v>5982937</v>
      </c>
      <c r="F29" s="353">
        <v>6116356</v>
      </c>
      <c r="G29" s="353">
        <v>6252139</v>
      </c>
      <c r="H29" s="353">
        <v>6389686</v>
      </c>
      <c r="I29" s="353">
        <v>6527064</v>
      </c>
      <c r="J29" s="353">
        <v>6664133</v>
      </c>
      <c r="K29" s="353">
        <v>6799415</v>
      </c>
      <c r="L29" s="353">
        <v>6935403</v>
      </c>
    </row>
    <row r="30" spans="1:12" ht="15">
      <c r="A30" s="95" t="s">
        <v>135</v>
      </c>
      <c r="B30" s="141">
        <v>14691590.04</v>
      </c>
      <c r="C30" s="353">
        <v>67000000</v>
      </c>
      <c r="D30" s="353">
        <v>67000000</v>
      </c>
      <c r="E30" s="353">
        <v>68487400</v>
      </c>
      <c r="F30" s="353">
        <v>70014669</v>
      </c>
      <c r="G30" s="353">
        <v>71568995</v>
      </c>
      <c r="H30" s="353">
        <v>73143513</v>
      </c>
      <c r="I30" s="353">
        <v>74716098</v>
      </c>
      <c r="J30" s="353">
        <v>76285136</v>
      </c>
      <c r="K30" s="353">
        <v>77833724</v>
      </c>
      <c r="L30" s="353">
        <v>79390399</v>
      </c>
    </row>
    <row r="31" spans="1:12" ht="15">
      <c r="A31" s="95" t="s">
        <v>394</v>
      </c>
      <c r="B31" s="141">
        <v>1824999.96</v>
      </c>
      <c r="C31" s="353">
        <v>855000</v>
      </c>
      <c r="D31" s="353">
        <v>855000</v>
      </c>
      <c r="E31" s="353">
        <v>873981</v>
      </c>
      <c r="F31" s="353">
        <v>893471</v>
      </c>
      <c r="G31" s="353">
        <v>913306</v>
      </c>
      <c r="H31" s="353">
        <v>933399</v>
      </c>
      <c r="I31" s="353">
        <v>953467</v>
      </c>
      <c r="J31" s="353">
        <v>973489</v>
      </c>
      <c r="K31" s="353">
        <v>993251</v>
      </c>
      <c r="L31" s="353">
        <v>1013116</v>
      </c>
    </row>
    <row r="32" spans="1:8" ht="15">
      <c r="A32" s="104" t="s">
        <v>571</v>
      </c>
      <c r="C32" s="146"/>
      <c r="D32" s="146"/>
      <c r="E32" s="146"/>
      <c r="F32" s="146"/>
      <c r="G32" s="146"/>
      <c r="H32" s="146"/>
    </row>
    <row r="33" spans="1:8" ht="15">
      <c r="A33" s="104" t="s">
        <v>572</v>
      </c>
      <c r="C33" s="146"/>
      <c r="D33" s="146"/>
      <c r="E33" s="146"/>
      <c r="F33" s="146"/>
      <c r="G33" s="146"/>
      <c r="H33" s="146"/>
    </row>
    <row r="34" spans="1:12" ht="15">
      <c r="A34" s="144" t="s">
        <v>219</v>
      </c>
      <c r="B34" s="145">
        <v>50121809.04</v>
      </c>
      <c r="C34" s="353">
        <v>121529703</v>
      </c>
      <c r="D34" s="353">
        <v>121643703</v>
      </c>
      <c r="E34" s="353">
        <v>124331096</v>
      </c>
      <c r="F34" s="353">
        <v>127090522</v>
      </c>
      <c r="G34" s="353">
        <v>129898834</v>
      </c>
      <c r="H34" s="353">
        <v>132743628</v>
      </c>
      <c r="I34" s="353">
        <v>135584930</v>
      </c>
      <c r="J34" s="353">
        <v>138419824</v>
      </c>
      <c r="K34" s="353">
        <v>141217769</v>
      </c>
      <c r="L34" s="353">
        <v>144030325</v>
      </c>
    </row>
    <row r="35" spans="1:15" s="4" customFormat="1" ht="15">
      <c r="A35" s="95" t="s">
        <v>144</v>
      </c>
      <c r="B35" s="141">
        <v>56442399.96</v>
      </c>
      <c r="C35" s="353">
        <v>91619000</v>
      </c>
      <c r="D35" s="353">
        <v>91206000</v>
      </c>
      <c r="E35" s="353">
        <v>93230773</v>
      </c>
      <c r="F35" s="353">
        <v>95309819</v>
      </c>
      <c r="G35" s="353">
        <v>97425697</v>
      </c>
      <c r="H35" s="353">
        <v>99569063</v>
      </c>
      <c r="I35" s="353">
        <v>101709798</v>
      </c>
      <c r="J35" s="353">
        <v>103845703</v>
      </c>
      <c r="K35" s="353">
        <v>105953771</v>
      </c>
      <c r="L35" s="353">
        <v>108072847</v>
      </c>
      <c r="M35" s="147"/>
      <c r="N35" s="147"/>
      <c r="O35" s="147"/>
    </row>
    <row r="36" spans="1:12" ht="15">
      <c r="A36" s="95" t="s">
        <v>220</v>
      </c>
      <c r="B36" s="141">
        <v>11664000</v>
      </c>
      <c r="C36" s="353">
        <v>12886680</v>
      </c>
      <c r="D36" s="353">
        <v>13144414</v>
      </c>
      <c r="E36" s="353">
        <v>13436220</v>
      </c>
      <c r="F36" s="353">
        <v>13735847</v>
      </c>
      <c r="G36" s="353">
        <v>14040783</v>
      </c>
      <c r="H36" s="353">
        <v>14349680</v>
      </c>
      <c r="I36" s="353">
        <v>14658198</v>
      </c>
      <c r="J36" s="353">
        <v>14966021</v>
      </c>
      <c r="K36" s="353">
        <v>15269831</v>
      </c>
      <c r="L36" s="353">
        <v>15575227</v>
      </c>
    </row>
    <row r="37" spans="1:12" ht="15">
      <c r="A37" s="95" t="s">
        <v>221</v>
      </c>
      <c r="B37" s="141">
        <v>94474184.04</v>
      </c>
      <c r="C37" s="353">
        <v>113402377</v>
      </c>
      <c r="D37" s="353">
        <v>106916125</v>
      </c>
      <c r="E37" s="353">
        <v>109289663</v>
      </c>
      <c r="F37" s="353">
        <v>111726823</v>
      </c>
      <c r="G37" s="353">
        <v>114207158</v>
      </c>
      <c r="H37" s="353">
        <v>116719716</v>
      </c>
      <c r="I37" s="353">
        <v>119229189</v>
      </c>
      <c r="J37" s="353">
        <v>121733002</v>
      </c>
      <c r="K37" s="353">
        <v>124204182</v>
      </c>
      <c r="L37" s="353">
        <v>126688266</v>
      </c>
    </row>
    <row r="38" spans="1:12" ht="15">
      <c r="A38" s="95" t="s">
        <v>222</v>
      </c>
      <c r="B38" s="141">
        <v>2333274.96</v>
      </c>
      <c r="C38" s="353">
        <v>2338000</v>
      </c>
      <c r="D38" s="353">
        <v>2384000</v>
      </c>
      <c r="E38" s="353">
        <v>2436925</v>
      </c>
      <c r="F38" s="353">
        <v>2491268</v>
      </c>
      <c r="G38" s="353">
        <v>2546574</v>
      </c>
      <c r="H38" s="353">
        <v>2602599</v>
      </c>
      <c r="I38" s="353">
        <v>2658555</v>
      </c>
      <c r="J38" s="353">
        <v>2714385</v>
      </c>
      <c r="K38" s="353">
        <v>2769487</v>
      </c>
      <c r="L38" s="353">
        <v>2824876</v>
      </c>
    </row>
    <row r="39" spans="1:12" ht="15">
      <c r="A39" s="144" t="s">
        <v>223</v>
      </c>
      <c r="B39" s="145">
        <v>164913858.96</v>
      </c>
      <c r="C39" s="353">
        <f>SUM(C35:C38)</f>
        <v>220246057</v>
      </c>
      <c r="D39" s="353">
        <f aca="true" t="shared" si="1" ref="D39:L39">SUM(D35:D38)</f>
        <v>213650539</v>
      </c>
      <c r="E39" s="353">
        <f t="shared" si="1"/>
        <v>218393581</v>
      </c>
      <c r="F39" s="353">
        <f t="shared" si="1"/>
        <v>223263757</v>
      </c>
      <c r="G39" s="353">
        <f t="shared" si="1"/>
        <v>228220212</v>
      </c>
      <c r="H39" s="353">
        <f t="shared" si="1"/>
        <v>233241058</v>
      </c>
      <c r="I39" s="353">
        <f t="shared" si="1"/>
        <v>238255740</v>
      </c>
      <c r="J39" s="353">
        <f t="shared" si="1"/>
        <v>243259111</v>
      </c>
      <c r="K39" s="353">
        <f t="shared" si="1"/>
        <v>248197271</v>
      </c>
      <c r="L39" s="353">
        <f t="shared" si="1"/>
        <v>253161216</v>
      </c>
    </row>
    <row r="40" spans="1:12" ht="15">
      <c r="A40" s="4" t="s">
        <v>143</v>
      </c>
      <c r="B40" s="141">
        <v>8964806.48</v>
      </c>
      <c r="C40" s="353">
        <v>8399412</v>
      </c>
      <c r="D40" s="353">
        <v>8698975</v>
      </c>
      <c r="E40" s="353">
        <v>8797017</v>
      </c>
      <c r="F40" s="353">
        <v>8896378</v>
      </c>
      <c r="G40" s="353">
        <v>8996891</v>
      </c>
      <c r="H40" s="353">
        <v>9098472</v>
      </c>
      <c r="I40" s="353">
        <v>9200830</v>
      </c>
      <c r="J40" s="353">
        <v>9303951</v>
      </c>
      <c r="K40" s="353">
        <v>9407615</v>
      </c>
      <c r="L40" s="353">
        <v>9512215</v>
      </c>
    </row>
    <row r="41" spans="1:12" ht="15">
      <c r="A41" s="4" t="s">
        <v>224</v>
      </c>
      <c r="B41" s="141">
        <v>7624740.48</v>
      </c>
      <c r="C41" s="353">
        <v>6059444</v>
      </c>
      <c r="D41" s="353">
        <v>6204974</v>
      </c>
      <c r="E41" s="353">
        <v>6296956</v>
      </c>
      <c r="F41" s="353">
        <v>6390773</v>
      </c>
      <c r="G41" s="353">
        <v>6485960</v>
      </c>
      <c r="H41" s="353">
        <v>6582269</v>
      </c>
      <c r="I41" s="353">
        <v>6678894</v>
      </c>
      <c r="J41" s="353">
        <v>6775779</v>
      </c>
      <c r="K41" s="353">
        <v>6872310</v>
      </c>
      <c r="L41" s="353">
        <v>6969535</v>
      </c>
    </row>
    <row r="42" spans="1:12" ht="15">
      <c r="A42" s="4" t="s">
        <v>225</v>
      </c>
      <c r="B42" s="141">
        <v>9829570.8</v>
      </c>
      <c r="C42" s="353">
        <v>8806398</v>
      </c>
      <c r="D42" s="353">
        <v>9148009</v>
      </c>
      <c r="E42" s="353">
        <v>9239672</v>
      </c>
      <c r="F42" s="353">
        <v>9332257</v>
      </c>
      <c r="G42" s="353">
        <v>9425771</v>
      </c>
      <c r="H42" s="353">
        <v>9520221</v>
      </c>
      <c r="I42" s="353">
        <v>9615612</v>
      </c>
      <c r="J42" s="353">
        <v>9711952</v>
      </c>
      <c r="K42" s="353">
        <v>9809247</v>
      </c>
      <c r="L42" s="353">
        <v>9907514</v>
      </c>
    </row>
    <row r="43" spans="1:12" ht="15">
      <c r="A43" s="4" t="s">
        <v>140</v>
      </c>
      <c r="B43" s="141">
        <v>6935839.93</v>
      </c>
      <c r="C43" s="353">
        <v>5642557</v>
      </c>
      <c r="D43" s="353">
        <v>5839369</v>
      </c>
      <c r="E43" s="353">
        <v>5901422</v>
      </c>
      <c r="F43" s="353">
        <v>5964208</v>
      </c>
      <c r="G43" s="353">
        <v>6027675</v>
      </c>
      <c r="H43" s="353">
        <v>6091797</v>
      </c>
      <c r="I43" s="353">
        <v>6156482</v>
      </c>
      <c r="J43" s="353">
        <v>6221727</v>
      </c>
      <c r="K43" s="353">
        <v>6287462</v>
      </c>
      <c r="L43" s="353">
        <v>6353822</v>
      </c>
    </row>
    <row r="44" spans="1:12" ht="15">
      <c r="A44" s="4" t="s">
        <v>139</v>
      </c>
      <c r="B44" s="141">
        <v>1076959.63</v>
      </c>
      <c r="C44" s="353">
        <v>555351</v>
      </c>
      <c r="D44" s="353">
        <v>575111</v>
      </c>
      <c r="E44" s="353">
        <v>580862</v>
      </c>
      <c r="F44" s="353">
        <v>586671</v>
      </c>
      <c r="G44" s="353">
        <v>592537</v>
      </c>
      <c r="H44" s="353">
        <v>598463</v>
      </c>
      <c r="I44" s="353">
        <v>604447</v>
      </c>
      <c r="J44" s="353">
        <v>610492</v>
      </c>
      <c r="K44" s="353">
        <v>616597</v>
      </c>
      <c r="L44" s="353">
        <v>622763</v>
      </c>
    </row>
    <row r="45" spans="1:12" ht="15">
      <c r="A45" s="4" t="s">
        <v>142</v>
      </c>
      <c r="B45" s="141">
        <v>21376117.330000006</v>
      </c>
      <c r="C45" s="353">
        <v>23191279</v>
      </c>
      <c r="D45" s="353">
        <v>23954175</v>
      </c>
      <c r="E45" s="353">
        <v>24230393</v>
      </c>
      <c r="F45" s="353">
        <v>24510495</v>
      </c>
      <c r="G45" s="353">
        <v>24793926</v>
      </c>
      <c r="H45" s="353">
        <v>25080401</v>
      </c>
      <c r="I45" s="353">
        <v>25368947</v>
      </c>
      <c r="J45" s="353">
        <v>25659514</v>
      </c>
      <c r="K45" s="353">
        <v>25951365</v>
      </c>
      <c r="L45" s="353">
        <v>26245802</v>
      </c>
    </row>
    <row r="46" spans="1:12" ht="15">
      <c r="A46" s="4" t="s">
        <v>151</v>
      </c>
      <c r="B46" s="141">
        <v>18912616.709999997</v>
      </c>
      <c r="C46" s="353">
        <v>12779759</v>
      </c>
      <c r="D46" s="353">
        <v>12967466</v>
      </c>
      <c r="E46" s="353">
        <v>13122135</v>
      </c>
      <c r="F46" s="353">
        <v>13279115</v>
      </c>
      <c r="G46" s="353">
        <v>13438025</v>
      </c>
      <c r="H46" s="353">
        <v>13598666</v>
      </c>
      <c r="I46" s="353">
        <v>13760373</v>
      </c>
      <c r="J46" s="353">
        <v>13923108</v>
      </c>
      <c r="K46" s="353">
        <v>14086365</v>
      </c>
      <c r="L46" s="353">
        <v>14251029</v>
      </c>
    </row>
    <row r="47" spans="1:12" ht="15">
      <c r="A47" s="4" t="s">
        <v>150</v>
      </c>
      <c r="B47" s="141">
        <v>4151815.3900000015</v>
      </c>
      <c r="C47" s="353">
        <v>3880557</v>
      </c>
      <c r="D47" s="353">
        <v>3968171</v>
      </c>
      <c r="E47" s="353">
        <v>4015245</v>
      </c>
      <c r="F47" s="353">
        <v>4063126</v>
      </c>
      <c r="G47" s="353">
        <v>4111643</v>
      </c>
      <c r="H47" s="353">
        <v>4160708</v>
      </c>
      <c r="I47" s="353">
        <v>4210027</v>
      </c>
      <c r="J47" s="353">
        <v>4259580</v>
      </c>
      <c r="K47" s="353">
        <v>4309144</v>
      </c>
      <c r="L47" s="353">
        <v>4359104</v>
      </c>
    </row>
    <row r="48" spans="1:12" ht="15">
      <c r="A48" s="4" t="s">
        <v>138</v>
      </c>
      <c r="B48" s="141">
        <v>5727799.71</v>
      </c>
      <c r="C48" s="353">
        <v>6713765</v>
      </c>
      <c r="D48" s="353">
        <v>6774983</v>
      </c>
      <c r="E48" s="353">
        <v>6902791</v>
      </c>
      <c r="F48" s="353">
        <v>7033714</v>
      </c>
      <c r="G48" s="353">
        <v>7166813</v>
      </c>
      <c r="H48" s="353">
        <v>7301583</v>
      </c>
      <c r="I48" s="353">
        <v>7436403</v>
      </c>
      <c r="J48" s="353">
        <v>7571155</v>
      </c>
      <c r="K48" s="353">
        <v>7704599</v>
      </c>
      <c r="L48" s="353">
        <v>7838833</v>
      </c>
    </row>
    <row r="49" spans="1:12" ht="15">
      <c r="A49" s="4" t="s">
        <v>141</v>
      </c>
      <c r="B49" s="141">
        <v>6028002</v>
      </c>
      <c r="C49" s="353">
        <v>2662043</v>
      </c>
      <c r="D49" s="353">
        <v>2666201</v>
      </c>
      <c r="E49" s="353">
        <v>2723688</v>
      </c>
      <c r="F49" s="353">
        <v>2782692</v>
      </c>
      <c r="G49" s="353">
        <v>2842731</v>
      </c>
      <c r="H49" s="353">
        <v>2903545</v>
      </c>
      <c r="I49" s="353">
        <v>2964301</v>
      </c>
      <c r="J49" s="353">
        <v>3024938</v>
      </c>
      <c r="K49" s="353">
        <v>3084818</v>
      </c>
      <c r="L49" s="353">
        <v>3145018</v>
      </c>
    </row>
    <row r="50" spans="1:8" ht="15">
      <c r="A50" s="104" t="s">
        <v>573</v>
      </c>
      <c r="C50" s="146"/>
      <c r="D50" s="146"/>
      <c r="E50" s="146"/>
      <c r="F50" s="146"/>
      <c r="G50" s="146"/>
      <c r="H50" s="146"/>
    </row>
    <row r="51" spans="1:8" ht="15">
      <c r="A51" s="104" t="s">
        <v>574</v>
      </c>
      <c r="C51" s="146"/>
      <c r="D51" s="146"/>
      <c r="E51" s="146"/>
      <c r="F51" s="146"/>
      <c r="G51" s="146"/>
      <c r="H51" s="146"/>
    </row>
    <row r="52" spans="1:12" ht="15">
      <c r="A52" s="104" t="s">
        <v>575</v>
      </c>
      <c r="C52" s="353">
        <v>4125000</v>
      </c>
      <c r="D52" s="353">
        <v>4125000</v>
      </c>
      <c r="E52" s="353">
        <v>0</v>
      </c>
      <c r="F52" s="353">
        <v>0</v>
      </c>
      <c r="G52" s="353">
        <v>0</v>
      </c>
      <c r="H52" s="353">
        <v>0</v>
      </c>
      <c r="I52" s="353">
        <v>0</v>
      </c>
      <c r="J52" s="353">
        <v>0</v>
      </c>
      <c r="K52" s="353">
        <v>0</v>
      </c>
      <c r="L52" s="353">
        <v>0</v>
      </c>
    </row>
    <row r="53" spans="1:12" ht="15">
      <c r="A53" s="144" t="s">
        <v>226</v>
      </c>
      <c r="B53" s="145">
        <v>90628268.46</v>
      </c>
      <c r="C53" s="353">
        <f>SUM(C40:C52)</f>
        <v>82815565</v>
      </c>
      <c r="D53" s="353">
        <f aca="true" t="shared" si="2" ref="D53:L53">SUM(D40:D52)</f>
        <v>84922434</v>
      </c>
      <c r="E53" s="353">
        <f t="shared" si="2"/>
        <v>81810181</v>
      </c>
      <c r="F53" s="353">
        <f t="shared" si="2"/>
        <v>82839429</v>
      </c>
      <c r="G53" s="353">
        <f t="shared" si="2"/>
        <v>83881972</v>
      </c>
      <c r="H53" s="353">
        <f t="shared" si="2"/>
        <v>84936125</v>
      </c>
      <c r="I53" s="353">
        <f t="shared" si="2"/>
        <v>85996316</v>
      </c>
      <c r="J53" s="353">
        <f t="shared" si="2"/>
        <v>87062196</v>
      </c>
      <c r="K53" s="353">
        <f t="shared" si="2"/>
        <v>88129522</v>
      </c>
      <c r="L53" s="353">
        <f t="shared" si="2"/>
        <v>89205635</v>
      </c>
    </row>
    <row r="54" spans="1:15" s="4" customFormat="1" ht="15">
      <c r="A54" s="95" t="s">
        <v>227</v>
      </c>
      <c r="B54" s="141">
        <v>31670000.04</v>
      </c>
      <c r="C54" s="353">
        <v>30483249</v>
      </c>
      <c r="D54" s="353">
        <v>30483249</v>
      </c>
      <c r="E54" s="353">
        <v>31159977</v>
      </c>
      <c r="F54" s="353">
        <v>31854845</v>
      </c>
      <c r="G54" s="353">
        <v>32562022</v>
      </c>
      <c r="H54" s="353">
        <v>33278387</v>
      </c>
      <c r="I54" s="353">
        <v>33993872</v>
      </c>
      <c r="J54" s="353">
        <v>34707743</v>
      </c>
      <c r="K54" s="353">
        <v>35412310</v>
      </c>
      <c r="L54" s="353">
        <v>36120557</v>
      </c>
      <c r="M54" s="147"/>
      <c r="N54" s="147"/>
      <c r="O54" s="147"/>
    </row>
    <row r="55" spans="1:12" ht="15">
      <c r="A55" s="95" t="s">
        <v>228</v>
      </c>
      <c r="B55" s="141">
        <v>10798745.04</v>
      </c>
      <c r="C55" s="353">
        <v>11725000</v>
      </c>
      <c r="D55" s="353">
        <v>11956000</v>
      </c>
      <c r="E55" s="353">
        <v>12221423</v>
      </c>
      <c r="F55" s="353">
        <v>12493960</v>
      </c>
      <c r="G55" s="353">
        <v>12771326.9999999</v>
      </c>
      <c r="H55" s="353">
        <v>13052293</v>
      </c>
      <c r="I55" s="353">
        <v>13332925</v>
      </c>
      <c r="J55" s="353">
        <v>13612909.9999999</v>
      </c>
      <c r="K55" s="353">
        <v>13889248.9999999</v>
      </c>
      <c r="L55" s="353">
        <v>14167035</v>
      </c>
    </row>
    <row r="56" spans="1:12" ht="15">
      <c r="A56" s="95" t="s">
        <v>229</v>
      </c>
      <c r="B56" s="141">
        <v>259999999.71999997</v>
      </c>
      <c r="C56" s="353">
        <v>249602988</v>
      </c>
      <c r="D56" s="353">
        <v>250031220</v>
      </c>
      <c r="E56" s="353">
        <v>255442986</v>
      </c>
      <c r="F56" s="353">
        <v>260997932</v>
      </c>
      <c r="G56" s="353">
        <v>266650417</v>
      </c>
      <c r="H56" s="353">
        <v>272375992</v>
      </c>
      <c r="I56" s="353">
        <v>278095834</v>
      </c>
      <c r="J56" s="353">
        <v>283804199</v>
      </c>
      <c r="K56" s="353">
        <v>289440872</v>
      </c>
      <c r="L56" s="353">
        <v>295107545</v>
      </c>
    </row>
    <row r="57" spans="1:12" ht="15">
      <c r="A57" s="144" t="s">
        <v>230</v>
      </c>
      <c r="B57" s="145">
        <v>302468744.8</v>
      </c>
      <c r="C57" s="353">
        <f>SUM(C54:C56)</f>
        <v>291811237</v>
      </c>
      <c r="D57" s="353">
        <f aca="true" t="shared" si="3" ref="D57:L57">SUM(D54:D56)</f>
        <v>292470469</v>
      </c>
      <c r="E57" s="353">
        <f t="shared" si="3"/>
        <v>298824386</v>
      </c>
      <c r="F57" s="353">
        <f t="shared" si="3"/>
        <v>305346737</v>
      </c>
      <c r="G57" s="353">
        <f t="shared" si="3"/>
        <v>311983765.9999999</v>
      </c>
      <c r="H57" s="353">
        <f t="shared" si="3"/>
        <v>318706672</v>
      </c>
      <c r="I57" s="353">
        <f t="shared" si="3"/>
        <v>325422631</v>
      </c>
      <c r="J57" s="353">
        <f t="shared" si="3"/>
        <v>332124851.9999999</v>
      </c>
      <c r="K57" s="353">
        <f t="shared" si="3"/>
        <v>338742430.9999999</v>
      </c>
      <c r="L57" s="353">
        <f t="shared" si="3"/>
        <v>345395137</v>
      </c>
    </row>
    <row r="58" spans="1:12" ht="15">
      <c r="A58" s="144" t="s">
        <v>395</v>
      </c>
      <c r="B58" s="145">
        <v>18819000</v>
      </c>
      <c r="C58" s="353">
        <v>19576718</v>
      </c>
      <c r="D58" s="353">
        <v>20830898</v>
      </c>
      <c r="E58" s="353">
        <v>21293344</v>
      </c>
      <c r="F58" s="353">
        <v>21768186</v>
      </c>
      <c r="G58" s="353">
        <v>22251439</v>
      </c>
      <c r="H58" s="353">
        <v>22740971</v>
      </c>
      <c r="I58" s="353">
        <v>23229902</v>
      </c>
      <c r="J58" s="353">
        <v>23717730</v>
      </c>
      <c r="K58" s="353">
        <v>24199200</v>
      </c>
      <c r="L58" s="353">
        <v>24683184</v>
      </c>
    </row>
    <row r="59" spans="1:12" ht="15">
      <c r="A59" s="249" t="s">
        <v>576</v>
      </c>
      <c r="B59" s="145"/>
      <c r="C59" s="353">
        <v>47031115</v>
      </c>
      <c r="D59" s="353">
        <v>46793787</v>
      </c>
      <c r="E59" s="353">
        <v>47547504</v>
      </c>
      <c r="F59" s="353">
        <v>48317562</v>
      </c>
      <c r="G59" s="353">
        <v>49099472</v>
      </c>
      <c r="H59" s="353">
        <v>49890839</v>
      </c>
      <c r="I59" s="353">
        <v>50683892</v>
      </c>
      <c r="J59" s="353">
        <v>51478087</v>
      </c>
      <c r="K59" s="353">
        <v>52267494</v>
      </c>
      <c r="L59" s="353">
        <v>53062188</v>
      </c>
    </row>
    <row r="60" spans="1:12" ht="15">
      <c r="A60" s="249" t="s">
        <v>577</v>
      </c>
      <c r="B60" s="145"/>
      <c r="C60" s="353">
        <v>10827911</v>
      </c>
      <c r="D60" s="353">
        <v>10850217</v>
      </c>
      <c r="E60" s="353">
        <v>11014777</v>
      </c>
      <c r="F60" s="353">
        <v>11182710</v>
      </c>
      <c r="G60" s="353">
        <v>11353139</v>
      </c>
      <c r="H60" s="353">
        <v>11525593</v>
      </c>
      <c r="I60" s="353">
        <v>11698549</v>
      </c>
      <c r="J60" s="353">
        <v>11871902</v>
      </c>
      <c r="K60" s="353">
        <v>12044487</v>
      </c>
      <c r="L60" s="353">
        <v>12218287</v>
      </c>
    </row>
    <row r="61" spans="1:12" ht="15">
      <c r="A61" s="144" t="s">
        <v>396</v>
      </c>
      <c r="B61" s="145">
        <v>57824914.339999996</v>
      </c>
      <c r="C61" s="353">
        <v>57859026</v>
      </c>
      <c r="D61" s="353">
        <v>57644004</v>
      </c>
      <c r="E61" s="353">
        <v>58562281</v>
      </c>
      <c r="F61" s="353">
        <v>59500272</v>
      </c>
      <c r="G61" s="353">
        <v>60452611</v>
      </c>
      <c r="H61" s="353">
        <v>61416432</v>
      </c>
      <c r="I61" s="353">
        <v>62382441</v>
      </c>
      <c r="J61" s="353">
        <v>63349989</v>
      </c>
      <c r="K61" s="353">
        <v>64311981</v>
      </c>
      <c r="L61" s="353">
        <v>65280475</v>
      </c>
    </row>
    <row r="62" spans="1:12" ht="15">
      <c r="A62" s="250" t="s">
        <v>578</v>
      </c>
      <c r="B62" s="145"/>
      <c r="C62" s="333"/>
      <c r="D62" s="333"/>
      <c r="E62" s="333"/>
      <c r="F62" s="333"/>
      <c r="G62" s="333"/>
      <c r="H62" s="333"/>
      <c r="I62" s="333"/>
      <c r="J62" s="333"/>
      <c r="K62" s="333"/>
      <c r="L62" s="333"/>
    </row>
    <row r="63" spans="1:15" ht="15.75" thickBot="1">
      <c r="A63" s="142" t="s">
        <v>153</v>
      </c>
      <c r="B63" s="143">
        <v>1843496111.2</v>
      </c>
      <c r="C63" s="334">
        <f>C4+C5+C6+C13+C22+C23+C24+C34+C39+C53+C57+C58+C61+C62+C17+C14</f>
        <v>1900327289</v>
      </c>
      <c r="D63" s="334">
        <f aca="true" t="shared" si="4" ref="D63:L63">D3+D4+D5+D12+D13+D16+D22+D23+D24+D34+D39+D53+D57+D58+D61+D62+D17</f>
        <v>1576398665</v>
      </c>
      <c r="E63" s="334">
        <f t="shared" si="4"/>
        <v>1548083297.014106</v>
      </c>
      <c r="F63" s="334">
        <f t="shared" si="4"/>
        <v>1640277915.288</v>
      </c>
      <c r="G63" s="334">
        <f t="shared" si="4"/>
        <v>1621352232.8736348</v>
      </c>
      <c r="H63" s="334">
        <f t="shared" si="4"/>
        <v>1718798849.522636</v>
      </c>
      <c r="I63" s="334">
        <f t="shared" si="4"/>
        <v>1696952583.7543993</v>
      </c>
      <c r="J63" s="334">
        <f t="shared" si="4"/>
        <v>1798766608.2497382</v>
      </c>
      <c r="K63" s="334">
        <f t="shared" si="4"/>
        <v>1772876025.8529377</v>
      </c>
      <c r="L63" s="334">
        <f t="shared" si="4"/>
        <v>1878756407.511611</v>
      </c>
      <c r="M63" s="146"/>
      <c r="N63" s="146"/>
      <c r="O63" s="146"/>
    </row>
    <row r="64" spans="3:8" ht="12.75">
      <c r="C64" s="147"/>
      <c r="D64" s="147"/>
      <c r="E64" s="147"/>
      <c r="F64" s="147"/>
      <c r="G64" s="147"/>
      <c r="H64" s="147"/>
    </row>
    <row r="65" spans="3:8" ht="12.75">
      <c r="C65" s="147"/>
      <c r="D65" s="147"/>
      <c r="E65" s="147"/>
      <c r="F65" s="147"/>
      <c r="G65" s="147"/>
      <c r="H65" s="147"/>
    </row>
    <row r="66" spans="3:8" ht="12.75">
      <c r="C66" s="147"/>
      <c r="D66" s="147"/>
      <c r="E66" s="147"/>
      <c r="F66" s="147"/>
      <c r="G66" s="147"/>
      <c r="H66" s="147"/>
    </row>
    <row r="67" spans="3:18" ht="12.75">
      <c r="C67" s="147">
        <v>4100000</v>
      </c>
      <c r="D67" s="147">
        <v>4300000</v>
      </c>
      <c r="E67" s="147">
        <f>+D67*1.04</f>
        <v>4472000</v>
      </c>
      <c r="F67" s="147">
        <f aca="true" t="shared" si="5" ref="F67:R67">+E67*1.04</f>
        <v>4650880</v>
      </c>
      <c r="G67" s="147">
        <f t="shared" si="5"/>
        <v>4836915.2</v>
      </c>
      <c r="H67" s="147">
        <f t="shared" si="5"/>
        <v>5030391.808</v>
      </c>
      <c r="I67" s="147">
        <f t="shared" si="5"/>
        <v>5231607.48032</v>
      </c>
      <c r="J67" s="147">
        <f t="shared" si="5"/>
        <v>5440871.7795328</v>
      </c>
      <c r="K67" s="147">
        <f t="shared" si="5"/>
        <v>5658506.650714112</v>
      </c>
      <c r="L67" s="147">
        <f t="shared" si="5"/>
        <v>5884846.916742677</v>
      </c>
      <c r="M67" s="147">
        <f t="shared" si="5"/>
        <v>6120240.793412385</v>
      </c>
      <c r="N67" s="147">
        <f t="shared" si="5"/>
        <v>6365050.42514888</v>
      </c>
      <c r="O67" s="147">
        <f t="shared" si="5"/>
        <v>6619652.442154836</v>
      </c>
      <c r="P67" s="147">
        <f t="shared" si="5"/>
        <v>6884438.53984103</v>
      </c>
      <c r="Q67" s="147">
        <f t="shared" si="5"/>
        <v>7159816.081434671</v>
      </c>
      <c r="R67" s="147">
        <f t="shared" si="5"/>
        <v>7446208.724692058</v>
      </c>
    </row>
    <row r="68" spans="3:8" ht="12.75">
      <c r="C68" s="147"/>
      <c r="D68" s="147"/>
      <c r="E68" s="147"/>
      <c r="F68" s="147"/>
      <c r="G68" s="147"/>
      <c r="H68" s="147"/>
    </row>
    <row r="69" spans="3:8" ht="12.75">
      <c r="C69" s="147"/>
      <c r="D69" s="147"/>
      <c r="E69" s="147"/>
      <c r="F69" s="147"/>
      <c r="G69" s="147"/>
      <c r="H69" s="147"/>
    </row>
    <row r="70" spans="3:8" ht="12.75">
      <c r="C70" s="147"/>
      <c r="D70" s="147"/>
      <c r="E70" s="147"/>
      <c r="F70" s="147"/>
      <c r="G70" s="147"/>
      <c r="H70" s="147"/>
    </row>
    <row r="71" spans="3:8" ht="12.75">
      <c r="C71" s="147"/>
      <c r="D71" s="147"/>
      <c r="E71" s="147"/>
      <c r="F71" s="147"/>
      <c r="G71" s="147"/>
      <c r="H71" s="147"/>
    </row>
    <row r="72" spans="3:8" ht="12.75">
      <c r="C72" s="147"/>
      <c r="D72" s="147"/>
      <c r="E72" s="147"/>
      <c r="F72" s="147"/>
      <c r="G72" s="147"/>
      <c r="H72" s="147"/>
    </row>
    <row r="73" spans="3:8" ht="12.75">
      <c r="C73" s="147"/>
      <c r="D73" s="147"/>
      <c r="E73" s="147"/>
      <c r="F73" s="147"/>
      <c r="G73" s="147"/>
      <c r="H73" s="147"/>
    </row>
    <row r="74" spans="3:8" ht="12.75">
      <c r="C74" s="147"/>
      <c r="D74" s="147"/>
      <c r="E74" s="147"/>
      <c r="F74" s="147"/>
      <c r="G74" s="147"/>
      <c r="H74" s="147"/>
    </row>
    <row r="75" spans="3:8" ht="12.75">
      <c r="C75" s="147"/>
      <c r="D75" s="147"/>
      <c r="E75" s="147"/>
      <c r="F75" s="147"/>
      <c r="G75" s="147"/>
      <c r="H75" s="147"/>
    </row>
    <row r="76" spans="3:8" ht="12.75">
      <c r="C76" s="147"/>
      <c r="D76" s="147"/>
      <c r="E76" s="147"/>
      <c r="F76" s="147"/>
      <c r="G76" s="147"/>
      <c r="H76" s="147"/>
    </row>
    <row r="77" spans="3:8" ht="12.75">
      <c r="C77" s="147"/>
      <c r="D77" s="147"/>
      <c r="E77" s="147"/>
      <c r="F77" s="147"/>
      <c r="G77" s="147"/>
      <c r="H77" s="147"/>
    </row>
    <row r="78" spans="3:8" ht="12.75">
      <c r="C78" s="147"/>
      <c r="D78" s="147"/>
      <c r="E78" s="147"/>
      <c r="F78" s="147"/>
      <c r="G78" s="147"/>
      <c r="H78" s="147"/>
    </row>
    <row r="79" spans="3:8" ht="12.75">
      <c r="C79" s="147"/>
      <c r="D79" s="147"/>
      <c r="E79" s="147"/>
      <c r="F79" s="147"/>
      <c r="G79" s="147"/>
      <c r="H79" s="147"/>
    </row>
    <row r="80" spans="3:8" ht="12.75">
      <c r="C80" s="147"/>
      <c r="D80" s="147"/>
      <c r="E80" s="147"/>
      <c r="F80" s="147"/>
      <c r="G80" s="147"/>
      <c r="H80" s="147"/>
    </row>
    <row r="81" spans="3:8" ht="12.75">
      <c r="C81" s="147"/>
      <c r="D81" s="147"/>
      <c r="E81" s="147"/>
      <c r="F81" s="147"/>
      <c r="G81" s="147"/>
      <c r="H81" s="147"/>
    </row>
    <row r="82" spans="3:8" ht="12.75">
      <c r="C82" s="147"/>
      <c r="D82" s="147"/>
      <c r="E82" s="147"/>
      <c r="F82" s="147"/>
      <c r="G82" s="147"/>
      <c r="H82" s="147"/>
    </row>
    <row r="83" spans="3:8" ht="12.75">
      <c r="C83" s="147"/>
      <c r="D83" s="147"/>
      <c r="E83" s="147"/>
      <c r="F83" s="147"/>
      <c r="G83" s="147"/>
      <c r="H83" s="147"/>
    </row>
    <row r="84" spans="3:8" ht="12.75">
      <c r="C84" s="147"/>
      <c r="D84" s="147"/>
      <c r="E84" s="147"/>
      <c r="F84" s="147"/>
      <c r="G84" s="147"/>
      <c r="H84" s="147"/>
    </row>
    <row r="85" spans="3:8" ht="12.75">
      <c r="C85" s="147"/>
      <c r="D85" s="147"/>
      <c r="E85" s="147"/>
      <c r="F85" s="147"/>
      <c r="G85" s="147"/>
      <c r="H85" s="147"/>
    </row>
    <row r="86" spans="3:8" ht="12.75">
      <c r="C86" s="147"/>
      <c r="D86" s="147"/>
      <c r="E86" s="147"/>
      <c r="F86" s="147"/>
      <c r="G86" s="147"/>
      <c r="H86" s="147"/>
    </row>
    <row r="87" spans="3:8" ht="12.75">
      <c r="C87" s="147"/>
      <c r="D87" s="147"/>
      <c r="E87" s="147"/>
      <c r="F87" s="147"/>
      <c r="G87" s="147"/>
      <c r="H87" s="147"/>
    </row>
    <row r="88" spans="3:8" ht="12.75">
      <c r="C88" s="147"/>
      <c r="D88" s="147"/>
      <c r="E88" s="147"/>
      <c r="F88" s="147"/>
      <c r="G88" s="147"/>
      <c r="H88" s="147"/>
    </row>
    <row r="89" spans="3:8" ht="12.75">
      <c r="C89" s="147"/>
      <c r="D89" s="147"/>
      <c r="E89" s="147"/>
      <c r="F89" s="147"/>
      <c r="G89" s="147"/>
      <c r="H89" s="147"/>
    </row>
    <row r="90" spans="3:8" ht="12.75">
      <c r="C90" s="147"/>
      <c r="D90" s="147"/>
      <c r="E90" s="147"/>
      <c r="F90" s="147"/>
      <c r="G90" s="147"/>
      <c r="H90" s="147"/>
    </row>
    <row r="91" spans="3:8" ht="12.75">
      <c r="C91" s="147"/>
      <c r="D91" s="147"/>
      <c r="E91" s="147"/>
      <c r="F91" s="147"/>
      <c r="G91" s="147"/>
      <c r="H91" s="147"/>
    </row>
    <row r="92" spans="3:8" ht="12.75">
      <c r="C92" s="147"/>
      <c r="D92" s="147"/>
      <c r="E92" s="147"/>
      <c r="F92" s="147"/>
      <c r="G92" s="147"/>
      <c r="H92" s="147"/>
    </row>
    <row r="93" spans="3:8" ht="12.75">
      <c r="C93" s="147"/>
      <c r="D93" s="147"/>
      <c r="E93" s="147"/>
      <c r="F93" s="147"/>
      <c r="G93" s="147"/>
      <c r="H93" s="147"/>
    </row>
    <row r="94" spans="3:8" ht="12.75">
      <c r="C94" s="147"/>
      <c r="D94" s="147"/>
      <c r="E94" s="147"/>
      <c r="F94" s="147"/>
      <c r="G94" s="147"/>
      <c r="H94" s="147"/>
    </row>
    <row r="95" spans="3:8" ht="12.75">
      <c r="C95" s="147"/>
      <c r="D95" s="147"/>
      <c r="E95" s="147"/>
      <c r="F95" s="147"/>
      <c r="G95" s="147"/>
      <c r="H95" s="147"/>
    </row>
    <row r="96" spans="3:8" ht="12.75">
      <c r="C96" s="147"/>
      <c r="D96" s="147"/>
      <c r="E96" s="147"/>
      <c r="F96" s="147"/>
      <c r="G96" s="147"/>
      <c r="H96" s="147"/>
    </row>
    <row r="97" spans="3:8" ht="12.75">
      <c r="C97" s="147"/>
      <c r="D97" s="147"/>
      <c r="E97" s="147"/>
      <c r="F97" s="147"/>
      <c r="G97" s="147"/>
      <c r="H97" s="147"/>
    </row>
    <row r="98" spans="3:8" ht="12.75">
      <c r="C98" s="147"/>
      <c r="D98" s="147"/>
      <c r="E98" s="147"/>
      <c r="F98" s="147"/>
      <c r="G98" s="147"/>
      <c r="H98" s="147"/>
    </row>
    <row r="99" spans="3:8" ht="12.75">
      <c r="C99" s="147"/>
      <c r="D99" s="147"/>
      <c r="E99" s="147"/>
      <c r="F99" s="147"/>
      <c r="G99" s="147"/>
      <c r="H99" s="147"/>
    </row>
    <row r="100" spans="3:8" ht="12.75">
      <c r="C100" s="147"/>
      <c r="D100" s="147"/>
      <c r="E100" s="147"/>
      <c r="F100" s="147"/>
      <c r="G100" s="147"/>
      <c r="H100" s="147"/>
    </row>
    <row r="101" spans="3:8" ht="12.75">
      <c r="C101" s="147"/>
      <c r="D101" s="147"/>
      <c r="E101" s="147"/>
      <c r="F101" s="147"/>
      <c r="G101" s="147"/>
      <c r="H101" s="147"/>
    </row>
    <row r="102" spans="3:8" ht="12.75">
      <c r="C102" s="147"/>
      <c r="D102" s="147"/>
      <c r="E102" s="147"/>
      <c r="F102" s="147"/>
      <c r="G102" s="147"/>
      <c r="H102" s="147"/>
    </row>
    <row r="103" spans="3:8" ht="12.75">
      <c r="C103" s="147"/>
      <c r="D103" s="147"/>
      <c r="E103" s="147"/>
      <c r="F103" s="147"/>
      <c r="G103" s="147"/>
      <c r="H103" s="147"/>
    </row>
    <row r="104" spans="3:8" ht="12.75">
      <c r="C104" s="147"/>
      <c r="D104" s="147"/>
      <c r="E104" s="147"/>
      <c r="F104" s="147"/>
      <c r="G104" s="147"/>
      <c r="H104" s="147"/>
    </row>
    <row r="105" spans="3:8" ht="12.75">
      <c r="C105" s="147"/>
      <c r="D105" s="147"/>
      <c r="E105" s="147"/>
      <c r="F105" s="147"/>
      <c r="G105" s="147"/>
      <c r="H105" s="147"/>
    </row>
    <row r="106" spans="3:8" ht="12.75">
      <c r="C106" s="147"/>
      <c r="D106" s="147"/>
      <c r="E106" s="147"/>
      <c r="F106" s="147"/>
      <c r="G106" s="147"/>
      <c r="H106" s="147"/>
    </row>
    <row r="107" spans="3:8" ht="12.75">
      <c r="C107" s="147"/>
      <c r="D107" s="147"/>
      <c r="E107" s="147"/>
      <c r="F107" s="147"/>
      <c r="G107" s="147"/>
      <c r="H107" s="147"/>
    </row>
    <row r="108" spans="3:8" ht="12.75">
      <c r="C108" s="147"/>
      <c r="D108" s="147"/>
      <c r="E108" s="147"/>
      <c r="F108" s="147"/>
      <c r="G108" s="147"/>
      <c r="H108" s="147"/>
    </row>
    <row r="109" spans="3:8" ht="12.75">
      <c r="C109" s="147"/>
      <c r="D109" s="147"/>
      <c r="E109" s="147"/>
      <c r="F109" s="147"/>
      <c r="G109" s="147"/>
      <c r="H109" s="147"/>
    </row>
    <row r="110" spans="3:8" ht="12.75">
      <c r="C110" s="147"/>
      <c r="D110" s="147"/>
      <c r="E110" s="147"/>
      <c r="F110" s="147"/>
      <c r="G110" s="147"/>
      <c r="H110" s="147"/>
    </row>
    <row r="111" spans="3:8" ht="12.75">
      <c r="C111" s="147"/>
      <c r="D111" s="147"/>
      <c r="E111" s="147"/>
      <c r="F111" s="147"/>
      <c r="G111" s="147"/>
      <c r="H111" s="147"/>
    </row>
    <row r="112" spans="3:8" ht="12.75">
      <c r="C112" s="147"/>
      <c r="D112" s="147"/>
      <c r="E112" s="147"/>
      <c r="F112" s="147"/>
      <c r="G112" s="147"/>
      <c r="H112" s="147"/>
    </row>
    <row r="113" spans="3:8" ht="12.75">
      <c r="C113" s="147"/>
      <c r="D113" s="147"/>
      <c r="E113" s="147"/>
      <c r="F113" s="147"/>
      <c r="G113" s="147"/>
      <c r="H113" s="147"/>
    </row>
    <row r="114" spans="3:8" ht="12.75">
      <c r="C114" s="147"/>
      <c r="D114" s="147"/>
      <c r="E114" s="147"/>
      <c r="F114" s="147"/>
      <c r="G114" s="147"/>
      <c r="H114" s="147"/>
    </row>
    <row r="115" spans="3:8" ht="12.75">
      <c r="C115" s="147"/>
      <c r="D115" s="147"/>
      <c r="E115" s="147"/>
      <c r="F115" s="147"/>
      <c r="G115" s="147"/>
      <c r="H115" s="147"/>
    </row>
    <row r="116" spans="3:8" ht="12.75">
      <c r="C116" s="147"/>
      <c r="D116" s="147"/>
      <c r="E116" s="147"/>
      <c r="F116" s="147"/>
      <c r="G116" s="147"/>
      <c r="H116" s="147"/>
    </row>
    <row r="117" spans="3:8" ht="12.75">
      <c r="C117" s="147"/>
      <c r="D117" s="147"/>
      <c r="E117" s="147"/>
      <c r="F117" s="147"/>
      <c r="G117" s="147"/>
      <c r="H117" s="147"/>
    </row>
    <row r="118" spans="3:8" ht="12.75">
      <c r="C118" s="147"/>
      <c r="D118" s="147"/>
      <c r="E118" s="147"/>
      <c r="F118" s="147"/>
      <c r="G118" s="147"/>
      <c r="H118" s="147"/>
    </row>
    <row r="119" spans="3:8" ht="12.75">
      <c r="C119" s="147"/>
      <c r="D119" s="147"/>
      <c r="E119" s="147"/>
      <c r="F119" s="147"/>
      <c r="G119" s="147"/>
      <c r="H119" s="147"/>
    </row>
    <row r="120" spans="3:8" ht="12.75">
      <c r="C120" s="147"/>
      <c r="D120" s="147"/>
      <c r="E120" s="147"/>
      <c r="F120" s="147"/>
      <c r="G120" s="147"/>
      <c r="H120" s="147"/>
    </row>
    <row r="121" spans="3:8" ht="12.75">
      <c r="C121" s="147"/>
      <c r="D121" s="147"/>
      <c r="E121" s="147"/>
      <c r="F121" s="147"/>
      <c r="G121" s="147"/>
      <c r="H121" s="147"/>
    </row>
    <row r="122" spans="3:8" ht="12.75">
      <c r="C122" s="147"/>
      <c r="D122" s="147"/>
      <c r="E122" s="147"/>
      <c r="F122" s="147"/>
      <c r="G122" s="147"/>
      <c r="H122" s="147"/>
    </row>
    <row r="123" spans="3:8" ht="12.75">
      <c r="C123" s="147"/>
      <c r="D123" s="147"/>
      <c r="E123" s="147"/>
      <c r="F123" s="147"/>
      <c r="G123" s="147"/>
      <c r="H123" s="147"/>
    </row>
    <row r="124" spans="3:8" ht="12.75">
      <c r="C124" s="147"/>
      <c r="D124" s="147"/>
      <c r="E124" s="147"/>
      <c r="F124" s="147"/>
      <c r="G124" s="147"/>
      <c r="H124" s="147"/>
    </row>
    <row r="125" spans="3:8" ht="12.75">
      <c r="C125" s="147"/>
      <c r="D125" s="147"/>
      <c r="E125" s="147"/>
      <c r="F125" s="147"/>
      <c r="G125" s="147"/>
      <c r="H125" s="147"/>
    </row>
    <row r="126" spans="3:8" ht="12.75">
      <c r="C126" s="147"/>
      <c r="D126" s="147"/>
      <c r="E126" s="147"/>
      <c r="F126" s="147"/>
      <c r="G126" s="147"/>
      <c r="H126" s="147"/>
    </row>
    <row r="127" spans="3:8" ht="12.75">
      <c r="C127" s="147"/>
      <c r="D127" s="147"/>
      <c r="E127" s="147"/>
      <c r="F127" s="147"/>
      <c r="G127" s="147"/>
      <c r="H127" s="147"/>
    </row>
    <row r="128" spans="3:8" ht="12.75">
      <c r="C128" s="147"/>
      <c r="D128" s="147"/>
      <c r="E128" s="147"/>
      <c r="F128" s="147"/>
      <c r="G128" s="147"/>
      <c r="H128" s="147"/>
    </row>
    <row r="129" spans="3:8" ht="12.75">
      <c r="C129" s="147"/>
      <c r="D129" s="147"/>
      <c r="E129" s="147"/>
      <c r="F129" s="147"/>
      <c r="G129" s="147"/>
      <c r="H129" s="147"/>
    </row>
    <row r="130" spans="3:8" ht="12.75">
      <c r="C130" s="147"/>
      <c r="D130" s="147"/>
      <c r="E130" s="147"/>
      <c r="F130" s="147"/>
      <c r="G130" s="147"/>
      <c r="H130" s="147"/>
    </row>
    <row r="131" spans="3:8" ht="12.75">
      <c r="C131" s="147"/>
      <c r="D131" s="147"/>
      <c r="E131" s="147"/>
      <c r="F131" s="147"/>
      <c r="G131" s="147"/>
      <c r="H131" s="147"/>
    </row>
    <row r="132" spans="3:8" ht="12.75">
      <c r="C132" s="147"/>
      <c r="D132" s="147"/>
      <c r="E132" s="147"/>
      <c r="F132" s="147"/>
      <c r="G132" s="147"/>
      <c r="H132" s="147"/>
    </row>
    <row r="133" spans="3:8" ht="12.75">
      <c r="C133" s="147"/>
      <c r="D133" s="147"/>
      <c r="E133" s="147"/>
      <c r="F133" s="147"/>
      <c r="G133" s="147"/>
      <c r="H133" s="147"/>
    </row>
    <row r="134" spans="3:8" ht="12.75">
      <c r="C134" s="147"/>
      <c r="D134" s="147"/>
      <c r="E134" s="147"/>
      <c r="F134" s="147"/>
      <c r="G134" s="147"/>
      <c r="H134" s="147"/>
    </row>
    <row r="135" spans="3:8" ht="12.75">
      <c r="C135" s="147"/>
      <c r="D135" s="147"/>
      <c r="E135" s="147"/>
      <c r="F135" s="147"/>
      <c r="G135" s="147"/>
      <c r="H135" s="147"/>
    </row>
    <row r="136" spans="3:8" ht="12.75">
      <c r="C136" s="147"/>
      <c r="D136" s="147"/>
      <c r="E136" s="147"/>
      <c r="F136" s="147"/>
      <c r="G136" s="147"/>
      <c r="H136" s="147"/>
    </row>
    <row r="137" spans="3:8" ht="12.75">
      <c r="C137" s="147"/>
      <c r="D137" s="147"/>
      <c r="E137" s="147"/>
      <c r="F137" s="147"/>
      <c r="G137" s="147"/>
      <c r="H137" s="147"/>
    </row>
    <row r="138" spans="3:8" ht="12.75">
      <c r="C138" s="147"/>
      <c r="D138" s="147"/>
      <c r="E138" s="147"/>
      <c r="F138" s="147"/>
      <c r="G138" s="147"/>
      <c r="H138" s="147"/>
    </row>
    <row r="139" spans="3:8" ht="12.75">
      <c r="C139" s="147"/>
      <c r="D139" s="147"/>
      <c r="E139" s="147"/>
      <c r="F139" s="147"/>
      <c r="G139" s="147"/>
      <c r="H139" s="147"/>
    </row>
    <row r="140" spans="3:8" ht="12.75">
      <c r="C140" s="147"/>
      <c r="D140" s="147"/>
      <c r="E140" s="147"/>
      <c r="F140" s="147"/>
      <c r="G140" s="147"/>
      <c r="H140" s="147"/>
    </row>
    <row r="141" spans="3:8" ht="12.75">
      <c r="C141" s="147"/>
      <c r="D141" s="147"/>
      <c r="E141" s="147"/>
      <c r="F141" s="147"/>
      <c r="G141" s="147"/>
      <c r="H141" s="147"/>
    </row>
    <row r="142" spans="3:8" ht="12.75">
      <c r="C142" s="147"/>
      <c r="D142" s="147"/>
      <c r="E142" s="147"/>
      <c r="F142" s="147"/>
      <c r="G142" s="147"/>
      <c r="H142" s="147"/>
    </row>
    <row r="143" spans="3:8" ht="12.75">
      <c r="C143" s="147"/>
      <c r="D143" s="147"/>
      <c r="E143" s="147"/>
      <c r="F143" s="147"/>
      <c r="G143" s="147"/>
      <c r="H143" s="147"/>
    </row>
    <row r="144" spans="3:8" ht="12.75">
      <c r="C144" s="147"/>
      <c r="D144" s="147"/>
      <c r="E144" s="147"/>
      <c r="F144" s="147"/>
      <c r="G144" s="147"/>
      <c r="H144" s="147"/>
    </row>
    <row r="145" spans="3:8" ht="12.75">
      <c r="C145" s="147"/>
      <c r="D145" s="147"/>
      <c r="E145" s="147"/>
      <c r="F145" s="147"/>
      <c r="G145" s="147"/>
      <c r="H145" s="147"/>
    </row>
    <row r="146" spans="3:8" ht="12.75">
      <c r="C146" s="147"/>
      <c r="D146" s="147"/>
      <c r="E146" s="147"/>
      <c r="F146" s="147"/>
      <c r="G146" s="147"/>
      <c r="H146" s="147"/>
    </row>
    <row r="147" spans="3:8" ht="12.75">
      <c r="C147" s="147"/>
      <c r="D147" s="147"/>
      <c r="E147" s="147"/>
      <c r="F147" s="147"/>
      <c r="G147" s="147"/>
      <c r="H147" s="147"/>
    </row>
    <row r="148" spans="3:8" ht="12.75">
      <c r="C148" s="147"/>
      <c r="D148" s="147"/>
      <c r="E148" s="147"/>
      <c r="F148" s="147"/>
      <c r="G148" s="147"/>
      <c r="H148" s="147"/>
    </row>
    <row r="149" spans="3:8" ht="12.75">
      <c r="C149" s="147"/>
      <c r="D149" s="147"/>
      <c r="E149" s="147"/>
      <c r="F149" s="147"/>
      <c r="G149" s="147"/>
      <c r="H149" s="147"/>
    </row>
    <row r="150" spans="3:8" ht="12.75">
      <c r="C150" s="147"/>
      <c r="D150" s="147"/>
      <c r="E150" s="147"/>
      <c r="F150" s="147"/>
      <c r="G150" s="147"/>
      <c r="H150" s="147"/>
    </row>
    <row r="151" spans="3:8" ht="12.75">
      <c r="C151" s="147"/>
      <c r="D151" s="147"/>
      <c r="E151" s="147"/>
      <c r="F151" s="147"/>
      <c r="G151" s="147"/>
      <c r="H151" s="147"/>
    </row>
    <row r="152" spans="3:8" ht="12.75">
      <c r="C152" s="147"/>
      <c r="D152" s="147"/>
      <c r="E152" s="147"/>
      <c r="F152" s="147"/>
      <c r="G152" s="147"/>
      <c r="H152" s="147"/>
    </row>
    <row r="153" spans="3:8" ht="12.75">
      <c r="C153" s="147"/>
      <c r="D153" s="147"/>
      <c r="E153" s="147"/>
      <c r="F153" s="147"/>
      <c r="G153" s="147"/>
      <c r="H153" s="147"/>
    </row>
    <row r="154" spans="3:8" ht="12.75">
      <c r="C154" s="147"/>
      <c r="D154" s="147"/>
      <c r="E154" s="147"/>
      <c r="F154" s="147"/>
      <c r="G154" s="147"/>
      <c r="H154" s="147"/>
    </row>
    <row r="155" spans="3:8" ht="12.75">
      <c r="C155" s="147"/>
      <c r="D155" s="147"/>
      <c r="E155" s="147"/>
      <c r="F155" s="147"/>
      <c r="G155" s="147"/>
      <c r="H155" s="147"/>
    </row>
    <row r="156" spans="3:8" ht="12.75">
      <c r="C156" s="147"/>
      <c r="D156" s="147"/>
      <c r="E156" s="147"/>
      <c r="F156" s="147"/>
      <c r="G156" s="147"/>
      <c r="H156" s="147"/>
    </row>
    <row r="157" spans="3:8" ht="12.75">
      <c r="C157" s="147"/>
      <c r="D157" s="147"/>
      <c r="E157" s="147"/>
      <c r="F157" s="147"/>
      <c r="G157" s="147"/>
      <c r="H157" s="147"/>
    </row>
    <row r="158" spans="3:8" ht="12.75">
      <c r="C158" s="147"/>
      <c r="D158" s="147"/>
      <c r="E158" s="147"/>
      <c r="F158" s="147"/>
      <c r="G158" s="147"/>
      <c r="H158" s="147"/>
    </row>
    <row r="159" spans="3:8" ht="12.75">
      <c r="C159" s="147"/>
      <c r="D159" s="147"/>
      <c r="E159" s="147"/>
      <c r="F159" s="147"/>
      <c r="G159" s="147"/>
      <c r="H159" s="147"/>
    </row>
    <row r="160" spans="3:8" ht="12.75">
      <c r="C160" s="147"/>
      <c r="D160" s="147"/>
      <c r="E160" s="147"/>
      <c r="F160" s="147"/>
      <c r="G160" s="147"/>
      <c r="H160" s="147"/>
    </row>
    <row r="161" spans="3:8" ht="12.75">
      <c r="C161" s="147"/>
      <c r="D161" s="147"/>
      <c r="E161" s="147"/>
      <c r="F161" s="147"/>
      <c r="G161" s="147"/>
      <c r="H161" s="147"/>
    </row>
    <row r="162" spans="3:8" ht="12.75">
      <c r="C162" s="147"/>
      <c r="D162" s="147"/>
      <c r="E162" s="147"/>
      <c r="F162" s="147"/>
      <c r="G162" s="147"/>
      <c r="H162" s="147"/>
    </row>
    <row r="163" spans="3:8" ht="12.75">
      <c r="C163" s="147"/>
      <c r="D163" s="147"/>
      <c r="E163" s="147"/>
      <c r="F163" s="147"/>
      <c r="G163" s="147"/>
      <c r="H163" s="147"/>
    </row>
    <row r="164" spans="3:8" ht="12.75">
      <c r="C164" s="147"/>
      <c r="D164" s="147"/>
      <c r="E164" s="147"/>
      <c r="F164" s="147"/>
      <c r="G164" s="147"/>
      <c r="H164" s="147"/>
    </row>
    <row r="165" spans="3:8" ht="12.75">
      <c r="C165" s="147"/>
      <c r="D165" s="147"/>
      <c r="E165" s="147"/>
      <c r="F165" s="147"/>
      <c r="G165" s="147"/>
      <c r="H165" s="147"/>
    </row>
    <row r="166" spans="3:8" ht="12.75">
      <c r="C166" s="147"/>
      <c r="D166" s="147"/>
      <c r="E166" s="147"/>
      <c r="F166" s="147"/>
      <c r="G166" s="147"/>
      <c r="H166" s="147"/>
    </row>
    <row r="167" spans="3:8" ht="12.75">
      <c r="C167" s="147"/>
      <c r="D167" s="147"/>
      <c r="E167" s="147"/>
      <c r="F167" s="147"/>
      <c r="G167" s="147"/>
      <c r="H167" s="147"/>
    </row>
    <row r="168" spans="3:8" ht="12.75">
      <c r="C168" s="147"/>
      <c r="D168" s="147"/>
      <c r="E168" s="147"/>
      <c r="F168" s="147"/>
      <c r="G168" s="147"/>
      <c r="H168" s="147"/>
    </row>
    <row r="169" spans="3:8" ht="12.75">
      <c r="C169" s="147"/>
      <c r="D169" s="147"/>
      <c r="E169" s="147"/>
      <c r="F169" s="147"/>
      <c r="G169" s="147"/>
      <c r="H169" s="147"/>
    </row>
    <row r="170" spans="3:8" ht="12.75">
      <c r="C170" s="147"/>
      <c r="D170" s="147"/>
      <c r="E170" s="147"/>
      <c r="F170" s="147"/>
      <c r="G170" s="147"/>
      <c r="H170" s="147"/>
    </row>
    <row r="171" spans="3:8" ht="12.75">
      <c r="C171" s="147"/>
      <c r="D171" s="147"/>
      <c r="E171" s="147"/>
      <c r="F171" s="147"/>
      <c r="G171" s="147"/>
      <c r="H171" s="147"/>
    </row>
    <row r="172" spans="3:8" ht="12.75">
      <c r="C172" s="147"/>
      <c r="D172" s="147"/>
      <c r="E172" s="147"/>
      <c r="F172" s="147"/>
      <c r="G172" s="147"/>
      <c r="H172" s="147"/>
    </row>
    <row r="173" spans="3:8" ht="12.75">
      <c r="C173" s="147"/>
      <c r="D173" s="147"/>
      <c r="E173" s="147"/>
      <c r="F173" s="147"/>
      <c r="G173" s="147"/>
      <c r="H173" s="147"/>
    </row>
    <row r="174" spans="3:8" ht="12.75">
      <c r="C174" s="147"/>
      <c r="D174" s="147"/>
      <c r="E174" s="147"/>
      <c r="F174" s="147"/>
      <c r="G174" s="147"/>
      <c r="H174" s="147"/>
    </row>
    <row r="175" spans="3:8" ht="12.75">
      <c r="C175" s="147"/>
      <c r="D175" s="147"/>
      <c r="E175" s="147"/>
      <c r="F175" s="147"/>
      <c r="G175" s="147"/>
      <c r="H175" s="147"/>
    </row>
    <row r="176" spans="3:8" ht="12.75">
      <c r="C176" s="147"/>
      <c r="D176" s="147"/>
      <c r="E176" s="147"/>
      <c r="F176" s="147"/>
      <c r="G176" s="147"/>
      <c r="H176" s="147"/>
    </row>
    <row r="177" spans="3:8" ht="12.75">
      <c r="C177" s="147"/>
      <c r="D177" s="147"/>
      <c r="E177" s="147"/>
      <c r="F177" s="147"/>
      <c r="G177" s="147"/>
      <c r="H177" s="147"/>
    </row>
    <row r="178" spans="3:8" ht="12.75">
      <c r="C178" s="147"/>
      <c r="D178" s="147"/>
      <c r="E178" s="147"/>
      <c r="F178" s="147"/>
      <c r="G178" s="147"/>
      <c r="H178" s="147"/>
    </row>
    <row r="179" spans="3:8" ht="12.75">
      <c r="C179" s="147"/>
      <c r="D179" s="147"/>
      <c r="E179" s="147"/>
      <c r="F179" s="147"/>
      <c r="G179" s="147"/>
      <c r="H179" s="147"/>
    </row>
    <row r="180" spans="3:8" ht="12.75">
      <c r="C180" s="147"/>
      <c r="D180" s="147"/>
      <c r="E180" s="147"/>
      <c r="F180" s="147"/>
      <c r="G180" s="147"/>
      <c r="H180" s="147"/>
    </row>
    <row r="181" spans="3:8" ht="12.75">
      <c r="C181" s="147"/>
      <c r="D181" s="147"/>
      <c r="E181" s="147"/>
      <c r="F181" s="147"/>
      <c r="G181" s="147"/>
      <c r="H181" s="147"/>
    </row>
    <row r="182" spans="3:8" ht="12.75">
      <c r="C182" s="147"/>
      <c r="D182" s="147"/>
      <c r="E182" s="147"/>
      <c r="F182" s="147"/>
      <c r="G182" s="147"/>
      <c r="H182" s="147"/>
    </row>
    <row r="183" spans="3:8" ht="12.75">
      <c r="C183" s="147"/>
      <c r="D183" s="147"/>
      <c r="E183" s="147"/>
      <c r="F183" s="147"/>
      <c r="G183" s="147"/>
      <c r="H183" s="147"/>
    </row>
    <row r="184" spans="3:8" ht="12.75">
      <c r="C184" s="147"/>
      <c r="D184" s="147"/>
      <c r="E184" s="147"/>
      <c r="F184" s="147"/>
      <c r="G184" s="147"/>
      <c r="H184" s="147"/>
    </row>
    <row r="185" spans="3:8" ht="12.75">
      <c r="C185" s="147"/>
      <c r="D185" s="147"/>
      <c r="E185" s="147"/>
      <c r="F185" s="147"/>
      <c r="G185" s="147"/>
      <c r="H185" s="147"/>
    </row>
    <row r="186" spans="3:8" ht="12.75">
      <c r="C186" s="147"/>
      <c r="D186" s="147"/>
      <c r="E186" s="147"/>
      <c r="F186" s="147"/>
      <c r="G186" s="147"/>
      <c r="H186" s="147"/>
    </row>
    <row r="187" spans="3:8" ht="12.75">
      <c r="C187" s="147"/>
      <c r="D187" s="147"/>
      <c r="E187" s="147"/>
      <c r="F187" s="147"/>
      <c r="G187" s="147"/>
      <c r="H187" s="147"/>
    </row>
    <row r="188" spans="3:8" ht="12.75">
      <c r="C188" s="147"/>
      <c r="D188" s="147"/>
      <c r="E188" s="147"/>
      <c r="F188" s="147"/>
      <c r="G188" s="147"/>
      <c r="H188" s="147"/>
    </row>
    <row r="189" spans="3:8" ht="12.75">
      <c r="C189" s="147"/>
      <c r="D189" s="147"/>
      <c r="E189" s="147"/>
      <c r="F189" s="147"/>
      <c r="G189" s="147"/>
      <c r="H189" s="147"/>
    </row>
    <row r="190" spans="3:8" ht="12.75">
      <c r="C190" s="147"/>
      <c r="D190" s="147"/>
      <c r="E190" s="147"/>
      <c r="F190" s="147"/>
      <c r="G190" s="147"/>
      <c r="H190" s="147"/>
    </row>
    <row r="191" spans="3:8" ht="12.75">
      <c r="C191" s="147"/>
      <c r="D191" s="147"/>
      <c r="E191" s="147"/>
      <c r="F191" s="147"/>
      <c r="G191" s="147"/>
      <c r="H191" s="147"/>
    </row>
    <row r="192" spans="3:8" ht="12.75">
      <c r="C192" s="147"/>
      <c r="D192" s="147"/>
      <c r="E192" s="147"/>
      <c r="F192" s="147"/>
      <c r="G192" s="147"/>
      <c r="H192" s="147"/>
    </row>
    <row r="193" spans="3:8" ht="12.75">
      <c r="C193" s="147"/>
      <c r="D193" s="147"/>
      <c r="E193" s="147"/>
      <c r="F193" s="147"/>
      <c r="G193" s="147"/>
      <c r="H193" s="147"/>
    </row>
    <row r="194" spans="3:8" ht="12.75">
      <c r="C194" s="147"/>
      <c r="D194" s="147"/>
      <c r="E194" s="147"/>
      <c r="F194" s="147"/>
      <c r="G194" s="147"/>
      <c r="H194" s="147"/>
    </row>
    <row r="195" spans="3:8" ht="12.75">
      <c r="C195" s="147"/>
      <c r="D195" s="147"/>
      <c r="E195" s="147"/>
      <c r="F195" s="147"/>
      <c r="G195" s="147"/>
      <c r="H195" s="147"/>
    </row>
    <row r="196" spans="3:8" ht="12.75">
      <c r="C196" s="147"/>
      <c r="D196" s="147"/>
      <c r="E196" s="147"/>
      <c r="F196" s="147"/>
      <c r="G196" s="147"/>
      <c r="H196" s="147"/>
    </row>
    <row r="197" spans="3:8" ht="12.75">
      <c r="C197" s="147"/>
      <c r="D197" s="147"/>
      <c r="E197" s="147"/>
      <c r="F197" s="147"/>
      <c r="G197" s="147"/>
      <c r="H197" s="147"/>
    </row>
    <row r="198" spans="3:8" ht="12.75">
      <c r="C198" s="147"/>
      <c r="D198" s="147"/>
      <c r="E198" s="147"/>
      <c r="F198" s="147"/>
      <c r="G198" s="147"/>
      <c r="H198" s="147"/>
    </row>
    <row r="199" spans="3:8" ht="12.75">
      <c r="C199" s="147"/>
      <c r="D199" s="147"/>
      <c r="E199" s="147"/>
      <c r="F199" s="147"/>
      <c r="G199" s="147"/>
      <c r="H199" s="147"/>
    </row>
    <row r="200" spans="3:8" ht="12.75">
      <c r="C200" s="147"/>
      <c r="D200" s="147"/>
      <c r="E200" s="147"/>
      <c r="F200" s="147"/>
      <c r="G200" s="147"/>
      <c r="H200" s="147"/>
    </row>
    <row r="201" spans="3:8" ht="12.75">
      <c r="C201" s="147"/>
      <c r="D201" s="147"/>
      <c r="E201" s="147"/>
      <c r="F201" s="147"/>
      <c r="G201" s="147"/>
      <c r="H201" s="147"/>
    </row>
    <row r="202" spans="3:8" ht="12.75">
      <c r="C202" s="147"/>
      <c r="D202" s="147"/>
      <c r="E202" s="147"/>
      <c r="F202" s="147"/>
      <c r="G202" s="147"/>
      <c r="H202" s="147"/>
    </row>
  </sheetData>
  <printOptions/>
  <pageMargins left="0.25" right="0.25" top="0.75" bottom="0.75" header="0.3" footer="0.3"/>
  <pageSetup fitToHeight="1" fitToWidth="1" horizontalDpi="600" verticalDpi="600" orientation="portrait" scale="4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AH39"/>
  <sheetViews>
    <sheetView workbookViewId="0" topLeftCell="B1">
      <selection activeCell="K15" sqref="K15"/>
    </sheetView>
  </sheetViews>
  <sheetFormatPr defaultColWidth="9.140625" defaultRowHeight="12.75"/>
  <cols>
    <col min="1" max="1" width="4.7109375" style="0" customWidth="1"/>
    <col min="2" max="2" width="41.57421875" style="0" bestFit="1" customWidth="1"/>
    <col min="3" max="3" width="9.421875" style="0" customWidth="1"/>
    <col min="4" max="4" width="12.8515625" style="0" customWidth="1"/>
    <col min="5" max="5" width="18.00390625" style="0" bestFit="1" customWidth="1"/>
    <col min="6" max="34" width="10.28125" style="0" bestFit="1" customWidth="1"/>
  </cols>
  <sheetData>
    <row r="1" spans="2:4" ht="12.75">
      <c r="B1" s="94" t="s">
        <v>600</v>
      </c>
      <c r="C1" s="94"/>
      <c r="D1" s="94"/>
    </row>
    <row r="2" spans="2:4" ht="12.75">
      <c r="B2" s="92" t="s">
        <v>437</v>
      </c>
      <c r="C2" s="92"/>
      <c r="D2" s="92"/>
    </row>
    <row r="4" spans="3:26" s="22" customFormat="1" ht="12.75">
      <c r="C4" s="22">
        <v>2018</v>
      </c>
      <c r="D4" s="22">
        <v>2019</v>
      </c>
      <c r="E4" s="22">
        <v>2020</v>
      </c>
      <c r="F4" s="22">
        <v>2021</v>
      </c>
      <c r="G4" s="22">
        <v>2022</v>
      </c>
      <c r="H4" s="22">
        <v>2023</v>
      </c>
      <c r="I4" s="22">
        <v>2024</v>
      </c>
      <c r="J4" s="22">
        <v>2025</v>
      </c>
      <c r="K4" s="22">
        <v>2026</v>
      </c>
      <c r="L4" s="22">
        <v>2027</v>
      </c>
      <c r="M4" s="22">
        <v>2028</v>
      </c>
      <c r="N4" s="22">
        <v>2029</v>
      </c>
      <c r="O4" s="22">
        <v>2030</v>
      </c>
      <c r="P4" s="22">
        <v>2031</v>
      </c>
      <c r="Q4" s="22">
        <v>2032</v>
      </c>
      <c r="R4" s="22">
        <v>2033</v>
      </c>
      <c r="S4" s="22">
        <v>2034</v>
      </c>
      <c r="T4" s="22">
        <v>2035</v>
      </c>
      <c r="U4" s="22">
        <v>2036</v>
      </c>
      <c r="V4" s="22">
        <v>2037</v>
      </c>
      <c r="W4" s="22">
        <v>2038</v>
      </c>
      <c r="X4" s="22">
        <v>2039</v>
      </c>
      <c r="Y4" s="22">
        <v>2040</v>
      </c>
      <c r="Z4" s="22">
        <v>2041</v>
      </c>
    </row>
    <row r="5" spans="1:26" ht="12.75">
      <c r="A5">
        <v>1</v>
      </c>
      <c r="B5" t="s">
        <v>601</v>
      </c>
      <c r="C5" s="46">
        <v>14994.898085870002</v>
      </c>
      <c r="D5" s="46">
        <v>11437.09161172</v>
      </c>
      <c r="E5" s="46">
        <v>10418.3877677</v>
      </c>
      <c r="F5" s="46">
        <v>9244.9326017</v>
      </c>
      <c r="G5" s="46">
        <v>9118.2709048</v>
      </c>
      <c r="H5" s="46">
        <v>7756.677215200001</v>
      </c>
      <c r="I5" s="46">
        <v>7482.08656935</v>
      </c>
      <c r="J5" s="46">
        <v>6386.568</v>
      </c>
      <c r="K5" s="46">
        <v>6347.097319999998</v>
      </c>
      <c r="L5" s="46">
        <v>5896.915</v>
      </c>
      <c r="M5" s="46">
        <v>5624.338000000001</v>
      </c>
      <c r="N5" s="46">
        <v>5359.235000000001</v>
      </c>
      <c r="O5" s="46">
        <v>5153.4400000000005</v>
      </c>
      <c r="P5" s="46">
        <v>5004.782</v>
      </c>
      <c r="Q5" s="46">
        <v>4919.2119999999995</v>
      </c>
      <c r="R5" s="46">
        <v>4892.2119999999995</v>
      </c>
      <c r="S5" s="46">
        <v>4892.2119999999995</v>
      </c>
      <c r="T5" s="46">
        <v>4892.2119999999995</v>
      </c>
      <c r="U5" s="46">
        <v>4892.2119999999995</v>
      </c>
      <c r="V5" s="46">
        <v>4892.2119999999995</v>
      </c>
      <c r="W5" s="46">
        <v>4892.2119999999995</v>
      </c>
      <c r="X5" s="46">
        <v>4892.2119999999995</v>
      </c>
      <c r="Y5" s="46">
        <v>4892.2119999999995</v>
      </c>
      <c r="Z5" s="46">
        <v>4892.2119999999995</v>
      </c>
    </row>
    <row r="6" spans="1:26" ht="12.75">
      <c r="A6">
        <v>2</v>
      </c>
      <c r="B6" t="s">
        <v>602</v>
      </c>
      <c r="C6" s="46">
        <v>94450</v>
      </c>
      <c r="D6" s="46">
        <v>97167</v>
      </c>
      <c r="E6" s="46">
        <v>100017</v>
      </c>
      <c r="F6" s="46">
        <v>102628</v>
      </c>
      <c r="G6" s="46">
        <v>105669</v>
      </c>
      <c r="H6" s="46">
        <v>108243</v>
      </c>
      <c r="I6" s="46">
        <v>110607</v>
      </c>
      <c r="J6" s="46">
        <v>113393</v>
      </c>
      <c r="K6" s="46">
        <v>116576</v>
      </c>
      <c r="L6" s="46">
        <v>119237</v>
      </c>
      <c r="M6" s="46">
        <v>121686</v>
      </c>
      <c r="N6" s="46">
        <v>124774</v>
      </c>
      <c r="O6" s="46">
        <v>127604</v>
      </c>
      <c r="P6" s="46">
        <v>130840.89677336621</v>
      </c>
      <c r="Q6" s="46">
        <v>134159.90304738624</v>
      </c>
      <c r="R6" s="46">
        <v>137563.10167195293</v>
      </c>
      <c r="S6" s="46">
        <v>141052.62833205913</v>
      </c>
      <c r="T6" s="46">
        <v>144630.67288805163</v>
      </c>
      <c r="U6" s="46">
        <v>148299.4807498829</v>
      </c>
      <c r="V6" s="46">
        <v>152061.3542862233</v>
      </c>
      <c r="W6" s="46">
        <v>155918.65426931766</v>
      </c>
      <c r="X6" s="46">
        <v>159873.80135649326</v>
      </c>
      <c r="Y6" s="46">
        <v>163929.27760924885</v>
      </c>
      <c r="Z6" s="46">
        <v>168087.6280508779</v>
      </c>
    </row>
    <row r="7" spans="1:26" ht="12.75">
      <c r="A7">
        <v>3</v>
      </c>
      <c r="B7" t="s">
        <v>603</v>
      </c>
      <c r="C7" s="46">
        <v>27240.2</v>
      </c>
      <c r="D7" s="46">
        <v>27785.2</v>
      </c>
      <c r="E7" s="46">
        <v>28532.2</v>
      </c>
      <c r="F7" s="46">
        <v>29177.2</v>
      </c>
      <c r="G7" s="46">
        <v>29941.2</v>
      </c>
      <c r="H7" s="46">
        <v>31074.2</v>
      </c>
      <c r="I7" s="46">
        <v>32491.2</v>
      </c>
      <c r="J7" s="46">
        <v>33984.2</v>
      </c>
      <c r="K7" s="46">
        <v>35488.2</v>
      </c>
      <c r="L7" s="46">
        <v>37027.2</v>
      </c>
      <c r="M7" s="46">
        <v>38782.2</v>
      </c>
      <c r="N7" s="46">
        <v>40763.2</v>
      </c>
      <c r="O7" s="46">
        <v>42611.2</v>
      </c>
      <c r="P7" s="46">
        <v>44232.87884984082</v>
      </c>
      <c r="Q7" s="46">
        <v>45916.27486071022</v>
      </c>
      <c r="R7" s="46">
        <v>47663.736837962475</v>
      </c>
      <c r="S7" s="46">
        <v>49477.70297678284</v>
      </c>
      <c r="T7" s="46">
        <v>51360.70426414755</v>
      </c>
      <c r="U7" s="46">
        <v>53315.36801025414</v>
      </c>
      <c r="V7" s="46">
        <v>55344.42151434952</v>
      </c>
      <c r="W7" s="46">
        <v>57450.69587007045</v>
      </c>
      <c r="X7" s="46">
        <v>59637.12991560614</v>
      </c>
      <c r="Y7" s="46">
        <v>61906.77433419439</v>
      </c>
      <c r="Z7" s="46">
        <v>64262.79591067268</v>
      </c>
    </row>
    <row r="8" spans="1:26" ht="12.75">
      <c r="A8">
        <v>4</v>
      </c>
      <c r="B8" s="22" t="s">
        <v>604</v>
      </c>
      <c r="C8" s="46">
        <v>136685.09808587</v>
      </c>
      <c r="D8" s="46">
        <v>136389.29161172</v>
      </c>
      <c r="E8" s="46">
        <f>SUM(E5:E7)</f>
        <v>138967.5877677</v>
      </c>
      <c r="F8" s="46">
        <f aca="true" t="shared" si="0" ref="F8:Z8">SUM(F5:F7)</f>
        <v>141050.1326017</v>
      </c>
      <c r="G8" s="46">
        <f t="shared" si="0"/>
        <v>144728.4709048</v>
      </c>
      <c r="H8" s="46">
        <f t="shared" si="0"/>
        <v>147073.87721520002</v>
      </c>
      <c r="I8" s="46">
        <f t="shared" si="0"/>
        <v>150580.28656935</v>
      </c>
      <c r="J8" s="46">
        <f t="shared" si="0"/>
        <v>153763.76799999998</v>
      </c>
      <c r="K8" s="46">
        <f t="shared" si="0"/>
        <v>158411.29732</v>
      </c>
      <c r="L8" s="46">
        <f t="shared" si="0"/>
        <v>162161.115</v>
      </c>
      <c r="M8" s="46">
        <f t="shared" si="0"/>
        <v>166092.538</v>
      </c>
      <c r="N8" s="46">
        <f t="shared" si="0"/>
        <v>170896.435</v>
      </c>
      <c r="O8" s="46">
        <f t="shared" si="0"/>
        <v>175368.64</v>
      </c>
      <c r="P8" s="46">
        <f t="shared" si="0"/>
        <v>180078.55762320702</v>
      </c>
      <c r="Q8" s="46">
        <f t="shared" si="0"/>
        <v>184995.38990809646</v>
      </c>
      <c r="R8" s="46">
        <f t="shared" si="0"/>
        <v>190119.0505099154</v>
      </c>
      <c r="S8" s="46">
        <f t="shared" si="0"/>
        <v>195422.54330884197</v>
      </c>
      <c r="T8" s="46">
        <f t="shared" si="0"/>
        <v>200883.5891521992</v>
      </c>
      <c r="U8" s="46">
        <f t="shared" si="0"/>
        <v>206507.06076013704</v>
      </c>
      <c r="V8" s="46">
        <f t="shared" si="0"/>
        <v>212297.98780057282</v>
      </c>
      <c r="W8" s="46">
        <f t="shared" si="0"/>
        <v>218261.56213938812</v>
      </c>
      <c r="X8" s="46">
        <f t="shared" si="0"/>
        <v>224403.1432720994</v>
      </c>
      <c r="Y8" s="46">
        <f t="shared" si="0"/>
        <v>230728.26394344325</v>
      </c>
      <c r="Z8" s="46">
        <f t="shared" si="0"/>
        <v>237242.63596155058</v>
      </c>
    </row>
    <row r="9" spans="1:26" ht="12.75">
      <c r="A9">
        <v>5</v>
      </c>
      <c r="B9" t="s">
        <v>605</v>
      </c>
      <c r="C9" s="46">
        <v>923</v>
      </c>
      <c r="D9" s="46">
        <v>367</v>
      </c>
      <c r="E9" s="46">
        <v>17</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row>
    <row r="10" spans="1:26" ht="12.75">
      <c r="A10">
        <v>6</v>
      </c>
      <c r="B10" t="s">
        <v>606</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row>
    <row r="11" spans="1:26" ht="12.75">
      <c r="A11">
        <v>7</v>
      </c>
      <c r="B11" t="s">
        <v>607</v>
      </c>
      <c r="C11" s="46">
        <v>40145</v>
      </c>
      <c r="D11" s="46">
        <v>40145</v>
      </c>
      <c r="E11" s="46">
        <v>42078.38428</v>
      </c>
      <c r="F11" s="46">
        <v>42078.38487</v>
      </c>
      <c r="G11" s="46">
        <v>42078.38418999998</v>
      </c>
      <c r="H11" s="46">
        <v>32975.23359000001</v>
      </c>
      <c r="I11" s="46">
        <v>22254.913000000004</v>
      </c>
      <c r="J11" s="46">
        <v>16422.105310000003</v>
      </c>
      <c r="K11" s="46">
        <v>8450.228400000002</v>
      </c>
      <c r="L11" s="46">
        <v>1131.80057</v>
      </c>
      <c r="M11" s="46">
        <v>55.24868000000001</v>
      </c>
      <c r="N11" s="46">
        <v>0</v>
      </c>
      <c r="O11" s="46">
        <v>0</v>
      </c>
      <c r="P11" s="46">
        <v>0</v>
      </c>
      <c r="Q11" s="46">
        <v>0</v>
      </c>
      <c r="R11" s="46">
        <v>0</v>
      </c>
      <c r="S11" s="46">
        <v>0</v>
      </c>
      <c r="T11" s="46">
        <v>0</v>
      </c>
      <c r="U11" s="46">
        <v>0</v>
      </c>
      <c r="V11" s="46">
        <v>0</v>
      </c>
      <c r="W11" s="46">
        <v>0</v>
      </c>
      <c r="X11" s="46">
        <v>0</v>
      </c>
      <c r="Y11" s="46">
        <v>0</v>
      </c>
      <c r="Z11" s="46">
        <v>0</v>
      </c>
    </row>
    <row r="12" spans="1:26" ht="12.75">
      <c r="A12">
        <v>8</v>
      </c>
      <c r="B12" t="s">
        <v>608</v>
      </c>
      <c r="C12" s="46">
        <v>10936</v>
      </c>
      <c r="D12" s="46">
        <v>10936</v>
      </c>
      <c r="E12" s="46">
        <v>11247</v>
      </c>
      <c r="F12" s="46">
        <v>11466</v>
      </c>
      <c r="G12" s="46">
        <v>11658</v>
      </c>
      <c r="H12" s="46">
        <v>11750</v>
      </c>
      <c r="I12" s="46">
        <v>11816</v>
      </c>
      <c r="J12" s="46">
        <v>11866</v>
      </c>
      <c r="K12" s="46">
        <v>11881</v>
      </c>
      <c r="L12" s="46">
        <v>11892</v>
      </c>
      <c r="M12" s="46">
        <v>11895</v>
      </c>
      <c r="N12" s="46">
        <v>11895</v>
      </c>
      <c r="O12" s="46">
        <v>11895</v>
      </c>
      <c r="P12" s="46">
        <v>11895</v>
      </c>
      <c r="Q12" s="46">
        <v>11895</v>
      </c>
      <c r="R12" s="46">
        <v>11895</v>
      </c>
      <c r="S12" s="46">
        <v>11895</v>
      </c>
      <c r="T12" s="46">
        <v>11895</v>
      </c>
      <c r="U12" s="46">
        <v>11895</v>
      </c>
      <c r="V12" s="46">
        <v>11895</v>
      </c>
      <c r="W12" s="46">
        <v>11895</v>
      </c>
      <c r="X12" s="46">
        <v>11895</v>
      </c>
      <c r="Y12" s="46">
        <v>11895</v>
      </c>
      <c r="Z12" s="46">
        <v>11895</v>
      </c>
    </row>
    <row r="13" spans="1:26" ht="12.75">
      <c r="A13">
        <v>9</v>
      </c>
      <c r="B13" t="s">
        <v>609</v>
      </c>
      <c r="C13" s="46">
        <v>32572.33333333334</v>
      </c>
      <c r="D13" s="46">
        <v>33339.600000000006</v>
      </c>
      <c r="E13" s="46">
        <v>34050.600000000006</v>
      </c>
      <c r="F13" s="46">
        <v>36256.883066666676</v>
      </c>
      <c r="G13" s="46">
        <v>37015.16613333334</v>
      </c>
      <c r="H13" s="46">
        <v>37651.099466666674</v>
      </c>
      <c r="I13" s="46">
        <v>38900.232800000005</v>
      </c>
      <c r="J13" s="46">
        <v>39710.566133333334</v>
      </c>
      <c r="K13" s="46">
        <v>37509.4328</v>
      </c>
      <c r="L13" s="46">
        <v>35731.232800000005</v>
      </c>
      <c r="M13" s="46">
        <v>34694.966133333335</v>
      </c>
      <c r="N13" s="46">
        <v>34622.26966666667</v>
      </c>
      <c r="O13" s="46">
        <v>33665.06966666666</v>
      </c>
      <c r="P13" s="46">
        <v>33488.203</v>
      </c>
      <c r="Q13" s="46">
        <v>33843.803</v>
      </c>
      <c r="R13" s="46">
        <v>33430.66966666667</v>
      </c>
      <c r="S13" s="46">
        <v>32030.002999999997</v>
      </c>
      <c r="T13" s="46">
        <v>30287.669666666676</v>
      </c>
      <c r="U13" s="46">
        <v>28136.58660000001</v>
      </c>
      <c r="V13" s="46">
        <v>26128.50353333334</v>
      </c>
      <c r="W13" s="46">
        <v>24261.836866666672</v>
      </c>
      <c r="X13" s="46">
        <v>22495.1702</v>
      </c>
      <c r="Y13" s="46">
        <v>20828.503533333333</v>
      </c>
      <c r="Z13" s="46">
        <v>19161.836866666665</v>
      </c>
    </row>
    <row r="14" spans="1:26" ht="12.75">
      <c r="A14">
        <v>10</v>
      </c>
      <c r="B14" s="22" t="s">
        <v>610</v>
      </c>
      <c r="C14" s="46">
        <v>84576.33333333334</v>
      </c>
      <c r="D14" s="46">
        <v>84787.6</v>
      </c>
      <c r="E14" s="46">
        <f>SUM(E9:E13)</f>
        <v>87392.98428</v>
      </c>
      <c r="F14" s="46">
        <f aca="true" t="shared" si="1" ref="F14:Z14">SUM(F9:F13)</f>
        <v>89801.26793666667</v>
      </c>
      <c r="G14" s="46">
        <f t="shared" si="1"/>
        <v>90751.55032333333</v>
      </c>
      <c r="H14" s="46">
        <f t="shared" si="1"/>
        <v>82376.33305666668</v>
      </c>
      <c r="I14" s="46">
        <f t="shared" si="1"/>
        <v>72971.1458</v>
      </c>
      <c r="J14" s="46">
        <f t="shared" si="1"/>
        <v>67998.67144333334</v>
      </c>
      <c r="K14" s="46">
        <f t="shared" si="1"/>
        <v>57840.6612</v>
      </c>
      <c r="L14" s="46">
        <f t="shared" si="1"/>
        <v>48755.033370000005</v>
      </c>
      <c r="M14" s="46">
        <f t="shared" si="1"/>
        <v>46645.21481333334</v>
      </c>
      <c r="N14" s="46">
        <f t="shared" si="1"/>
        <v>46517.26966666667</v>
      </c>
      <c r="O14" s="46">
        <f t="shared" si="1"/>
        <v>45560.06966666666</v>
      </c>
      <c r="P14" s="46">
        <f t="shared" si="1"/>
        <v>45383.203</v>
      </c>
      <c r="Q14" s="46">
        <f t="shared" si="1"/>
        <v>45738.803</v>
      </c>
      <c r="R14" s="46">
        <f t="shared" si="1"/>
        <v>45325.66966666667</v>
      </c>
      <c r="S14" s="46">
        <f t="shared" si="1"/>
        <v>43925.003</v>
      </c>
      <c r="T14" s="46">
        <f t="shared" si="1"/>
        <v>42182.669666666676</v>
      </c>
      <c r="U14" s="46">
        <f t="shared" si="1"/>
        <v>40031.58660000001</v>
      </c>
      <c r="V14" s="46">
        <f t="shared" si="1"/>
        <v>38023.503533333336</v>
      </c>
      <c r="W14" s="46">
        <f t="shared" si="1"/>
        <v>36156.83686666667</v>
      </c>
      <c r="X14" s="46">
        <f t="shared" si="1"/>
        <v>34390.1702</v>
      </c>
      <c r="Y14" s="46">
        <f t="shared" si="1"/>
        <v>32723.503533333333</v>
      </c>
      <c r="Z14" s="46">
        <f t="shared" si="1"/>
        <v>31056.836866666665</v>
      </c>
    </row>
    <row r="15" spans="1:26" ht="12.75">
      <c r="A15">
        <v>11</v>
      </c>
      <c r="B15" s="22" t="s">
        <v>611</v>
      </c>
      <c r="C15" s="46">
        <v>221261.43141920335</v>
      </c>
      <c r="D15" s="46">
        <v>221176.89161172</v>
      </c>
      <c r="E15" s="46">
        <f>+E14+E8</f>
        <v>226360.5720477</v>
      </c>
      <c r="F15" s="46">
        <f aca="true" t="shared" si="2" ref="F15:Z15">+F14+F8</f>
        <v>230851.40053836667</v>
      </c>
      <c r="G15" s="46">
        <f t="shared" si="2"/>
        <v>235480.02122813332</v>
      </c>
      <c r="H15" s="46">
        <f t="shared" si="2"/>
        <v>229450.2102718667</v>
      </c>
      <c r="I15" s="46">
        <f t="shared" si="2"/>
        <v>223551.43236935</v>
      </c>
      <c r="J15" s="46">
        <f t="shared" si="2"/>
        <v>221762.4394433333</v>
      </c>
      <c r="K15" s="46">
        <f t="shared" si="2"/>
        <v>216251.95852000001</v>
      </c>
      <c r="L15" s="46">
        <f t="shared" si="2"/>
        <v>210916.14837</v>
      </c>
      <c r="M15" s="46">
        <f t="shared" si="2"/>
        <v>212737.75281333335</v>
      </c>
      <c r="N15" s="46">
        <f t="shared" si="2"/>
        <v>217413.70466666666</v>
      </c>
      <c r="O15" s="46">
        <f t="shared" si="2"/>
        <v>220928.7096666667</v>
      </c>
      <c r="P15" s="46">
        <f t="shared" si="2"/>
        <v>225461.76062320702</v>
      </c>
      <c r="Q15" s="46">
        <f t="shared" si="2"/>
        <v>230734.19290809648</v>
      </c>
      <c r="R15" s="46">
        <f t="shared" si="2"/>
        <v>235444.72017658205</v>
      </c>
      <c r="S15" s="46">
        <f t="shared" si="2"/>
        <v>239347.54630884196</v>
      </c>
      <c r="T15" s="46">
        <f t="shared" si="2"/>
        <v>243066.25881886587</v>
      </c>
      <c r="U15" s="46">
        <f t="shared" si="2"/>
        <v>246538.64736013705</v>
      </c>
      <c r="V15" s="46">
        <f t="shared" si="2"/>
        <v>250321.49133390616</v>
      </c>
      <c r="W15" s="46">
        <f t="shared" si="2"/>
        <v>254418.3990060548</v>
      </c>
      <c r="X15" s="46">
        <f t="shared" si="2"/>
        <v>258793.3134720994</v>
      </c>
      <c r="Y15" s="46">
        <f t="shared" si="2"/>
        <v>263451.76747677656</v>
      </c>
      <c r="Z15" s="46">
        <f t="shared" si="2"/>
        <v>268299.47282821726</v>
      </c>
    </row>
    <row r="16" spans="5:26" ht="12.75">
      <c r="E16" s="46"/>
      <c r="F16" s="46"/>
      <c r="G16" s="46"/>
      <c r="H16" s="46"/>
      <c r="I16" s="46"/>
      <c r="J16" s="46"/>
      <c r="K16" s="46"/>
      <c r="L16" s="46"/>
      <c r="M16" s="46"/>
      <c r="N16" s="46"/>
      <c r="O16" s="46"/>
      <c r="P16" s="46"/>
      <c r="Q16" s="46"/>
      <c r="R16" s="46"/>
      <c r="S16" s="46"/>
      <c r="T16" s="46"/>
      <c r="U16" s="46"/>
      <c r="V16" s="46"/>
      <c r="W16" s="46"/>
      <c r="X16" s="46"/>
      <c r="Y16" s="46"/>
      <c r="Z16" s="46"/>
    </row>
    <row r="17" spans="5:26" ht="12.75">
      <c r="E17" s="46"/>
      <c r="F17" s="46"/>
      <c r="G17" s="46"/>
      <c r="H17" s="46"/>
      <c r="I17" s="46"/>
      <c r="J17" s="46"/>
      <c r="K17" s="46"/>
      <c r="L17" s="46"/>
      <c r="M17" s="46"/>
      <c r="N17" s="46"/>
      <c r="O17" s="46"/>
      <c r="P17" s="46"/>
      <c r="Q17" s="46"/>
      <c r="R17" s="46"/>
      <c r="S17" s="46"/>
      <c r="T17" s="46"/>
      <c r="U17" s="46"/>
      <c r="V17" s="46"/>
      <c r="W17" s="46"/>
      <c r="X17" s="46"/>
      <c r="Y17" s="46"/>
      <c r="Z17" s="46"/>
    </row>
    <row r="18" spans="1:26" ht="12.75">
      <c r="A18" s="163" t="s">
        <v>235</v>
      </c>
      <c r="B18" s="38" t="s">
        <v>612</v>
      </c>
      <c r="C18" s="38"/>
      <c r="D18" s="38"/>
      <c r="E18" s="46"/>
      <c r="F18" s="46"/>
      <c r="G18" s="46"/>
      <c r="H18" s="46"/>
      <c r="I18" s="46"/>
      <c r="J18" s="46"/>
      <c r="K18" s="46"/>
      <c r="L18" s="46"/>
      <c r="M18" s="46"/>
      <c r="N18" s="46"/>
      <c r="O18" s="46"/>
      <c r="P18" s="46"/>
      <c r="Q18" s="46"/>
      <c r="R18" s="46"/>
      <c r="S18" s="46"/>
      <c r="T18" s="46"/>
      <c r="U18" s="46"/>
      <c r="V18" s="46"/>
      <c r="W18" s="46"/>
      <c r="X18" s="46"/>
      <c r="Y18" s="46"/>
      <c r="Z18" s="46"/>
    </row>
    <row r="19" spans="2:26" ht="12.75">
      <c r="B19" t="s">
        <v>613</v>
      </c>
      <c r="E19" s="46">
        <v>23</v>
      </c>
      <c r="F19" s="46">
        <v>23</v>
      </c>
      <c r="G19" s="46">
        <v>23</v>
      </c>
      <c r="H19" s="46">
        <v>23</v>
      </c>
      <c r="I19" s="46">
        <v>23</v>
      </c>
      <c r="J19" s="46">
        <v>23</v>
      </c>
      <c r="K19" s="46">
        <v>23</v>
      </c>
      <c r="L19" s="46">
        <v>23</v>
      </c>
      <c r="M19" s="46">
        <v>23</v>
      </c>
      <c r="N19" s="46">
        <v>23</v>
      </c>
      <c r="O19" s="46">
        <v>23</v>
      </c>
      <c r="P19" s="46">
        <v>0</v>
      </c>
      <c r="Q19" s="46">
        <v>0</v>
      </c>
      <c r="R19" s="46">
        <v>0</v>
      </c>
      <c r="S19" s="46">
        <v>0</v>
      </c>
      <c r="T19" s="46">
        <v>0</v>
      </c>
      <c r="U19" s="46">
        <v>0</v>
      </c>
      <c r="V19" s="46">
        <v>0</v>
      </c>
      <c r="W19" s="46">
        <v>0</v>
      </c>
      <c r="X19" s="46">
        <v>0</v>
      </c>
      <c r="Y19" s="46">
        <v>0</v>
      </c>
      <c r="Z19" s="46">
        <v>0</v>
      </c>
    </row>
    <row r="20" spans="1:26" ht="12.75">
      <c r="A20" s="14" t="s">
        <v>333</v>
      </c>
      <c r="B20" t="s">
        <v>614</v>
      </c>
      <c r="C20" s="46">
        <v>3265</v>
      </c>
      <c r="D20" s="46">
        <v>3265</v>
      </c>
      <c r="E20" s="46">
        <v>3265</v>
      </c>
      <c r="F20" s="46">
        <v>3265</v>
      </c>
      <c r="G20" s="46">
        <v>3265</v>
      </c>
      <c r="H20" s="46">
        <v>3265</v>
      </c>
      <c r="I20" s="46">
        <v>3265</v>
      </c>
      <c r="J20" s="46">
        <v>3265</v>
      </c>
      <c r="K20" s="46">
        <v>3265</v>
      </c>
      <c r="L20" s="46">
        <v>3265</v>
      </c>
      <c r="M20" s="46">
        <v>3265</v>
      </c>
      <c r="N20" s="46">
        <v>3265</v>
      </c>
      <c r="O20" s="46">
        <v>3265</v>
      </c>
      <c r="P20" s="46">
        <v>0</v>
      </c>
      <c r="Q20" s="46">
        <v>0</v>
      </c>
      <c r="R20" s="46">
        <v>0</v>
      </c>
      <c r="S20" s="46">
        <v>0</v>
      </c>
      <c r="T20" s="46">
        <v>0</v>
      </c>
      <c r="U20" s="46">
        <v>0</v>
      </c>
      <c r="V20" s="46">
        <v>0</v>
      </c>
      <c r="W20" s="46">
        <v>0</v>
      </c>
      <c r="X20" s="46">
        <v>0</v>
      </c>
      <c r="Y20" s="46">
        <v>0</v>
      </c>
      <c r="Z20" s="46">
        <v>0</v>
      </c>
    </row>
    <row r="23" spans="2:26" ht="12.75">
      <c r="B23" t="s">
        <v>631</v>
      </c>
      <c r="E23" s="7">
        <v>149823.1174329897</v>
      </c>
      <c r="F23" s="7">
        <v>150976.6658200865</v>
      </c>
      <c r="G23" s="7">
        <v>150346.72977514265</v>
      </c>
      <c r="H23" s="7">
        <v>151873.16201043676</v>
      </c>
      <c r="I23" s="7">
        <v>156365.30166475778</v>
      </c>
      <c r="J23" s="7">
        <v>162275.68472969282</v>
      </c>
      <c r="K23" s="7">
        <v>167062.79837352844</v>
      </c>
      <c r="L23" s="7">
        <v>173222.64121410815</v>
      </c>
      <c r="M23" s="7">
        <v>179822.223860262</v>
      </c>
      <c r="N23" s="7">
        <v>189988.94969632756</v>
      </c>
      <c r="O23" s="7">
        <v>198468.66478404688</v>
      </c>
      <c r="P23" s="7">
        <v>211860.54335008463</v>
      </c>
      <c r="Q23" s="7">
        <v>224926.85437049277</v>
      </c>
      <c r="R23" s="7">
        <v>242789.70565938167</v>
      </c>
      <c r="S23" s="7">
        <v>258423.43580572313</v>
      </c>
      <c r="T23" s="7">
        <v>274591.6044543718</v>
      </c>
      <c r="U23" s="7">
        <v>291493.84530285664</v>
      </c>
      <c r="V23" s="7">
        <v>308946.814820098</v>
      </c>
      <c r="W23" s="7">
        <v>330953.647940098</v>
      </c>
      <c r="X23" s="7">
        <v>348733.9243210504</v>
      </c>
      <c r="Y23" s="7">
        <v>366602.7266739916</v>
      </c>
      <c r="Z23" s="7">
        <v>384677.92175091465</v>
      </c>
    </row>
    <row r="24" spans="2:26" ht="12.75">
      <c r="B24" s="38" t="s">
        <v>698</v>
      </c>
      <c r="E24" s="7">
        <v>34505.65979381443</v>
      </c>
      <c r="F24" s="7">
        <v>34505.65979381443</v>
      </c>
      <c r="G24" s="7">
        <v>34505.65979381443</v>
      </c>
      <c r="H24" s="7">
        <v>34505.65979381443</v>
      </c>
      <c r="I24" s="7">
        <v>34505.65979381443</v>
      </c>
      <c r="J24" s="7">
        <v>34505.65979381443</v>
      </c>
      <c r="K24" s="7">
        <v>34505.65979381443</v>
      </c>
      <c r="L24" s="7">
        <v>34505.65979381443</v>
      </c>
      <c r="M24" s="7">
        <v>34505.65979381443</v>
      </c>
      <c r="N24" s="7">
        <v>34505.65979381443</v>
      </c>
      <c r="O24" s="7">
        <v>34505.65979381443</v>
      </c>
      <c r="P24" s="7">
        <v>34505.65979381443</v>
      </c>
      <c r="Q24" s="7">
        <v>34505.65979381443</v>
      </c>
      <c r="R24" s="7">
        <v>34505.65979381443</v>
      </c>
      <c r="S24" s="7">
        <v>34505.65979381443</v>
      </c>
      <c r="T24" s="7">
        <v>34505.65979381443</v>
      </c>
      <c r="U24" s="7">
        <v>34505.65979381443</v>
      </c>
      <c r="V24" s="7">
        <v>34505.65979381443</v>
      </c>
      <c r="W24" s="7">
        <v>34505.65979381443</v>
      </c>
      <c r="X24" s="7">
        <v>34505.65979381443</v>
      </c>
      <c r="Y24" s="7">
        <v>34505.65979381443</v>
      </c>
      <c r="Z24" s="7">
        <v>34505.65979381443</v>
      </c>
    </row>
    <row r="25" spans="2:26" ht="12.75">
      <c r="B25" s="38" t="s">
        <v>699</v>
      </c>
      <c r="E25" s="7">
        <v>42629.653087587634</v>
      </c>
      <c r="F25" s="7">
        <v>42629.653087587634</v>
      </c>
      <c r="G25" s="7">
        <v>42629.653087587634</v>
      </c>
      <c r="H25" s="7">
        <v>42629.653087587634</v>
      </c>
      <c r="I25" s="7">
        <v>42629.653087587634</v>
      </c>
      <c r="J25" s="7">
        <v>42629.653087587634</v>
      </c>
      <c r="K25" s="7">
        <v>42629.653087587634</v>
      </c>
      <c r="L25" s="7">
        <v>42629.653087587634</v>
      </c>
      <c r="M25" s="7">
        <v>42629.653087587634</v>
      </c>
      <c r="N25" s="7">
        <v>42629.653087587634</v>
      </c>
      <c r="O25" s="7">
        <v>42629.653087587634</v>
      </c>
      <c r="P25" s="7">
        <v>42629.653087587634</v>
      </c>
      <c r="Q25" s="7">
        <v>42629.653087587634</v>
      </c>
      <c r="R25" s="7">
        <v>42629.653087587634</v>
      </c>
      <c r="S25" s="7">
        <v>42629.653087587634</v>
      </c>
      <c r="T25" s="7">
        <v>42629.653087587634</v>
      </c>
      <c r="U25" s="7">
        <v>42629.653087587634</v>
      </c>
      <c r="V25" s="7">
        <v>42629.653087587634</v>
      </c>
      <c r="W25" s="7">
        <v>42629.653087587634</v>
      </c>
      <c r="X25" s="7">
        <v>42629.653087587634</v>
      </c>
      <c r="Y25" s="7">
        <v>42629.653087587634</v>
      </c>
      <c r="Z25" s="7">
        <v>42629.653087587634</v>
      </c>
    </row>
    <row r="26" spans="2:26" ht="12.75">
      <c r="B26" t="s">
        <v>633</v>
      </c>
      <c r="E26" s="7">
        <v>5266.923076923077</v>
      </c>
      <c r="F26" s="7">
        <v>5266.923076923077</v>
      </c>
      <c r="G26" s="7">
        <v>5266.923076923077</v>
      </c>
      <c r="H26" s="7">
        <v>5266.923076923077</v>
      </c>
      <c r="I26" s="7">
        <v>5266.923076923077</v>
      </c>
      <c r="J26" s="7">
        <v>5266.923076923077</v>
      </c>
      <c r="K26" s="7">
        <v>5266.923076923077</v>
      </c>
      <c r="L26" s="7">
        <v>5266.923076923077</v>
      </c>
      <c r="M26" s="7">
        <v>5266.923076923077</v>
      </c>
      <c r="N26" s="7">
        <v>5266.923076923077</v>
      </c>
      <c r="O26" s="7">
        <v>5266.923076923077</v>
      </c>
      <c r="P26" s="7">
        <v>5266.923076923077</v>
      </c>
      <c r="Q26" s="7">
        <v>5266.923076923077</v>
      </c>
      <c r="R26" s="7">
        <v>0</v>
      </c>
      <c r="S26" s="7">
        <v>0</v>
      </c>
      <c r="T26" s="7">
        <v>0</v>
      </c>
      <c r="U26" s="7">
        <v>0</v>
      </c>
      <c r="V26" s="7">
        <v>0</v>
      </c>
      <c r="W26" s="7">
        <v>0</v>
      </c>
      <c r="X26" s="7">
        <v>0</v>
      </c>
      <c r="Y26" s="7">
        <v>0</v>
      </c>
      <c r="Z26" s="7">
        <v>0</v>
      </c>
    </row>
    <row r="27" spans="2:26" ht="12.75">
      <c r="B27" t="s">
        <v>632</v>
      </c>
      <c r="E27" s="7">
        <v>1939.825</v>
      </c>
      <c r="F27" s="7">
        <v>1939.825</v>
      </c>
      <c r="G27" s="7">
        <v>1939.825</v>
      </c>
      <c r="H27" s="7">
        <v>1939.825</v>
      </c>
      <c r="I27" s="7">
        <v>1939.825</v>
      </c>
      <c r="J27" s="7">
        <v>1939.825</v>
      </c>
      <c r="K27" s="7">
        <v>0</v>
      </c>
      <c r="L27" s="7">
        <v>0</v>
      </c>
      <c r="M27" s="7">
        <v>0</v>
      </c>
      <c r="N27" s="7">
        <v>0</v>
      </c>
      <c r="O27" s="7">
        <v>0</v>
      </c>
      <c r="P27" s="7">
        <v>0</v>
      </c>
      <c r="Q27" s="7">
        <v>0</v>
      </c>
      <c r="R27" s="7">
        <v>0</v>
      </c>
      <c r="S27" s="7">
        <v>0</v>
      </c>
      <c r="T27" s="7">
        <v>0</v>
      </c>
      <c r="U27" s="7">
        <v>0</v>
      </c>
      <c r="V27" s="7">
        <v>0</v>
      </c>
      <c r="W27" s="7">
        <v>0</v>
      </c>
      <c r="X27" s="7">
        <v>0</v>
      </c>
      <c r="Y27" s="7">
        <v>0</v>
      </c>
      <c r="Z27" s="7">
        <v>0</v>
      </c>
    </row>
    <row r="28" spans="2:26" ht="12.75">
      <c r="B28" s="38" t="s">
        <v>723</v>
      </c>
      <c r="E28" s="7">
        <v>24030.945839485164</v>
      </c>
      <c r="F28" s="7">
        <f>+E28</f>
        <v>24030.945839485164</v>
      </c>
      <c r="G28" s="7">
        <f aca="true" t="shared" si="3" ref="G28:Z28">+F28</f>
        <v>24030.945839485164</v>
      </c>
      <c r="H28" s="7">
        <f t="shared" si="3"/>
        <v>24030.945839485164</v>
      </c>
      <c r="I28" s="7">
        <f t="shared" si="3"/>
        <v>24030.945839485164</v>
      </c>
      <c r="J28" s="7">
        <f t="shared" si="3"/>
        <v>24030.945839485164</v>
      </c>
      <c r="K28" s="7">
        <f t="shared" si="3"/>
        <v>24030.945839485164</v>
      </c>
      <c r="L28" s="7">
        <f t="shared" si="3"/>
        <v>24030.945839485164</v>
      </c>
      <c r="M28" s="7">
        <f t="shared" si="3"/>
        <v>24030.945839485164</v>
      </c>
      <c r="N28" s="7">
        <f t="shared" si="3"/>
        <v>24030.945839485164</v>
      </c>
      <c r="O28" s="7">
        <f t="shared" si="3"/>
        <v>24030.945839485164</v>
      </c>
      <c r="P28" s="7">
        <f t="shared" si="3"/>
        <v>24030.945839485164</v>
      </c>
      <c r="Q28" s="7">
        <f t="shared" si="3"/>
        <v>24030.945839485164</v>
      </c>
      <c r="R28" s="7">
        <f t="shared" si="3"/>
        <v>24030.945839485164</v>
      </c>
      <c r="S28" s="7">
        <f t="shared" si="3"/>
        <v>24030.945839485164</v>
      </c>
      <c r="T28" s="7">
        <f t="shared" si="3"/>
        <v>24030.945839485164</v>
      </c>
      <c r="U28" s="7">
        <f t="shared" si="3"/>
        <v>24030.945839485164</v>
      </c>
      <c r="V28" s="7">
        <f t="shared" si="3"/>
        <v>24030.945839485164</v>
      </c>
      <c r="W28" s="7">
        <f t="shared" si="3"/>
        <v>24030.945839485164</v>
      </c>
      <c r="X28" s="7">
        <f t="shared" si="3"/>
        <v>24030.945839485164</v>
      </c>
      <c r="Y28" s="7">
        <f t="shared" si="3"/>
        <v>24030.945839485164</v>
      </c>
      <c r="Z28" s="7">
        <f t="shared" si="3"/>
        <v>24030.945839485164</v>
      </c>
    </row>
    <row r="29" spans="2:34" s="158" customFormat="1" ht="12.75">
      <c r="B29" s="354" t="s">
        <v>724</v>
      </c>
      <c r="E29" s="376">
        <v>33737.85096657003</v>
      </c>
      <c r="F29" s="377">
        <v>35213.06382173961</v>
      </c>
      <c r="G29" s="376">
        <v>36753.70259907826</v>
      </c>
      <c r="H29" s="377">
        <v>38362.71361548462</v>
      </c>
      <c r="I29" s="376">
        <v>40043.17800442227</v>
      </c>
      <c r="J29" s="377">
        <v>41798.317985356014</v>
      </c>
      <c r="K29" s="376">
        <v>43631.503429397846</v>
      </c>
      <c r="L29" s="377">
        <v>45546.25873536972</v>
      </c>
      <c r="M29" s="376">
        <v>47546.270031181586</v>
      </c>
      <c r="N29" s="377">
        <v>49635.39271614784</v>
      </c>
      <c r="O29" s="376">
        <v>51817.659360626276</v>
      </c>
      <c r="P29" s="377">
        <v>54097.28798016184</v>
      </c>
      <c r="Q29" s="376">
        <v>56478.69070215477</v>
      </c>
      <c r="R29" s="377">
        <v>58966.48284395218</v>
      </c>
      <c r="S29" s="376">
        <v>61565.49242218377</v>
      </c>
      <c r="T29" s="377">
        <v>64280.77011413095</v>
      </c>
      <c r="U29" s="376">
        <v>67117.59969293355</v>
      </c>
      <c r="V29" s="377">
        <v>70081.50895950505</v>
      </c>
      <c r="W29" s="376">
        <v>73178.28119514525</v>
      </c>
      <c r="X29" s="377">
        <v>76413.96716001356</v>
      </c>
      <c r="Y29" s="376">
        <v>79794.89766385841</v>
      </c>
      <c r="Z29" s="377">
        <v>83327.696736691</v>
      </c>
      <c r="AA29" s="376">
        <v>87019.29542844936</v>
      </c>
      <c r="AB29" s="377">
        <v>90876.94626812308</v>
      </c>
      <c r="AC29" s="376">
        <v>89439.25012904775</v>
      </c>
      <c r="AD29" s="158">
        <v>89439.25012904775</v>
      </c>
      <c r="AE29" s="158">
        <v>81382.47849321004</v>
      </c>
      <c r="AF29" s="158">
        <v>70886.94220257348</v>
      </c>
      <c r="AG29" s="158">
        <v>60184.365133880616</v>
      </c>
      <c r="AH29" s="158">
        <v>49307.791525504945</v>
      </c>
    </row>
    <row r="30" spans="5:26" ht="12.75">
      <c r="E30" s="15">
        <f>SUM(E23:E29)</f>
        <v>291933.97519737005</v>
      </c>
      <c r="F30" s="15">
        <f aca="true" t="shared" si="4" ref="F30:Z30">SUM(F23:F29)</f>
        <v>294562.73643963644</v>
      </c>
      <c r="G30" s="15">
        <f t="shared" si="4"/>
        <v>295473.4391720312</v>
      </c>
      <c r="H30" s="15">
        <f t="shared" si="4"/>
        <v>298608.88242373173</v>
      </c>
      <c r="I30" s="15">
        <f t="shared" si="4"/>
        <v>304781.4864669904</v>
      </c>
      <c r="J30" s="15">
        <f t="shared" si="4"/>
        <v>312447.00951285916</v>
      </c>
      <c r="K30" s="15">
        <f t="shared" si="4"/>
        <v>317127.48360073654</v>
      </c>
      <c r="L30" s="15">
        <f t="shared" si="4"/>
        <v>325202.0817472882</v>
      </c>
      <c r="M30" s="15">
        <f t="shared" si="4"/>
        <v>333801.67568925384</v>
      </c>
      <c r="N30" s="15">
        <f t="shared" si="4"/>
        <v>346057.5242102857</v>
      </c>
      <c r="O30" s="15">
        <f t="shared" si="4"/>
        <v>356719.50594248343</v>
      </c>
      <c r="P30" s="15">
        <f t="shared" si="4"/>
        <v>372391.0131280568</v>
      </c>
      <c r="Q30" s="15">
        <f t="shared" si="4"/>
        <v>387838.7268704578</v>
      </c>
      <c r="R30" s="15">
        <f t="shared" si="4"/>
        <v>402922.4472242211</v>
      </c>
      <c r="S30" s="15">
        <f t="shared" si="4"/>
        <v>421155.18694879406</v>
      </c>
      <c r="T30" s="15">
        <f t="shared" si="4"/>
        <v>440038.6332893899</v>
      </c>
      <c r="U30" s="15">
        <f t="shared" si="4"/>
        <v>459777.7037166774</v>
      </c>
      <c r="V30" s="15">
        <f t="shared" si="4"/>
        <v>480194.58250049024</v>
      </c>
      <c r="W30" s="15">
        <f t="shared" si="4"/>
        <v>505298.1878561304</v>
      </c>
      <c r="X30" s="15">
        <f t="shared" si="4"/>
        <v>526314.1502019512</v>
      </c>
      <c r="Y30" s="15">
        <f t="shared" si="4"/>
        <v>547563.8830587371</v>
      </c>
      <c r="Z30" s="15">
        <f t="shared" si="4"/>
        <v>569171.8772084928</v>
      </c>
    </row>
    <row r="31" ht="12.75">
      <c r="E31" s="331"/>
    </row>
    <row r="32" spans="5:15" ht="12.75">
      <c r="E32" s="7">
        <f>+E30+E15</f>
        <v>518294.54724507005</v>
      </c>
      <c r="F32" s="7">
        <f aca="true" t="shared" si="5" ref="F32:O32">+F30+F15</f>
        <v>525414.1369780031</v>
      </c>
      <c r="G32" s="7">
        <f t="shared" si="5"/>
        <v>530953.4604001645</v>
      </c>
      <c r="H32" s="7">
        <f t="shared" si="5"/>
        <v>528059.0926955985</v>
      </c>
      <c r="I32" s="7">
        <f t="shared" si="5"/>
        <v>528332.9188363403</v>
      </c>
      <c r="J32" s="7">
        <f t="shared" si="5"/>
        <v>534209.4489561925</v>
      </c>
      <c r="K32" s="7">
        <f t="shared" si="5"/>
        <v>533379.4421207366</v>
      </c>
      <c r="L32" s="7">
        <f t="shared" si="5"/>
        <v>536118.2301172882</v>
      </c>
      <c r="M32" s="7">
        <f t="shared" si="5"/>
        <v>546539.4285025871</v>
      </c>
      <c r="N32" s="7">
        <f t="shared" si="5"/>
        <v>563471.2288769523</v>
      </c>
      <c r="O32" s="7">
        <f t="shared" si="5"/>
        <v>577648.2156091501</v>
      </c>
    </row>
    <row r="37" spans="5:17" ht="12.75">
      <c r="E37" s="21"/>
      <c r="F37" s="21"/>
      <c r="G37" s="21"/>
      <c r="H37" s="21"/>
      <c r="I37" s="21"/>
      <c r="J37" s="21"/>
      <c r="K37" s="21"/>
      <c r="L37" s="21"/>
      <c r="M37" s="21"/>
      <c r="N37" s="21"/>
      <c r="O37" s="21"/>
      <c r="P37" s="21"/>
      <c r="Q37" s="21"/>
    </row>
    <row r="38" spans="5:17" ht="12.75">
      <c r="E38" s="23"/>
      <c r="F38" s="23"/>
      <c r="G38" s="23"/>
      <c r="H38" s="23"/>
      <c r="I38" s="23"/>
      <c r="J38" s="23"/>
      <c r="K38" s="23"/>
      <c r="L38" s="23"/>
      <c r="M38" s="23"/>
      <c r="N38" s="23"/>
      <c r="O38" s="23"/>
      <c r="P38" s="23"/>
      <c r="Q38" s="23"/>
    </row>
    <row r="39" spans="5:17" ht="12.75">
      <c r="E39" s="355"/>
      <c r="F39" s="355"/>
      <c r="G39" s="355"/>
      <c r="H39" s="355"/>
      <c r="I39" s="355"/>
      <c r="J39" s="355"/>
      <c r="K39" s="355"/>
      <c r="L39" s="355"/>
      <c r="M39" s="355"/>
      <c r="N39" s="355"/>
      <c r="O39" s="355"/>
      <c r="P39" s="355"/>
      <c r="Q39" s="355"/>
    </row>
  </sheetData>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H31"/>
  <sheetViews>
    <sheetView workbookViewId="0" topLeftCell="A16">
      <selection activeCell="E8" sqref="E8"/>
    </sheetView>
  </sheetViews>
  <sheetFormatPr defaultColWidth="9.140625" defaultRowHeight="12.75"/>
  <cols>
    <col min="1" max="1" width="34.00390625" style="0" customWidth="1"/>
    <col min="2" max="3" width="14.00390625" style="415" bestFit="1" customWidth="1"/>
    <col min="4" max="4" width="10.28125" style="38" bestFit="1" customWidth="1"/>
    <col min="7" max="8" width="15.00390625" style="0" bestFit="1" customWidth="1"/>
  </cols>
  <sheetData>
    <row r="1" spans="2:4" ht="12.75">
      <c r="B1" s="264">
        <v>2020</v>
      </c>
      <c r="C1" s="264">
        <v>2021</v>
      </c>
      <c r="D1" s="396" t="s">
        <v>495</v>
      </c>
    </row>
    <row r="2" spans="1:7" ht="12.75">
      <c r="A2" t="s">
        <v>380</v>
      </c>
      <c r="B2" s="414">
        <v>2686228</v>
      </c>
      <c r="C2" s="414">
        <v>2700442</v>
      </c>
      <c r="G2" s="38"/>
    </row>
    <row r="3" spans="2:7" ht="12.75">
      <c r="B3" s="414"/>
      <c r="C3" s="414"/>
      <c r="G3" s="38"/>
    </row>
    <row r="4" spans="1:3" ht="12.75">
      <c r="A4" t="s">
        <v>379</v>
      </c>
      <c r="B4" s="414">
        <v>2709679</v>
      </c>
      <c r="C4" s="414">
        <v>2689777</v>
      </c>
    </row>
    <row r="5" spans="2:3" ht="12.75">
      <c r="B5" s="414"/>
      <c r="C5" s="414"/>
    </row>
    <row r="6" spans="1:8" ht="15.75">
      <c r="A6" s="38" t="s">
        <v>586</v>
      </c>
      <c r="B6" s="412">
        <v>249767.00051788118</v>
      </c>
      <c r="C6" s="412">
        <v>249746.61916842868</v>
      </c>
      <c r="G6" s="341"/>
      <c r="H6" s="341"/>
    </row>
    <row r="7" spans="1:3" ht="12.75">
      <c r="A7" s="38" t="s">
        <v>587</v>
      </c>
      <c r="B7" s="414"/>
      <c r="C7" s="414"/>
    </row>
    <row r="8" spans="1:3" ht="12.75">
      <c r="A8" s="38" t="s">
        <v>585</v>
      </c>
      <c r="B8" s="414">
        <f>+B7+B6</f>
        <v>249767.00051788118</v>
      </c>
      <c r="C8" s="414">
        <f>+C7+C6</f>
        <v>249746.61916842868</v>
      </c>
    </row>
    <row r="9" spans="2:3" ht="12.75">
      <c r="B9" s="414"/>
      <c r="C9" s="414"/>
    </row>
    <row r="10" spans="2:3" ht="12.75">
      <c r="B10" s="414"/>
      <c r="C10" s="414"/>
    </row>
    <row r="11" spans="1:4" ht="12.75">
      <c r="A11" t="s">
        <v>378</v>
      </c>
      <c r="B11" s="414">
        <v>0</v>
      </c>
      <c r="C11" s="414">
        <v>0</v>
      </c>
      <c r="D11" s="247"/>
    </row>
    <row r="12" spans="1:4" ht="12.75">
      <c r="A12" t="s">
        <v>377</v>
      </c>
      <c r="B12" s="413">
        <v>69917.11230993233</v>
      </c>
      <c r="C12" s="413">
        <v>53998.16375235271</v>
      </c>
      <c r="D12" s="247"/>
    </row>
    <row r="13" spans="1:5" ht="12.75">
      <c r="A13" t="s">
        <v>552</v>
      </c>
      <c r="B13" s="414"/>
      <c r="C13" s="414"/>
      <c r="D13" s="247"/>
      <c r="E13" s="275"/>
    </row>
    <row r="14" spans="1:8" ht="15.75">
      <c r="A14" s="38" t="s">
        <v>555</v>
      </c>
      <c r="B14" s="412">
        <v>12992.7684687405</v>
      </c>
      <c r="C14" s="412">
        <v>16878.759281383962</v>
      </c>
      <c r="D14" s="179">
        <v>17807.612587735068</v>
      </c>
      <c r="F14" s="198"/>
      <c r="H14" s="198"/>
    </row>
    <row r="15" spans="1:8" ht="12.75">
      <c r="A15" s="38" t="s">
        <v>153</v>
      </c>
      <c r="B15" s="414">
        <f>+B14+B13+B12+B11</f>
        <v>82909.88077867283</v>
      </c>
      <c r="C15" s="414">
        <f>+C14+C13+C12+C11</f>
        <v>70876.92303373668</v>
      </c>
      <c r="F15" s="198"/>
      <c r="H15" s="198"/>
    </row>
    <row r="16" spans="2:3" ht="12.75">
      <c r="B16" s="414"/>
      <c r="C16" s="414"/>
    </row>
    <row r="17" spans="1:3" ht="12.75">
      <c r="A17" t="s">
        <v>376</v>
      </c>
      <c r="B17" s="414">
        <v>77499.51699999999</v>
      </c>
      <c r="C17" s="414">
        <v>73024.51699999999</v>
      </c>
    </row>
    <row r="18" spans="1:3" ht="12.75">
      <c r="A18" t="s">
        <v>553</v>
      </c>
      <c r="B18" s="414">
        <v>32028.483</v>
      </c>
      <c r="C18" s="414">
        <v>32028.483</v>
      </c>
    </row>
    <row r="19" spans="2:3" ht="12.75">
      <c r="B19" s="414">
        <v>109528</v>
      </c>
      <c r="C19" s="414">
        <v>105053</v>
      </c>
    </row>
    <row r="20" spans="2:3" ht="15.75">
      <c r="B20" s="412">
        <v>221642.731759574</v>
      </c>
      <c r="C20" s="412">
        <v>217308.3754877001</v>
      </c>
    </row>
    <row r="21" spans="2:3" ht="12.75">
      <c r="B21" s="414"/>
      <c r="C21" s="414"/>
    </row>
    <row r="22" spans="1:3" ht="12.75">
      <c r="A22" t="s">
        <v>554</v>
      </c>
      <c r="B22" s="414">
        <v>10048.115</v>
      </c>
      <c r="C22" s="414">
        <v>10158.135</v>
      </c>
    </row>
    <row r="23" spans="2:3" ht="12.75">
      <c r="B23" s="414"/>
      <c r="C23" s="414"/>
    </row>
    <row r="24" spans="2:3" ht="12.75">
      <c r="B24" s="414">
        <v>23342000</v>
      </c>
      <c r="C24" s="414">
        <v>27328000</v>
      </c>
    </row>
    <row r="25" spans="2:3" ht="12.75">
      <c r="B25" s="414"/>
      <c r="C25" s="414"/>
    </row>
    <row r="26" spans="2:3" ht="12.75">
      <c r="B26" s="414"/>
      <c r="C26" s="414"/>
    </row>
    <row r="27" spans="2:3" ht="12.75">
      <c r="B27" s="414"/>
      <c r="C27" s="414"/>
    </row>
    <row r="28" spans="1:3" ht="12.75">
      <c r="A28" t="s">
        <v>584</v>
      </c>
      <c r="B28" s="414">
        <v>13577</v>
      </c>
      <c r="C28" s="414">
        <v>13671</v>
      </c>
    </row>
    <row r="29" spans="2:3" ht="12.75">
      <c r="B29" s="414"/>
      <c r="C29" s="414"/>
    </row>
    <row r="30" spans="2:3" ht="12.75">
      <c r="B30" s="414"/>
      <c r="C30" s="414"/>
    </row>
    <row r="31" spans="1:3" ht="12.75">
      <c r="A31" s="38" t="s">
        <v>592</v>
      </c>
      <c r="B31" s="414"/>
      <c r="C31" s="414"/>
    </row>
    <row r="46" ht="12" customHeight="1"/>
  </sheetData>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2:G150"/>
  <sheetViews>
    <sheetView zoomScale="98" zoomScaleNormal="98" workbookViewId="0" topLeftCell="A67">
      <selection activeCell="L81" sqref="L81"/>
    </sheetView>
  </sheetViews>
  <sheetFormatPr defaultColWidth="9.140625" defaultRowHeight="12.75"/>
  <cols>
    <col min="1" max="1" width="5.140625" style="195" customWidth="1"/>
    <col min="2" max="2" width="39.421875" style="0" customWidth="1"/>
    <col min="3" max="3" width="12.28125" style="0" bestFit="1" customWidth="1"/>
    <col min="4" max="5" width="11.57421875" style="0" bestFit="1" customWidth="1"/>
  </cols>
  <sheetData>
    <row r="2" spans="2:4" ht="12.75">
      <c r="B2" s="10" t="s">
        <v>160</v>
      </c>
      <c r="C2" s="11"/>
      <c r="D2" s="11"/>
    </row>
    <row r="3" spans="2:4" ht="12.75">
      <c r="B3" s="10" t="s">
        <v>252</v>
      </c>
      <c r="C3" s="11"/>
      <c r="D3" s="11"/>
    </row>
    <row r="5" spans="3:4" ht="12.75">
      <c r="C5" s="12" t="s">
        <v>162</v>
      </c>
      <c r="D5" s="12" t="s">
        <v>163</v>
      </c>
    </row>
    <row r="6" spans="3:4" ht="12.75">
      <c r="C6" s="13">
        <v>2020</v>
      </c>
      <c r="D6" s="13">
        <v>2021</v>
      </c>
    </row>
    <row r="7" spans="1:4" ht="18.75" customHeight="1">
      <c r="A7" s="196">
        <v>1</v>
      </c>
      <c r="B7" s="292" t="s">
        <v>621</v>
      </c>
      <c r="C7" s="7">
        <v>586596.31878</v>
      </c>
      <c r="D7" s="7">
        <f>+C7</f>
        <v>586596.31878</v>
      </c>
    </row>
    <row r="8" spans="1:4" s="17" customFormat="1" ht="12.75">
      <c r="A8" s="196">
        <v>2</v>
      </c>
      <c r="B8" s="16" t="s">
        <v>168</v>
      </c>
      <c r="C8" s="265">
        <v>0.009</v>
      </c>
      <c r="D8" s="265">
        <v>0.00935</v>
      </c>
    </row>
    <row r="9" spans="1:4" ht="25.5" customHeight="1">
      <c r="A9" s="196">
        <v>3</v>
      </c>
      <c r="B9" s="291" t="s">
        <v>622</v>
      </c>
      <c r="C9" s="15">
        <f>-C7*C8</f>
        <v>-5279.366869019999</v>
      </c>
      <c r="D9" s="15">
        <f>-D7*D8</f>
        <v>-5484.675580593</v>
      </c>
    </row>
    <row r="10" spans="1:4" ht="12.75">
      <c r="A10" s="196">
        <v>4</v>
      </c>
      <c r="B10" s="14" t="s">
        <v>169</v>
      </c>
      <c r="C10" s="15">
        <f>-C40</f>
        <v>-4958.956</v>
      </c>
      <c r="D10" s="15">
        <f aca="true" t="shared" si="0" ref="D10">-D40</f>
        <v>-6753.1654</v>
      </c>
    </row>
    <row r="11" spans="1:4" ht="12.75">
      <c r="A11" s="196">
        <v>5</v>
      </c>
      <c r="B11" s="14" t="s">
        <v>561</v>
      </c>
      <c r="C11" s="15">
        <v>0</v>
      </c>
      <c r="D11" s="15">
        <v>0</v>
      </c>
    </row>
    <row r="12" spans="1:4" ht="26.25" customHeight="1">
      <c r="A12" s="196">
        <v>6</v>
      </c>
      <c r="B12" s="291" t="s">
        <v>623</v>
      </c>
      <c r="C12" s="15">
        <f>+C10-C9-C11</f>
        <v>320.41086901999915</v>
      </c>
      <c r="D12" s="15">
        <f>+D10-D9-D11</f>
        <v>-1268.4898194070001</v>
      </c>
    </row>
    <row r="14" spans="2:4" ht="12.75">
      <c r="B14" s="35"/>
      <c r="C14" s="23"/>
      <c r="D14" s="23"/>
    </row>
    <row r="15" spans="2:4" ht="12.75">
      <c r="B15" s="35"/>
      <c r="C15" s="23"/>
      <c r="D15" s="23"/>
    </row>
    <row r="16" spans="1:4" ht="12.75">
      <c r="A16" s="405" t="s">
        <v>360</v>
      </c>
      <c r="B16" s="405"/>
      <c r="C16" s="405"/>
      <c r="D16" s="405"/>
    </row>
    <row r="17" spans="1:4" ht="12.75">
      <c r="A17" s="405" t="s">
        <v>252</v>
      </c>
      <c r="B17" s="405"/>
      <c r="C17" s="405"/>
      <c r="D17" s="405"/>
    </row>
    <row r="18" spans="2:4" ht="12.75">
      <c r="B18" s="23"/>
      <c r="C18" s="23"/>
      <c r="D18" s="23"/>
    </row>
    <row r="19" spans="2:4" ht="12.75">
      <c r="B19" s="23"/>
      <c r="C19" s="43" t="s">
        <v>162</v>
      </c>
      <c r="D19" s="43" t="s">
        <v>163</v>
      </c>
    </row>
    <row r="20" spans="3:4" ht="12.75">
      <c r="C20" s="13">
        <f aca="true" t="shared" si="1" ref="C20:D20">C6</f>
        <v>2020</v>
      </c>
      <c r="D20" s="13">
        <f t="shared" si="1"/>
        <v>2021</v>
      </c>
    </row>
    <row r="21" spans="1:4" s="30" customFormat="1" ht="12.75">
      <c r="A21" s="111">
        <v>1</v>
      </c>
      <c r="B21" s="30" t="s">
        <v>196</v>
      </c>
      <c r="C21" s="31">
        <v>0</v>
      </c>
      <c r="D21" s="31">
        <v>0</v>
      </c>
    </row>
    <row r="22" spans="1:4" s="30" customFormat="1" ht="12.75">
      <c r="A22" s="195">
        <v>2</v>
      </c>
      <c r="C22" s="96"/>
      <c r="D22" s="96"/>
    </row>
    <row r="23" spans="1:4" ht="12.75">
      <c r="A23" s="111">
        <v>3</v>
      </c>
      <c r="B23" t="s">
        <v>559</v>
      </c>
      <c r="C23" s="27"/>
      <c r="D23" s="27"/>
    </row>
    <row r="24" spans="1:4" ht="12.75">
      <c r="A24" s="195">
        <v>4</v>
      </c>
      <c r="B24" t="s">
        <v>365</v>
      </c>
      <c r="C24" s="115">
        <v>288052</v>
      </c>
      <c r="D24" s="23">
        <f>+C25</f>
        <v>288052</v>
      </c>
    </row>
    <row r="25" spans="1:4" ht="12.75">
      <c r="A25" s="111">
        <v>5</v>
      </c>
      <c r="B25" t="s">
        <v>366</v>
      </c>
      <c r="C25" s="7">
        <f>+C24+C21</f>
        <v>288052</v>
      </c>
      <c r="D25" s="23">
        <f>+D24+D21</f>
        <v>288052</v>
      </c>
    </row>
    <row r="26" spans="1:4" ht="12.75">
      <c r="A26" s="195">
        <v>6</v>
      </c>
      <c r="B26" s="41" t="s">
        <v>209</v>
      </c>
      <c r="C26" s="23">
        <f>AVERAGE(C24:C25)</f>
        <v>288052</v>
      </c>
      <c r="D26" s="23">
        <f>AVERAGE(D24:D25)</f>
        <v>288052</v>
      </c>
    </row>
    <row r="27" spans="1:4" ht="12.75">
      <c r="A27" s="111">
        <v>7</v>
      </c>
      <c r="B27" s="14"/>
      <c r="C27" s="23"/>
      <c r="D27" s="25"/>
    </row>
    <row r="28" spans="1:4" s="19" customFormat="1" ht="12.75">
      <c r="A28" s="195">
        <v>8</v>
      </c>
      <c r="B28" t="s">
        <v>367</v>
      </c>
      <c r="C28" s="17">
        <f>+C8</f>
        <v>0.009</v>
      </c>
      <c r="D28" s="17">
        <f>+D8</f>
        <v>0.00935</v>
      </c>
    </row>
    <row r="29" spans="1:4" s="19" customFormat="1" ht="12.75">
      <c r="A29" s="111">
        <v>9</v>
      </c>
      <c r="B29" t="s">
        <v>368</v>
      </c>
      <c r="C29" s="7">
        <f>+C28*C26</f>
        <v>2592.468</v>
      </c>
      <c r="D29" s="7">
        <f>+D28*D26</f>
        <v>2693.2862</v>
      </c>
    </row>
    <row r="30" spans="1:2" s="19" customFormat="1" ht="12.75">
      <c r="A30" s="195">
        <v>10</v>
      </c>
      <c r="B30" s="28"/>
    </row>
    <row r="31" spans="1:7" s="30" customFormat="1" ht="12.75">
      <c r="A31" s="111">
        <v>11</v>
      </c>
      <c r="B31" s="30" t="s">
        <v>197</v>
      </c>
      <c r="C31" s="105">
        <f>+'Federal Capital Costs'!D10</f>
        <v>1225</v>
      </c>
      <c r="D31" s="105">
        <f>+'Federal Capital Costs'!E10</f>
        <v>2874</v>
      </c>
      <c r="E31" s="32"/>
      <c r="F31" s="32"/>
      <c r="G31" s="32"/>
    </row>
    <row r="32" ht="12.75">
      <c r="A32" s="195">
        <v>12</v>
      </c>
    </row>
    <row r="33" spans="1:4" ht="12.75">
      <c r="A33" s="111">
        <v>13</v>
      </c>
      <c r="B33" t="s">
        <v>583</v>
      </c>
      <c r="C33" s="23"/>
      <c r="D33" s="40"/>
    </row>
    <row r="34" spans="1:4" ht="12.75">
      <c r="A34" s="195">
        <v>14</v>
      </c>
      <c r="B34" t="s">
        <v>207</v>
      </c>
      <c r="C34" s="243">
        <v>126832</v>
      </c>
      <c r="D34" s="115">
        <f>+C35</f>
        <v>126832</v>
      </c>
    </row>
    <row r="35" spans="1:4" ht="12.75">
      <c r="A35" s="111">
        <v>15</v>
      </c>
      <c r="B35" t="s">
        <v>208</v>
      </c>
      <c r="C35" s="23">
        <f>+C34</f>
        <v>126832</v>
      </c>
      <c r="D35" s="23">
        <f>+D34</f>
        <v>126832</v>
      </c>
    </row>
    <row r="36" spans="1:4" ht="12.75">
      <c r="A36" s="195">
        <v>16</v>
      </c>
      <c r="B36" s="41" t="s">
        <v>209</v>
      </c>
      <c r="C36" s="39">
        <f aca="true" t="shared" si="2" ref="C36:D36">(C34+C35)/2</f>
        <v>126832</v>
      </c>
      <c r="D36" s="39">
        <f t="shared" si="2"/>
        <v>126832</v>
      </c>
    </row>
    <row r="37" spans="1:4" s="30" customFormat="1" ht="12.75">
      <c r="A37" s="111">
        <v>17</v>
      </c>
      <c r="B37" s="30" t="s">
        <v>145</v>
      </c>
      <c r="C37" s="106">
        <f aca="true" t="shared" si="3" ref="C37:D37">C36*C28</f>
        <v>1141.4879999999998</v>
      </c>
      <c r="D37" s="106">
        <f t="shared" si="3"/>
        <v>1185.8792</v>
      </c>
    </row>
    <row r="38" spans="1:4" s="30" customFormat="1" ht="12.75">
      <c r="A38" s="195">
        <v>18</v>
      </c>
      <c r="C38" s="106"/>
      <c r="D38" s="106"/>
    </row>
    <row r="39" ht="12.75">
      <c r="A39" s="111">
        <v>25</v>
      </c>
    </row>
    <row r="40" spans="1:4" ht="12.75">
      <c r="A40" s="195">
        <v>26</v>
      </c>
      <c r="B40" s="33" t="s">
        <v>410</v>
      </c>
      <c r="C40" s="26">
        <f>+C37+C31+C29</f>
        <v>4958.956</v>
      </c>
      <c r="D40" s="26">
        <f>+D37+D31+D29</f>
        <v>6753.1654</v>
      </c>
    </row>
    <row r="42" spans="3:4" ht="12.75">
      <c r="C42" s="23">
        <v>2352.4700000000003</v>
      </c>
      <c r="D42" s="23">
        <v>3315.435</v>
      </c>
    </row>
    <row r="43" spans="3:4" ht="12.75">
      <c r="C43" s="23">
        <f>+C42-C40</f>
        <v>-2606.486</v>
      </c>
      <c r="D43" s="23">
        <f>+D42-D40</f>
        <v>-3437.7304</v>
      </c>
    </row>
    <row r="44" ht="12.75">
      <c r="C44" s="21"/>
    </row>
    <row r="45" spans="2:4" ht="12.75">
      <c r="B45" s="22"/>
      <c r="C45" s="29"/>
      <c r="D45" s="29"/>
    </row>
    <row r="46" spans="3:4" ht="12.75">
      <c r="C46" s="23"/>
      <c r="D46" s="23"/>
    </row>
    <row r="47" spans="1:4" ht="12.75">
      <c r="A47" s="405" t="s">
        <v>360</v>
      </c>
      <c r="B47" s="405"/>
      <c r="C47" s="405"/>
      <c r="D47" s="405"/>
    </row>
    <row r="48" spans="1:4" ht="12.75">
      <c r="A48" s="405" t="s">
        <v>361</v>
      </c>
      <c r="B48" s="405"/>
      <c r="C48" s="405"/>
      <c r="D48" s="405"/>
    </row>
    <row r="49" spans="1:4" ht="12.75">
      <c r="A49" s="405" t="s">
        <v>252</v>
      </c>
      <c r="B49" s="405"/>
      <c r="C49" s="405"/>
      <c r="D49" s="405"/>
    </row>
    <row r="51" spans="3:5" ht="12.75">
      <c r="C51" s="112" t="s">
        <v>162</v>
      </c>
      <c r="D51" s="112" t="s">
        <v>163</v>
      </c>
      <c r="E51" s="396" t="s">
        <v>164</v>
      </c>
    </row>
    <row r="52" ht="12.75">
      <c r="E52" s="396" t="s">
        <v>362</v>
      </c>
    </row>
    <row r="53" spans="3:5" ht="12.75">
      <c r="C53" s="91">
        <v>2020</v>
      </c>
      <c r="D53" s="112">
        <v>2021</v>
      </c>
      <c r="E53" s="396" t="s">
        <v>363</v>
      </c>
    </row>
    <row r="54" spans="1:5" ht="12.75">
      <c r="A54" s="195">
        <v>1</v>
      </c>
      <c r="B54" t="s">
        <v>364</v>
      </c>
      <c r="C54" s="361">
        <v>35222.03224153686</v>
      </c>
      <c r="D54" s="361">
        <v>-43553.545235546335</v>
      </c>
      <c r="E54" s="97"/>
    </row>
    <row r="55" spans="1:5" ht="12.75">
      <c r="A55" s="195">
        <v>2</v>
      </c>
      <c r="C55" s="97"/>
      <c r="D55" s="97"/>
      <c r="E55" s="407"/>
    </row>
    <row r="56" spans="1:5" ht="12.75">
      <c r="A56" s="195">
        <v>3</v>
      </c>
      <c r="B56" t="s">
        <v>559</v>
      </c>
      <c r="C56" s="97"/>
      <c r="D56" s="97"/>
      <c r="E56" s="97"/>
    </row>
    <row r="57" spans="1:5" ht="12.75">
      <c r="A57" s="195">
        <v>4</v>
      </c>
      <c r="B57" t="s">
        <v>365</v>
      </c>
      <c r="C57" s="97">
        <f>+C24</f>
        <v>288052</v>
      </c>
      <c r="D57" s="97">
        <f>+C58</f>
        <v>323274.0322415369</v>
      </c>
      <c r="E57" s="97">
        <f>D58</f>
        <v>279720.4870059906</v>
      </c>
    </row>
    <row r="58" spans="1:5" ht="12.75">
      <c r="A58" s="195">
        <v>5</v>
      </c>
      <c r="B58" t="s">
        <v>366</v>
      </c>
      <c r="C58" s="97">
        <f>C57+C54</f>
        <v>323274.0322415369</v>
      </c>
      <c r="D58" s="97">
        <f>D57+D54</f>
        <v>279720.4870059906</v>
      </c>
      <c r="E58" s="97">
        <f>E57</f>
        <v>279720.4870059906</v>
      </c>
    </row>
    <row r="59" spans="1:5" ht="12.75">
      <c r="A59" s="195">
        <v>6</v>
      </c>
      <c r="B59" s="41" t="s">
        <v>209</v>
      </c>
      <c r="C59" s="97">
        <f>ROUND((C57+C58)*0.5,0)</f>
        <v>305663</v>
      </c>
      <c r="D59" s="97">
        <f>ROUND((D57+D58)*0.5,0)</f>
        <v>301497</v>
      </c>
      <c r="E59" s="97">
        <f>ROUND((E57+E58)*0.5,0)</f>
        <v>279720</v>
      </c>
    </row>
    <row r="60" spans="1:5" ht="12.75">
      <c r="A60" s="195">
        <v>7</v>
      </c>
      <c r="C60" s="97"/>
      <c r="D60" s="97"/>
      <c r="E60" s="97"/>
    </row>
    <row r="61" spans="1:5" ht="12.75">
      <c r="A61" s="195">
        <v>8</v>
      </c>
      <c r="B61" t="s">
        <v>367</v>
      </c>
      <c r="C61" s="99">
        <f>+C28</f>
        <v>0.009</v>
      </c>
      <c r="D61" s="99">
        <f>+D28</f>
        <v>0.00935</v>
      </c>
      <c r="E61" s="99">
        <f>D61</f>
        <v>0.00935</v>
      </c>
    </row>
    <row r="62" spans="1:5" ht="12.75">
      <c r="A62" s="195">
        <v>9</v>
      </c>
      <c r="B62" t="s">
        <v>368</v>
      </c>
      <c r="C62" s="105">
        <f>+C61*C59+450</f>
        <v>3200.9669999999996</v>
      </c>
      <c r="D62" s="105">
        <f>+D61*D59+450</f>
        <v>3268.99695</v>
      </c>
      <c r="E62" s="407">
        <f>ROUND(E59*E61,0)</f>
        <v>2615</v>
      </c>
    </row>
    <row r="63" spans="1:5" ht="12.75">
      <c r="A63" s="195">
        <v>10</v>
      </c>
      <c r="C63" s="100"/>
      <c r="D63" s="100"/>
      <c r="E63" s="100"/>
    </row>
    <row r="64" spans="1:5" ht="12.75">
      <c r="A64" s="195">
        <v>11</v>
      </c>
      <c r="B64" t="s">
        <v>369</v>
      </c>
      <c r="C64" s="101">
        <f>+'Federal Capital Costs'!D10</f>
        <v>1225</v>
      </c>
      <c r="D64" s="101">
        <f>+'Federal Capital Costs'!E10</f>
        <v>2874</v>
      </c>
      <c r="E64" s="101">
        <v>2091</v>
      </c>
    </row>
    <row r="65" spans="1:5" ht="12.75">
      <c r="A65" s="195">
        <v>12</v>
      </c>
      <c r="C65" s="97"/>
      <c r="D65" s="97"/>
      <c r="E65" s="97"/>
    </row>
    <row r="66" spans="1:5" ht="12" customHeight="1">
      <c r="A66" s="195">
        <v>13</v>
      </c>
      <c r="B66" t="s">
        <v>583</v>
      </c>
      <c r="C66" s="102"/>
      <c r="D66" s="102"/>
      <c r="E66" s="102"/>
    </row>
    <row r="67" spans="1:5" ht="12.75">
      <c r="A67" s="195">
        <v>14</v>
      </c>
      <c r="B67" t="s">
        <v>207</v>
      </c>
      <c r="C67" s="97">
        <f>+C34</f>
        <v>126832</v>
      </c>
      <c r="D67" s="97">
        <f>+C68</f>
        <v>126832</v>
      </c>
      <c r="E67" s="97">
        <f>D68</f>
        <v>126832</v>
      </c>
    </row>
    <row r="68" spans="1:5" ht="12.75">
      <c r="A68" s="195">
        <v>15</v>
      </c>
      <c r="B68" t="s">
        <v>208</v>
      </c>
      <c r="C68" s="97">
        <f>+C35</f>
        <v>126832</v>
      </c>
      <c r="D68" s="97">
        <f>+D35</f>
        <v>126832</v>
      </c>
      <c r="E68" s="407">
        <f>E67</f>
        <v>126832</v>
      </c>
    </row>
    <row r="69" spans="1:5" ht="12.75">
      <c r="A69" s="195">
        <v>16</v>
      </c>
      <c r="B69" s="41" t="s">
        <v>209</v>
      </c>
      <c r="C69" s="97">
        <f>+C36</f>
        <v>126832</v>
      </c>
      <c r="D69" s="97">
        <f>+D36</f>
        <v>126832</v>
      </c>
      <c r="E69" s="97">
        <f>E68</f>
        <v>126832</v>
      </c>
    </row>
    <row r="70" spans="1:5" ht="12.75">
      <c r="A70" s="195">
        <v>17</v>
      </c>
      <c r="B70" s="30" t="s">
        <v>145</v>
      </c>
      <c r="C70" s="97">
        <f>+C69*C61</f>
        <v>1141.4879999999998</v>
      </c>
      <c r="D70" s="97">
        <f>+D69*D61</f>
        <v>1185.8792</v>
      </c>
      <c r="E70" s="101">
        <f>E69*E61</f>
        <v>1185.8792</v>
      </c>
    </row>
    <row r="71" ht="10.5" customHeight="1">
      <c r="A71" s="195">
        <v>18</v>
      </c>
    </row>
    <row r="72" spans="1:5" ht="12.75">
      <c r="A72" s="235">
        <v>19</v>
      </c>
      <c r="B72" s="234" t="s">
        <v>374</v>
      </c>
      <c r="C72" s="234"/>
      <c r="D72" s="236"/>
      <c r="E72" s="236"/>
    </row>
    <row r="73" spans="1:5" ht="12.75">
      <c r="A73" s="235">
        <v>20</v>
      </c>
      <c r="B73" s="234" t="s">
        <v>207</v>
      </c>
      <c r="C73" s="236"/>
      <c r="D73" s="236"/>
      <c r="E73" s="236"/>
    </row>
    <row r="74" spans="1:5" ht="12.75">
      <c r="A74" s="235">
        <v>21</v>
      </c>
      <c r="B74" s="237" t="s">
        <v>366</v>
      </c>
      <c r="C74" s="236"/>
      <c r="D74" s="236"/>
      <c r="E74" s="236"/>
    </row>
    <row r="75" spans="1:5" ht="12.75">
      <c r="A75" s="235">
        <v>22</v>
      </c>
      <c r="B75" s="238" t="s">
        <v>209</v>
      </c>
      <c r="C75" s="236"/>
      <c r="D75" s="236"/>
      <c r="E75" s="236"/>
    </row>
    <row r="76" spans="1:5" ht="12.75">
      <c r="A76" s="235">
        <v>24</v>
      </c>
      <c r="B76" s="237" t="s">
        <v>145</v>
      </c>
      <c r="C76" s="239"/>
      <c r="D76" s="239"/>
      <c r="E76" s="239"/>
    </row>
    <row r="77" spans="1:5" ht="12.75">
      <c r="A77" s="235">
        <v>25</v>
      </c>
      <c r="B77" s="234"/>
      <c r="C77" s="234"/>
      <c r="D77" s="234"/>
      <c r="E77" s="234"/>
    </row>
    <row r="78" spans="1:5" ht="12.75">
      <c r="A78" s="195">
        <v>26</v>
      </c>
      <c r="B78" s="30" t="s">
        <v>370</v>
      </c>
      <c r="C78" s="98">
        <f>C62+C64+C70+C76</f>
        <v>5567.455</v>
      </c>
      <c r="D78" s="98">
        <f>D62+D64+D70+D76</f>
        <v>7328.876150000001</v>
      </c>
      <c r="E78" s="407">
        <f>E62+E64+E70+E76</f>
        <v>5891.8792</v>
      </c>
    </row>
    <row r="79" spans="1:5" ht="12.75">
      <c r="A79" s="195">
        <v>27</v>
      </c>
      <c r="E79" s="26"/>
    </row>
    <row r="80" spans="1:5" ht="12.75">
      <c r="A80" s="195">
        <v>28</v>
      </c>
      <c r="B80" s="8" t="s">
        <v>371</v>
      </c>
      <c r="C80" s="113">
        <f>ROUND((C57+C67+C73)*C61,0)</f>
        <v>3734</v>
      </c>
      <c r="D80" s="113">
        <f>ROUND((D57+D67+D73)*D61,0)</f>
        <v>4208</v>
      </c>
      <c r="E80" s="407"/>
    </row>
    <row r="81" spans="1:4" ht="12.75">
      <c r="A81" s="195">
        <v>29</v>
      </c>
      <c r="B81" s="8" t="s">
        <v>372</v>
      </c>
      <c r="C81" s="26">
        <f>C64</f>
        <v>1225</v>
      </c>
      <c r="D81" s="26">
        <f>D64</f>
        <v>2874</v>
      </c>
    </row>
    <row r="82" spans="1:4" ht="12.75">
      <c r="A82" s="195">
        <v>30</v>
      </c>
      <c r="B82" s="114" t="s">
        <v>373</v>
      </c>
      <c r="C82" s="113">
        <f>SUM(C80:C81)</f>
        <v>4959</v>
      </c>
      <c r="D82" s="113">
        <f>SUM(D80:D81)</f>
        <v>7082</v>
      </c>
    </row>
    <row r="86" spans="1:4" ht="12.75">
      <c r="A86" s="405" t="s">
        <v>360</v>
      </c>
      <c r="B86" s="405"/>
      <c r="C86" s="405"/>
      <c r="D86" s="405"/>
    </row>
    <row r="87" spans="1:4" ht="12.75">
      <c r="A87" s="405" t="s">
        <v>375</v>
      </c>
      <c r="B87" s="405"/>
      <c r="C87" s="405"/>
      <c r="D87" s="405"/>
    </row>
    <row r="88" spans="1:4" ht="12.75">
      <c r="A88" s="405" t="s">
        <v>252</v>
      </c>
      <c r="B88" s="405"/>
      <c r="C88" s="405"/>
      <c r="D88" s="405"/>
    </row>
    <row r="90" spans="3:5" ht="12.75">
      <c r="C90" s="112" t="s">
        <v>162</v>
      </c>
      <c r="D90" s="112" t="s">
        <v>163</v>
      </c>
      <c r="E90" s="396" t="s">
        <v>164</v>
      </c>
    </row>
    <row r="91" ht="12.75">
      <c r="E91" s="396" t="s">
        <v>362</v>
      </c>
    </row>
    <row r="92" spans="3:5" ht="12.75">
      <c r="C92" s="103">
        <f>+C53</f>
        <v>2020</v>
      </c>
      <c r="D92" s="112">
        <f>+D53</f>
        <v>2021</v>
      </c>
      <c r="E92" s="396" t="s">
        <v>363</v>
      </c>
    </row>
    <row r="93" spans="1:5" ht="12.75">
      <c r="A93" s="195">
        <v>1</v>
      </c>
      <c r="B93" t="s">
        <v>364</v>
      </c>
      <c r="C93" s="97">
        <f>+'Current Revenue Test'!E92</f>
        <v>-4818.967758463608</v>
      </c>
      <c r="D93" s="97">
        <f>+'Current Revenue Test'!F92</f>
        <v>-33262.545235546335</v>
      </c>
      <c r="E93" s="97"/>
    </row>
    <row r="94" spans="1:5" ht="12.75">
      <c r="A94" s="195">
        <v>2</v>
      </c>
      <c r="C94" s="97"/>
      <c r="D94" s="97"/>
      <c r="E94" s="407"/>
    </row>
    <row r="95" spans="2:5" ht="12.75">
      <c r="B95" t="s">
        <v>560</v>
      </c>
      <c r="C95" s="97"/>
      <c r="D95" s="97"/>
      <c r="E95" s="407"/>
    </row>
    <row r="96" spans="3:5" ht="12.75">
      <c r="C96" s="97"/>
      <c r="D96" s="97"/>
      <c r="E96" s="407"/>
    </row>
    <row r="97" spans="1:5" ht="12.75">
      <c r="A97" s="195">
        <v>3</v>
      </c>
      <c r="B97" t="s">
        <v>559</v>
      </c>
      <c r="C97" s="97"/>
      <c r="D97" s="97"/>
      <c r="E97" s="97"/>
    </row>
    <row r="98" spans="1:5" ht="12.75">
      <c r="A98" s="195">
        <v>4</v>
      </c>
      <c r="B98" t="s">
        <v>365</v>
      </c>
      <c r="C98" s="97">
        <f>+C24</f>
        <v>288052</v>
      </c>
      <c r="D98" s="97">
        <f>+C99</f>
        <v>283233.0322415364</v>
      </c>
      <c r="E98" s="97">
        <f>D99</f>
        <v>249970.4870059901</v>
      </c>
    </row>
    <row r="99" spans="1:5" ht="12.75">
      <c r="A99" s="195">
        <v>5</v>
      </c>
      <c r="B99" t="s">
        <v>366</v>
      </c>
      <c r="C99" s="97">
        <f>C98+C93+C94</f>
        <v>283233.0322415364</v>
      </c>
      <c r="D99" s="97">
        <f>D98+D93+D94</f>
        <v>249970.4870059901</v>
      </c>
      <c r="E99" s="97">
        <f>E98</f>
        <v>249970.4870059901</v>
      </c>
    </row>
    <row r="100" spans="1:5" ht="12.75">
      <c r="A100" s="195">
        <v>6</v>
      </c>
      <c r="B100" s="41" t="s">
        <v>209</v>
      </c>
      <c r="C100" s="97">
        <f>ROUND((C98+C99)*0.5,0)</f>
        <v>285643</v>
      </c>
      <c r="D100" s="97">
        <f>ROUND((D98+D99)*0.5,0)</f>
        <v>266602</v>
      </c>
      <c r="E100" s="97">
        <f>ROUND((E98+E99)*0.5,0)</f>
        <v>249970</v>
      </c>
    </row>
    <row r="101" spans="1:5" ht="12.75">
      <c r="A101" s="195">
        <v>7</v>
      </c>
      <c r="C101" s="97"/>
      <c r="D101" s="97"/>
      <c r="E101" s="97"/>
    </row>
    <row r="102" spans="1:5" ht="12.75">
      <c r="A102" s="195">
        <v>8</v>
      </c>
      <c r="B102" s="30" t="s">
        <v>367</v>
      </c>
      <c r="C102" s="107">
        <f>+C61</f>
        <v>0.009</v>
      </c>
      <c r="D102" s="107">
        <f>+D61</f>
        <v>0.00935</v>
      </c>
      <c r="E102" s="408">
        <f>D102</f>
        <v>0.00935</v>
      </c>
    </row>
    <row r="103" spans="1:5" ht="12.75">
      <c r="A103" s="195">
        <v>9</v>
      </c>
      <c r="B103" s="30" t="s">
        <v>368</v>
      </c>
      <c r="C103" s="98">
        <f>ROUND(C100*C102,0)</f>
        <v>2571</v>
      </c>
      <c r="D103" s="98">
        <f>ROUND(D100*D102,0)</f>
        <v>2493</v>
      </c>
      <c r="E103" s="407">
        <f>ROUND(E100*E102,0)</f>
        <v>2337</v>
      </c>
    </row>
    <row r="104" spans="1:5" ht="12.75">
      <c r="A104" s="195">
        <v>10</v>
      </c>
      <c r="B104" s="30"/>
      <c r="C104" s="98"/>
      <c r="D104" s="98"/>
      <c r="E104" s="407"/>
    </row>
    <row r="105" spans="1:5" ht="12.75">
      <c r="A105" s="195">
        <v>11</v>
      </c>
      <c r="B105" s="30" t="s">
        <v>369</v>
      </c>
      <c r="C105" s="108">
        <f>+C64</f>
        <v>1225</v>
      </c>
      <c r="D105" s="108">
        <f>+D64</f>
        <v>2874</v>
      </c>
      <c r="E105" s="409"/>
    </row>
    <row r="106" spans="1:5" ht="12.75">
      <c r="A106" s="195">
        <v>12</v>
      </c>
      <c r="B106" s="30"/>
      <c r="C106" s="98"/>
      <c r="D106" s="98"/>
      <c r="E106" s="407"/>
    </row>
    <row r="107" spans="1:5" ht="12.75">
      <c r="A107" s="195">
        <v>13</v>
      </c>
      <c r="B107" t="s">
        <v>583</v>
      </c>
      <c r="C107" s="108"/>
      <c r="D107" s="108"/>
      <c r="E107" s="409"/>
    </row>
    <row r="108" spans="1:5" ht="12.75">
      <c r="A108" s="195">
        <v>14</v>
      </c>
      <c r="B108" s="30" t="s">
        <v>207</v>
      </c>
      <c r="C108" s="98">
        <f aca="true" t="shared" si="4" ref="C108:D110">+C67</f>
        <v>126832</v>
      </c>
      <c r="D108" s="98">
        <f t="shared" si="4"/>
        <v>126832</v>
      </c>
      <c r="E108" s="407">
        <f>D109</f>
        <v>126832</v>
      </c>
    </row>
    <row r="109" spans="1:5" ht="12.75">
      <c r="A109" s="195">
        <v>15</v>
      </c>
      <c r="B109" s="30" t="s">
        <v>208</v>
      </c>
      <c r="C109" s="98">
        <f t="shared" si="4"/>
        <v>126832</v>
      </c>
      <c r="D109" s="98">
        <f t="shared" si="4"/>
        <v>126832</v>
      </c>
      <c r="E109" s="407">
        <f>E108</f>
        <v>126832</v>
      </c>
    </row>
    <row r="110" spans="1:5" ht="12.75">
      <c r="A110" s="195">
        <v>16</v>
      </c>
      <c r="B110" s="109" t="s">
        <v>209</v>
      </c>
      <c r="C110" s="98">
        <f t="shared" si="4"/>
        <v>126832</v>
      </c>
      <c r="D110" s="98">
        <f t="shared" si="4"/>
        <v>126832</v>
      </c>
      <c r="E110" s="407">
        <f>E109</f>
        <v>126832</v>
      </c>
    </row>
    <row r="111" spans="1:5" ht="12.75">
      <c r="A111" s="195">
        <v>17</v>
      </c>
      <c r="B111" s="30" t="s">
        <v>145</v>
      </c>
      <c r="C111" s="98">
        <f>+C110*C102</f>
        <v>1141.4879999999998</v>
      </c>
      <c r="D111" s="98">
        <f>+D110*D102</f>
        <v>1185.8792</v>
      </c>
      <c r="E111" s="409">
        <f>E110*E102</f>
        <v>1185.8792</v>
      </c>
    </row>
    <row r="112" spans="1:5" ht="12.75">
      <c r="A112" s="195">
        <v>18</v>
      </c>
      <c r="B112" s="30"/>
      <c r="C112" s="30"/>
      <c r="D112" s="30"/>
      <c r="E112" s="38"/>
    </row>
    <row r="113" spans="1:5" ht="12.75">
      <c r="A113" s="235">
        <v>19</v>
      </c>
      <c r="B113" s="237" t="s">
        <v>374</v>
      </c>
      <c r="C113" s="237"/>
      <c r="D113" s="240"/>
      <c r="E113" s="410"/>
    </row>
    <row r="114" spans="1:5" ht="12.75">
      <c r="A114" s="235">
        <v>20</v>
      </c>
      <c r="B114" s="237" t="s">
        <v>207</v>
      </c>
      <c r="C114" s="240"/>
      <c r="D114" s="240"/>
      <c r="E114" s="410"/>
    </row>
    <row r="115" spans="1:5" ht="12.75">
      <c r="A115" s="235">
        <v>21</v>
      </c>
      <c r="B115" s="237" t="s">
        <v>208</v>
      </c>
      <c r="C115" s="240"/>
      <c r="D115" s="240"/>
      <c r="E115" s="410"/>
    </row>
    <row r="116" spans="1:5" ht="12.75">
      <c r="A116" s="235">
        <v>22</v>
      </c>
      <c r="B116" s="241" t="s">
        <v>209</v>
      </c>
      <c r="C116" s="240"/>
      <c r="D116" s="240"/>
      <c r="E116" s="410"/>
    </row>
    <row r="117" spans="1:5" ht="12.75">
      <c r="A117" s="235">
        <v>24</v>
      </c>
      <c r="B117" s="237" t="s">
        <v>145</v>
      </c>
      <c r="C117" s="242"/>
      <c r="D117" s="242"/>
      <c r="E117" s="411"/>
    </row>
    <row r="118" spans="1:5" ht="12.75">
      <c r="A118" s="235">
        <v>25</v>
      </c>
      <c r="B118" s="237"/>
      <c r="C118" s="239"/>
      <c r="D118" s="239"/>
      <c r="E118" s="239"/>
    </row>
    <row r="119" spans="1:5" ht="12.75">
      <c r="A119" s="195">
        <v>26</v>
      </c>
      <c r="B119" s="30" t="s">
        <v>370</v>
      </c>
      <c r="C119" s="98">
        <f>C103+C105+C111+C117</f>
        <v>4937.487999999999</v>
      </c>
      <c r="D119" s="98">
        <f>D103+D105+D111+D117</f>
        <v>6552.8792</v>
      </c>
      <c r="E119" s="407">
        <f>E103+E105+E111+E117</f>
        <v>3522.8792000000003</v>
      </c>
    </row>
    <row r="120" ht="12.75">
      <c r="A120" s="195">
        <v>27</v>
      </c>
    </row>
    <row r="121" spans="1:5" ht="12.75">
      <c r="A121" s="195">
        <v>28</v>
      </c>
      <c r="B121" s="8" t="s">
        <v>371</v>
      </c>
      <c r="C121" s="113">
        <f>ROUND((C98+C108+C114)*C102,0)</f>
        <v>3734</v>
      </c>
      <c r="D121" s="113">
        <f>ROUND((D98+D108+D114)*D102,0)</f>
        <v>3834</v>
      </c>
      <c r="E121" s="97"/>
    </row>
    <row r="122" spans="1:5" ht="12.75">
      <c r="A122" s="195">
        <v>29</v>
      </c>
      <c r="B122" s="8" t="s">
        <v>372</v>
      </c>
      <c r="C122" s="26">
        <f>C105</f>
        <v>1225</v>
      </c>
      <c r="D122" s="26">
        <f>D105</f>
        <v>2874</v>
      </c>
      <c r="E122" s="97"/>
    </row>
    <row r="123" spans="1:5" ht="12.75">
      <c r="A123" s="195">
        <v>30</v>
      </c>
      <c r="B123" s="114" t="s">
        <v>373</v>
      </c>
      <c r="C123" s="113">
        <f>SUM(C121:C122)</f>
        <v>4959</v>
      </c>
      <c r="D123" s="113">
        <f>SUM(D121:D122)</f>
        <v>6708</v>
      </c>
      <c r="E123" s="97"/>
    </row>
    <row r="131" ht="12.75">
      <c r="B131" s="30"/>
    </row>
    <row r="132" ht="12.75">
      <c r="B132" s="30"/>
    </row>
    <row r="135" spans="3:4" ht="12.75">
      <c r="C135" s="112"/>
      <c r="D135" s="112"/>
    </row>
    <row r="136" spans="3:4" ht="12.75">
      <c r="C136" s="23"/>
      <c r="D136" s="23"/>
    </row>
    <row r="137" spans="2:4" ht="12.75">
      <c r="B137" s="22"/>
      <c r="C137" s="23"/>
      <c r="D137" s="23"/>
    </row>
    <row r="138" spans="3:4" ht="12.75">
      <c r="C138" s="23"/>
      <c r="D138" s="23"/>
    </row>
    <row r="139" spans="3:4" ht="12.75">
      <c r="C139" s="23"/>
      <c r="D139" s="23"/>
    </row>
    <row r="140" spans="1:4" ht="12.75">
      <c r="A140" s="197"/>
      <c r="B140" s="38"/>
      <c r="C140" s="27"/>
      <c r="D140" s="27"/>
    </row>
    <row r="141" spans="3:4" ht="12.75">
      <c r="C141" s="24"/>
      <c r="D141" s="24"/>
    </row>
    <row r="142" spans="2:4" ht="12.75">
      <c r="B142" s="36"/>
      <c r="C142" s="23"/>
      <c r="D142" s="23"/>
    </row>
    <row r="143" spans="3:4" ht="12.75">
      <c r="C143" s="23"/>
      <c r="D143" s="23"/>
    </row>
    <row r="144" spans="2:4" ht="12.75">
      <c r="B144" s="22"/>
      <c r="C144" s="23"/>
      <c r="D144" s="23"/>
    </row>
    <row r="145" spans="2:4" ht="12.75">
      <c r="B145" s="33"/>
      <c r="C145" s="23"/>
      <c r="D145" s="23"/>
    </row>
    <row r="146" spans="2:4" ht="12.75">
      <c r="B146" s="34"/>
      <c r="C146" s="18"/>
      <c r="D146" s="18"/>
    </row>
    <row r="147" spans="2:4" ht="12.75">
      <c r="B147" s="35"/>
      <c r="C147" s="23"/>
      <c r="D147" s="23"/>
    </row>
    <row r="148" spans="2:4" ht="12.75">
      <c r="B148" s="35"/>
      <c r="C148" s="23"/>
      <c r="D148" s="23"/>
    </row>
    <row r="149" spans="2:4" ht="12.75">
      <c r="B149" s="35"/>
      <c r="C149" s="23"/>
      <c r="D149" s="23"/>
    </row>
    <row r="150" spans="2:4" ht="12.75">
      <c r="B150" s="37"/>
      <c r="C150" s="23"/>
      <c r="D150" s="23"/>
    </row>
  </sheetData>
  <mergeCells count="8">
    <mergeCell ref="A16:D16"/>
    <mergeCell ref="A17:D17"/>
    <mergeCell ref="A86:D86"/>
    <mergeCell ref="A87:D87"/>
    <mergeCell ref="A88:D88"/>
    <mergeCell ref="A47:D47"/>
    <mergeCell ref="A49:D49"/>
    <mergeCell ref="A48:D48"/>
  </mergeCells>
  <conditionalFormatting sqref="C146:D146">
    <cfRule type="expression" priority="15" dxfId="0" stopIfTrue="1">
      <formula>IF(AND(C40="",ROW()&lt;MATCH($B:$B,"Revenue Credits / Rate Design Adjustments",0)),TRUE,FALSE)</formula>
    </cfRule>
  </conditionalFormatting>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J24"/>
  <sheetViews>
    <sheetView workbookViewId="0" topLeftCell="A1">
      <selection activeCell="K1" sqref="K1:N1048576"/>
    </sheetView>
  </sheetViews>
  <sheetFormatPr defaultColWidth="9.140625" defaultRowHeight="12.75"/>
  <cols>
    <col min="3" max="3" width="28.57421875" style="0" customWidth="1"/>
    <col min="4" max="4" width="12.8515625" style="0" bestFit="1" customWidth="1"/>
  </cols>
  <sheetData>
    <row r="1" ht="12.75">
      <c r="A1" t="s">
        <v>146</v>
      </c>
    </row>
    <row r="5" spans="4:5" ht="12.75">
      <c r="D5">
        <v>2020</v>
      </c>
      <c r="E5">
        <v>2021</v>
      </c>
    </row>
    <row r="6" spans="3:9" ht="27.75" customHeight="1">
      <c r="C6" t="s">
        <v>358</v>
      </c>
      <c r="D6" s="127">
        <v>0</v>
      </c>
      <c r="E6" s="127">
        <v>0</v>
      </c>
      <c r="I6" s="38"/>
    </row>
    <row r="7" spans="3:10" ht="12.75">
      <c r="C7" t="s">
        <v>359</v>
      </c>
      <c r="D7" s="127">
        <f>21/SUM(21+12.8)</f>
        <v>0.6213017751479291</v>
      </c>
      <c r="E7" s="127">
        <f>21/SUM(21+12.8)</f>
        <v>0.6213017751479291</v>
      </c>
      <c r="I7" s="38"/>
      <c r="J7" s="38"/>
    </row>
    <row r="8" spans="3:9" ht="12.75">
      <c r="C8" s="38" t="s">
        <v>582</v>
      </c>
      <c r="D8" s="9">
        <f>1-D7</f>
        <v>0.37869822485207094</v>
      </c>
      <c r="E8" s="9">
        <f>1-E7</f>
        <v>0.37869822485207094</v>
      </c>
      <c r="I8" s="38"/>
    </row>
    <row r="9" ht="12.75">
      <c r="I9" s="38"/>
    </row>
    <row r="10" ht="12.75">
      <c r="I10" s="38"/>
    </row>
    <row r="18" spans="3:5" ht="12.75">
      <c r="C18" s="1"/>
      <c r="D18" s="2"/>
      <c r="E18" s="2"/>
    </row>
    <row r="19" spans="3:5" ht="12.75">
      <c r="C19" s="1"/>
      <c r="D19" s="2"/>
      <c r="E19" s="2"/>
    </row>
    <row r="20" spans="3:5" ht="12.75">
      <c r="C20" s="1"/>
      <c r="D20" s="2"/>
      <c r="E20" s="2"/>
    </row>
    <row r="21" spans="3:5" ht="12.75">
      <c r="C21" s="1"/>
      <c r="D21" s="2"/>
      <c r="E21" s="2"/>
    </row>
    <row r="22" spans="3:5" ht="12.75">
      <c r="C22" s="1"/>
      <c r="D22" s="2"/>
      <c r="E22" s="2"/>
    </row>
    <row r="23" spans="3:5" ht="12.75">
      <c r="C23" s="1"/>
      <c r="D23" s="2"/>
      <c r="E23" s="2"/>
    </row>
    <row r="24" spans="3:5" ht="12.75">
      <c r="C24" s="1"/>
      <c r="D24" s="2"/>
      <c r="E24" s="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Q145"/>
  <sheetViews>
    <sheetView workbookViewId="0" topLeftCell="A43">
      <selection activeCell="A55" sqref="A55:F87"/>
    </sheetView>
  </sheetViews>
  <sheetFormatPr defaultColWidth="9.140625" defaultRowHeight="12.75"/>
  <cols>
    <col min="1" max="1" width="3.7109375" style="214" customWidth="1"/>
    <col min="2" max="2" width="4.421875" style="214" customWidth="1"/>
    <col min="3" max="3" width="4.28125" style="214" customWidth="1"/>
    <col min="4" max="4" width="58.7109375" style="214" customWidth="1"/>
    <col min="5" max="5" width="11.28125" style="214" customWidth="1"/>
    <col min="6" max="6" width="13.28125" style="214" customWidth="1"/>
    <col min="7" max="7" width="10.421875" style="214" customWidth="1"/>
    <col min="8" max="8" width="9.7109375" style="214" bestFit="1" customWidth="1"/>
    <col min="9" max="9" width="9.57421875" style="214" customWidth="1"/>
    <col min="10" max="10" width="9.140625" style="214" customWidth="1"/>
    <col min="11" max="11" width="4.57421875" style="214" customWidth="1"/>
    <col min="12" max="12" width="6.28125" style="214" customWidth="1"/>
    <col min="13" max="13" width="52.57421875" style="214" bestFit="1" customWidth="1"/>
    <col min="14" max="15" width="10.421875" style="214" bestFit="1" customWidth="1"/>
    <col min="16" max="17" width="11.140625" style="214" bestFit="1" customWidth="1"/>
    <col min="18" max="256" width="9.140625" style="214" customWidth="1"/>
    <col min="257" max="257" width="3.7109375" style="214" customWidth="1"/>
    <col min="258" max="258" width="4.421875" style="214" customWidth="1"/>
    <col min="259" max="259" width="4.28125" style="214" customWidth="1"/>
    <col min="260" max="260" width="58.7109375" style="214" customWidth="1"/>
    <col min="261" max="261" width="11.28125" style="214" customWidth="1"/>
    <col min="262" max="262" width="10.00390625" style="214" customWidth="1"/>
    <col min="263" max="263" width="10.421875" style="214" customWidth="1"/>
    <col min="264" max="264" width="9.7109375" style="214" bestFit="1" customWidth="1"/>
    <col min="265" max="265" width="9.57421875" style="214" customWidth="1"/>
    <col min="266" max="266" width="9.140625" style="214" customWidth="1"/>
    <col min="267" max="270" width="9.7109375" style="214" bestFit="1" customWidth="1"/>
    <col min="271" max="512" width="9.140625" style="214" customWidth="1"/>
    <col min="513" max="513" width="3.7109375" style="214" customWidth="1"/>
    <col min="514" max="514" width="4.421875" style="214" customWidth="1"/>
    <col min="515" max="515" width="4.28125" style="214" customWidth="1"/>
    <col min="516" max="516" width="58.7109375" style="214" customWidth="1"/>
    <col min="517" max="517" width="11.28125" style="214" customWidth="1"/>
    <col min="518" max="518" width="10.00390625" style="214" customWidth="1"/>
    <col min="519" max="519" width="10.421875" style="214" customWidth="1"/>
    <col min="520" max="520" width="9.7109375" style="214" bestFit="1" customWidth="1"/>
    <col min="521" max="521" width="9.57421875" style="214" customWidth="1"/>
    <col min="522" max="522" width="9.140625" style="214" customWidth="1"/>
    <col min="523" max="526" width="9.7109375" style="214" bestFit="1" customWidth="1"/>
    <col min="527" max="768" width="9.140625" style="214" customWidth="1"/>
    <col min="769" max="769" width="3.7109375" style="214" customWidth="1"/>
    <col min="770" max="770" width="4.421875" style="214" customWidth="1"/>
    <col min="771" max="771" width="4.28125" style="214" customWidth="1"/>
    <col min="772" max="772" width="58.7109375" style="214" customWidth="1"/>
    <col min="773" max="773" width="11.28125" style="214" customWidth="1"/>
    <col min="774" max="774" width="10.00390625" style="214" customWidth="1"/>
    <col min="775" max="775" width="10.421875" style="214" customWidth="1"/>
    <col min="776" max="776" width="9.7109375" style="214" bestFit="1" customWidth="1"/>
    <col min="777" max="777" width="9.57421875" style="214" customWidth="1"/>
    <col min="778" max="778" width="9.140625" style="214" customWidth="1"/>
    <col min="779" max="782" width="9.7109375" style="214" bestFit="1" customWidth="1"/>
    <col min="783" max="1024" width="9.140625" style="214" customWidth="1"/>
    <col min="1025" max="1025" width="3.7109375" style="214" customWidth="1"/>
    <col min="1026" max="1026" width="4.421875" style="214" customWidth="1"/>
    <col min="1027" max="1027" width="4.28125" style="214" customWidth="1"/>
    <col min="1028" max="1028" width="58.7109375" style="214" customWidth="1"/>
    <col min="1029" max="1029" width="11.28125" style="214" customWidth="1"/>
    <col min="1030" max="1030" width="10.00390625" style="214" customWidth="1"/>
    <col min="1031" max="1031" width="10.421875" style="214" customWidth="1"/>
    <col min="1032" max="1032" width="9.7109375" style="214" bestFit="1" customWidth="1"/>
    <col min="1033" max="1033" width="9.57421875" style="214" customWidth="1"/>
    <col min="1034" max="1034" width="9.140625" style="214" customWidth="1"/>
    <col min="1035" max="1038" width="9.7109375" style="214" bestFit="1" customWidth="1"/>
    <col min="1039" max="1280" width="9.140625" style="214" customWidth="1"/>
    <col min="1281" max="1281" width="3.7109375" style="214" customWidth="1"/>
    <col min="1282" max="1282" width="4.421875" style="214" customWidth="1"/>
    <col min="1283" max="1283" width="4.28125" style="214" customWidth="1"/>
    <col min="1284" max="1284" width="58.7109375" style="214" customWidth="1"/>
    <col min="1285" max="1285" width="11.28125" style="214" customWidth="1"/>
    <col min="1286" max="1286" width="10.00390625" style="214" customWidth="1"/>
    <col min="1287" max="1287" width="10.421875" style="214" customWidth="1"/>
    <col min="1288" max="1288" width="9.7109375" style="214" bestFit="1" customWidth="1"/>
    <col min="1289" max="1289" width="9.57421875" style="214" customWidth="1"/>
    <col min="1290" max="1290" width="9.140625" style="214" customWidth="1"/>
    <col min="1291" max="1294" width="9.7109375" style="214" bestFit="1" customWidth="1"/>
    <col min="1295" max="1536" width="9.140625" style="214" customWidth="1"/>
    <col min="1537" max="1537" width="3.7109375" style="214" customWidth="1"/>
    <col min="1538" max="1538" width="4.421875" style="214" customWidth="1"/>
    <col min="1539" max="1539" width="4.28125" style="214" customWidth="1"/>
    <col min="1540" max="1540" width="58.7109375" style="214" customWidth="1"/>
    <col min="1541" max="1541" width="11.28125" style="214" customWidth="1"/>
    <col min="1542" max="1542" width="10.00390625" style="214" customWidth="1"/>
    <col min="1543" max="1543" width="10.421875" style="214" customWidth="1"/>
    <col min="1544" max="1544" width="9.7109375" style="214" bestFit="1" customWidth="1"/>
    <col min="1545" max="1545" width="9.57421875" style="214" customWidth="1"/>
    <col min="1546" max="1546" width="9.140625" style="214" customWidth="1"/>
    <col min="1547" max="1550" width="9.7109375" style="214" bestFit="1" customWidth="1"/>
    <col min="1551" max="1792" width="9.140625" style="214" customWidth="1"/>
    <col min="1793" max="1793" width="3.7109375" style="214" customWidth="1"/>
    <col min="1794" max="1794" width="4.421875" style="214" customWidth="1"/>
    <col min="1795" max="1795" width="4.28125" style="214" customWidth="1"/>
    <col min="1796" max="1796" width="58.7109375" style="214" customWidth="1"/>
    <col min="1797" max="1797" width="11.28125" style="214" customWidth="1"/>
    <col min="1798" max="1798" width="10.00390625" style="214" customWidth="1"/>
    <col min="1799" max="1799" width="10.421875" style="214" customWidth="1"/>
    <col min="1800" max="1800" width="9.7109375" style="214" bestFit="1" customWidth="1"/>
    <col min="1801" max="1801" width="9.57421875" style="214" customWidth="1"/>
    <col min="1802" max="1802" width="9.140625" style="214" customWidth="1"/>
    <col min="1803" max="1806" width="9.7109375" style="214" bestFit="1" customWidth="1"/>
    <col min="1807" max="2048" width="9.140625" style="214" customWidth="1"/>
    <col min="2049" max="2049" width="3.7109375" style="214" customWidth="1"/>
    <col min="2050" max="2050" width="4.421875" style="214" customWidth="1"/>
    <col min="2051" max="2051" width="4.28125" style="214" customWidth="1"/>
    <col min="2052" max="2052" width="58.7109375" style="214" customWidth="1"/>
    <col min="2053" max="2053" width="11.28125" style="214" customWidth="1"/>
    <col min="2054" max="2054" width="10.00390625" style="214" customWidth="1"/>
    <col min="2055" max="2055" width="10.421875" style="214" customWidth="1"/>
    <col min="2056" max="2056" width="9.7109375" style="214" bestFit="1" customWidth="1"/>
    <col min="2057" max="2057" width="9.57421875" style="214" customWidth="1"/>
    <col min="2058" max="2058" width="9.140625" style="214" customWidth="1"/>
    <col min="2059" max="2062" width="9.7109375" style="214" bestFit="1" customWidth="1"/>
    <col min="2063" max="2304" width="9.140625" style="214" customWidth="1"/>
    <col min="2305" max="2305" width="3.7109375" style="214" customWidth="1"/>
    <col min="2306" max="2306" width="4.421875" style="214" customWidth="1"/>
    <col min="2307" max="2307" width="4.28125" style="214" customWidth="1"/>
    <col min="2308" max="2308" width="58.7109375" style="214" customWidth="1"/>
    <col min="2309" max="2309" width="11.28125" style="214" customWidth="1"/>
    <col min="2310" max="2310" width="10.00390625" style="214" customWidth="1"/>
    <col min="2311" max="2311" width="10.421875" style="214" customWidth="1"/>
    <col min="2312" max="2312" width="9.7109375" style="214" bestFit="1" customWidth="1"/>
    <col min="2313" max="2313" width="9.57421875" style="214" customWidth="1"/>
    <col min="2314" max="2314" width="9.140625" style="214" customWidth="1"/>
    <col min="2315" max="2318" width="9.7109375" style="214" bestFit="1" customWidth="1"/>
    <col min="2319" max="2560" width="9.140625" style="214" customWidth="1"/>
    <col min="2561" max="2561" width="3.7109375" style="214" customWidth="1"/>
    <col min="2562" max="2562" width="4.421875" style="214" customWidth="1"/>
    <col min="2563" max="2563" width="4.28125" style="214" customWidth="1"/>
    <col min="2564" max="2564" width="58.7109375" style="214" customWidth="1"/>
    <col min="2565" max="2565" width="11.28125" style="214" customWidth="1"/>
    <col min="2566" max="2566" width="10.00390625" style="214" customWidth="1"/>
    <col min="2567" max="2567" width="10.421875" style="214" customWidth="1"/>
    <col min="2568" max="2568" width="9.7109375" style="214" bestFit="1" customWidth="1"/>
    <col min="2569" max="2569" width="9.57421875" style="214" customWidth="1"/>
    <col min="2570" max="2570" width="9.140625" style="214" customWidth="1"/>
    <col min="2571" max="2574" width="9.7109375" style="214" bestFit="1" customWidth="1"/>
    <col min="2575" max="2816" width="9.140625" style="214" customWidth="1"/>
    <col min="2817" max="2817" width="3.7109375" style="214" customWidth="1"/>
    <col min="2818" max="2818" width="4.421875" style="214" customWidth="1"/>
    <col min="2819" max="2819" width="4.28125" style="214" customWidth="1"/>
    <col min="2820" max="2820" width="58.7109375" style="214" customWidth="1"/>
    <col min="2821" max="2821" width="11.28125" style="214" customWidth="1"/>
    <col min="2822" max="2822" width="10.00390625" style="214" customWidth="1"/>
    <col min="2823" max="2823" width="10.421875" style="214" customWidth="1"/>
    <col min="2824" max="2824" width="9.7109375" style="214" bestFit="1" customWidth="1"/>
    <col min="2825" max="2825" width="9.57421875" style="214" customWidth="1"/>
    <col min="2826" max="2826" width="9.140625" style="214" customWidth="1"/>
    <col min="2827" max="2830" width="9.7109375" style="214" bestFit="1" customWidth="1"/>
    <col min="2831" max="3072" width="9.140625" style="214" customWidth="1"/>
    <col min="3073" max="3073" width="3.7109375" style="214" customWidth="1"/>
    <col min="3074" max="3074" width="4.421875" style="214" customWidth="1"/>
    <col min="3075" max="3075" width="4.28125" style="214" customWidth="1"/>
    <col min="3076" max="3076" width="58.7109375" style="214" customWidth="1"/>
    <col min="3077" max="3077" width="11.28125" style="214" customWidth="1"/>
    <col min="3078" max="3078" width="10.00390625" style="214" customWidth="1"/>
    <col min="3079" max="3079" width="10.421875" style="214" customWidth="1"/>
    <col min="3080" max="3080" width="9.7109375" style="214" bestFit="1" customWidth="1"/>
    <col min="3081" max="3081" width="9.57421875" style="214" customWidth="1"/>
    <col min="3082" max="3082" width="9.140625" style="214" customWidth="1"/>
    <col min="3083" max="3086" width="9.7109375" style="214" bestFit="1" customWidth="1"/>
    <col min="3087" max="3328" width="9.140625" style="214" customWidth="1"/>
    <col min="3329" max="3329" width="3.7109375" style="214" customWidth="1"/>
    <col min="3330" max="3330" width="4.421875" style="214" customWidth="1"/>
    <col min="3331" max="3331" width="4.28125" style="214" customWidth="1"/>
    <col min="3332" max="3332" width="58.7109375" style="214" customWidth="1"/>
    <col min="3333" max="3333" width="11.28125" style="214" customWidth="1"/>
    <col min="3334" max="3334" width="10.00390625" style="214" customWidth="1"/>
    <col min="3335" max="3335" width="10.421875" style="214" customWidth="1"/>
    <col min="3336" max="3336" width="9.7109375" style="214" bestFit="1" customWidth="1"/>
    <col min="3337" max="3337" width="9.57421875" style="214" customWidth="1"/>
    <col min="3338" max="3338" width="9.140625" style="214" customWidth="1"/>
    <col min="3339" max="3342" width="9.7109375" style="214" bestFit="1" customWidth="1"/>
    <col min="3343" max="3584" width="9.140625" style="214" customWidth="1"/>
    <col min="3585" max="3585" width="3.7109375" style="214" customWidth="1"/>
    <col min="3586" max="3586" width="4.421875" style="214" customWidth="1"/>
    <col min="3587" max="3587" width="4.28125" style="214" customWidth="1"/>
    <col min="3588" max="3588" width="58.7109375" style="214" customWidth="1"/>
    <col min="3589" max="3589" width="11.28125" style="214" customWidth="1"/>
    <col min="3590" max="3590" width="10.00390625" style="214" customWidth="1"/>
    <col min="3591" max="3591" width="10.421875" style="214" customWidth="1"/>
    <col min="3592" max="3592" width="9.7109375" style="214" bestFit="1" customWidth="1"/>
    <col min="3593" max="3593" width="9.57421875" style="214" customWidth="1"/>
    <col min="3594" max="3594" width="9.140625" style="214" customWidth="1"/>
    <col min="3595" max="3598" width="9.7109375" style="214" bestFit="1" customWidth="1"/>
    <col min="3599" max="3840" width="9.140625" style="214" customWidth="1"/>
    <col min="3841" max="3841" width="3.7109375" style="214" customWidth="1"/>
    <col min="3842" max="3842" width="4.421875" style="214" customWidth="1"/>
    <col min="3843" max="3843" width="4.28125" style="214" customWidth="1"/>
    <col min="3844" max="3844" width="58.7109375" style="214" customWidth="1"/>
    <col min="3845" max="3845" width="11.28125" style="214" customWidth="1"/>
    <col min="3846" max="3846" width="10.00390625" style="214" customWidth="1"/>
    <col min="3847" max="3847" width="10.421875" style="214" customWidth="1"/>
    <col min="3848" max="3848" width="9.7109375" style="214" bestFit="1" customWidth="1"/>
    <col min="3849" max="3849" width="9.57421875" style="214" customWidth="1"/>
    <col min="3850" max="3850" width="9.140625" style="214" customWidth="1"/>
    <col min="3851" max="3854" width="9.7109375" style="214" bestFit="1" customWidth="1"/>
    <col min="3855" max="4096" width="9.140625" style="214" customWidth="1"/>
    <col min="4097" max="4097" width="3.7109375" style="214" customWidth="1"/>
    <col min="4098" max="4098" width="4.421875" style="214" customWidth="1"/>
    <col min="4099" max="4099" width="4.28125" style="214" customWidth="1"/>
    <col min="4100" max="4100" width="58.7109375" style="214" customWidth="1"/>
    <col min="4101" max="4101" width="11.28125" style="214" customWidth="1"/>
    <col min="4102" max="4102" width="10.00390625" style="214" customWidth="1"/>
    <col min="4103" max="4103" width="10.421875" style="214" customWidth="1"/>
    <col min="4104" max="4104" width="9.7109375" style="214" bestFit="1" customWidth="1"/>
    <col min="4105" max="4105" width="9.57421875" style="214" customWidth="1"/>
    <col min="4106" max="4106" width="9.140625" style="214" customWidth="1"/>
    <col min="4107" max="4110" width="9.7109375" style="214" bestFit="1" customWidth="1"/>
    <col min="4111" max="4352" width="9.140625" style="214" customWidth="1"/>
    <col min="4353" max="4353" width="3.7109375" style="214" customWidth="1"/>
    <col min="4354" max="4354" width="4.421875" style="214" customWidth="1"/>
    <col min="4355" max="4355" width="4.28125" style="214" customWidth="1"/>
    <col min="4356" max="4356" width="58.7109375" style="214" customWidth="1"/>
    <col min="4357" max="4357" width="11.28125" style="214" customWidth="1"/>
    <col min="4358" max="4358" width="10.00390625" style="214" customWidth="1"/>
    <col min="4359" max="4359" width="10.421875" style="214" customWidth="1"/>
    <col min="4360" max="4360" width="9.7109375" style="214" bestFit="1" customWidth="1"/>
    <col min="4361" max="4361" width="9.57421875" style="214" customWidth="1"/>
    <col min="4362" max="4362" width="9.140625" style="214" customWidth="1"/>
    <col min="4363" max="4366" width="9.7109375" style="214" bestFit="1" customWidth="1"/>
    <col min="4367" max="4608" width="9.140625" style="214" customWidth="1"/>
    <col min="4609" max="4609" width="3.7109375" style="214" customWidth="1"/>
    <col min="4610" max="4610" width="4.421875" style="214" customWidth="1"/>
    <col min="4611" max="4611" width="4.28125" style="214" customWidth="1"/>
    <col min="4612" max="4612" width="58.7109375" style="214" customWidth="1"/>
    <col min="4613" max="4613" width="11.28125" style="214" customWidth="1"/>
    <col min="4614" max="4614" width="10.00390625" style="214" customWidth="1"/>
    <col min="4615" max="4615" width="10.421875" style="214" customWidth="1"/>
    <col min="4616" max="4616" width="9.7109375" style="214" bestFit="1" customWidth="1"/>
    <col min="4617" max="4617" width="9.57421875" style="214" customWidth="1"/>
    <col min="4618" max="4618" width="9.140625" style="214" customWidth="1"/>
    <col min="4619" max="4622" width="9.7109375" style="214" bestFit="1" customWidth="1"/>
    <col min="4623" max="4864" width="9.140625" style="214" customWidth="1"/>
    <col min="4865" max="4865" width="3.7109375" style="214" customWidth="1"/>
    <col min="4866" max="4866" width="4.421875" style="214" customWidth="1"/>
    <col min="4867" max="4867" width="4.28125" style="214" customWidth="1"/>
    <col min="4868" max="4868" width="58.7109375" style="214" customWidth="1"/>
    <col min="4869" max="4869" width="11.28125" style="214" customWidth="1"/>
    <col min="4870" max="4870" width="10.00390625" style="214" customWidth="1"/>
    <col min="4871" max="4871" width="10.421875" style="214" customWidth="1"/>
    <col min="4872" max="4872" width="9.7109375" style="214" bestFit="1" customWidth="1"/>
    <col min="4873" max="4873" width="9.57421875" style="214" customWidth="1"/>
    <col min="4874" max="4874" width="9.140625" style="214" customWidth="1"/>
    <col min="4875" max="4878" width="9.7109375" style="214" bestFit="1" customWidth="1"/>
    <col min="4879" max="5120" width="9.140625" style="214" customWidth="1"/>
    <col min="5121" max="5121" width="3.7109375" style="214" customWidth="1"/>
    <col min="5122" max="5122" width="4.421875" style="214" customWidth="1"/>
    <col min="5123" max="5123" width="4.28125" style="214" customWidth="1"/>
    <col min="5124" max="5124" width="58.7109375" style="214" customWidth="1"/>
    <col min="5125" max="5125" width="11.28125" style="214" customWidth="1"/>
    <col min="5126" max="5126" width="10.00390625" style="214" customWidth="1"/>
    <col min="5127" max="5127" width="10.421875" style="214" customWidth="1"/>
    <col min="5128" max="5128" width="9.7109375" style="214" bestFit="1" customWidth="1"/>
    <col min="5129" max="5129" width="9.57421875" style="214" customWidth="1"/>
    <col min="5130" max="5130" width="9.140625" style="214" customWidth="1"/>
    <col min="5131" max="5134" width="9.7109375" style="214" bestFit="1" customWidth="1"/>
    <col min="5135" max="5376" width="9.140625" style="214" customWidth="1"/>
    <col min="5377" max="5377" width="3.7109375" style="214" customWidth="1"/>
    <col min="5378" max="5378" width="4.421875" style="214" customWidth="1"/>
    <col min="5379" max="5379" width="4.28125" style="214" customWidth="1"/>
    <col min="5380" max="5380" width="58.7109375" style="214" customWidth="1"/>
    <col min="5381" max="5381" width="11.28125" style="214" customWidth="1"/>
    <col min="5382" max="5382" width="10.00390625" style="214" customWidth="1"/>
    <col min="5383" max="5383" width="10.421875" style="214" customWidth="1"/>
    <col min="5384" max="5384" width="9.7109375" style="214" bestFit="1" customWidth="1"/>
    <col min="5385" max="5385" width="9.57421875" style="214" customWidth="1"/>
    <col min="5386" max="5386" width="9.140625" style="214" customWidth="1"/>
    <col min="5387" max="5390" width="9.7109375" style="214" bestFit="1" customWidth="1"/>
    <col min="5391" max="5632" width="9.140625" style="214" customWidth="1"/>
    <col min="5633" max="5633" width="3.7109375" style="214" customWidth="1"/>
    <col min="5634" max="5634" width="4.421875" style="214" customWidth="1"/>
    <col min="5635" max="5635" width="4.28125" style="214" customWidth="1"/>
    <col min="5636" max="5636" width="58.7109375" style="214" customWidth="1"/>
    <col min="5637" max="5637" width="11.28125" style="214" customWidth="1"/>
    <col min="5638" max="5638" width="10.00390625" style="214" customWidth="1"/>
    <col min="5639" max="5639" width="10.421875" style="214" customWidth="1"/>
    <col min="5640" max="5640" width="9.7109375" style="214" bestFit="1" customWidth="1"/>
    <col min="5641" max="5641" width="9.57421875" style="214" customWidth="1"/>
    <col min="5642" max="5642" width="9.140625" style="214" customWidth="1"/>
    <col min="5643" max="5646" width="9.7109375" style="214" bestFit="1" customWidth="1"/>
    <col min="5647" max="5888" width="9.140625" style="214" customWidth="1"/>
    <col min="5889" max="5889" width="3.7109375" style="214" customWidth="1"/>
    <col min="5890" max="5890" width="4.421875" style="214" customWidth="1"/>
    <col min="5891" max="5891" width="4.28125" style="214" customWidth="1"/>
    <col min="5892" max="5892" width="58.7109375" style="214" customWidth="1"/>
    <col min="5893" max="5893" width="11.28125" style="214" customWidth="1"/>
    <col min="5894" max="5894" width="10.00390625" style="214" customWidth="1"/>
    <col min="5895" max="5895" width="10.421875" style="214" customWidth="1"/>
    <col min="5896" max="5896" width="9.7109375" style="214" bestFit="1" customWidth="1"/>
    <col min="5897" max="5897" width="9.57421875" style="214" customWidth="1"/>
    <col min="5898" max="5898" width="9.140625" style="214" customWidth="1"/>
    <col min="5899" max="5902" width="9.7109375" style="214" bestFit="1" customWidth="1"/>
    <col min="5903" max="6144" width="9.140625" style="214" customWidth="1"/>
    <col min="6145" max="6145" width="3.7109375" style="214" customWidth="1"/>
    <col min="6146" max="6146" width="4.421875" style="214" customWidth="1"/>
    <col min="6147" max="6147" width="4.28125" style="214" customWidth="1"/>
    <col min="6148" max="6148" width="58.7109375" style="214" customWidth="1"/>
    <col min="6149" max="6149" width="11.28125" style="214" customWidth="1"/>
    <col min="6150" max="6150" width="10.00390625" style="214" customWidth="1"/>
    <col min="6151" max="6151" width="10.421875" style="214" customWidth="1"/>
    <col min="6152" max="6152" width="9.7109375" style="214" bestFit="1" customWidth="1"/>
    <col min="6153" max="6153" width="9.57421875" style="214" customWidth="1"/>
    <col min="6154" max="6154" width="9.140625" style="214" customWidth="1"/>
    <col min="6155" max="6158" width="9.7109375" style="214" bestFit="1" customWidth="1"/>
    <col min="6159" max="6400" width="9.140625" style="214" customWidth="1"/>
    <col min="6401" max="6401" width="3.7109375" style="214" customWidth="1"/>
    <col min="6402" max="6402" width="4.421875" style="214" customWidth="1"/>
    <col min="6403" max="6403" width="4.28125" style="214" customWidth="1"/>
    <col min="6404" max="6404" width="58.7109375" style="214" customWidth="1"/>
    <col min="6405" max="6405" width="11.28125" style="214" customWidth="1"/>
    <col min="6406" max="6406" width="10.00390625" style="214" customWidth="1"/>
    <col min="6407" max="6407" width="10.421875" style="214" customWidth="1"/>
    <col min="6408" max="6408" width="9.7109375" style="214" bestFit="1" customWidth="1"/>
    <col min="6409" max="6409" width="9.57421875" style="214" customWidth="1"/>
    <col min="6410" max="6410" width="9.140625" style="214" customWidth="1"/>
    <col min="6411" max="6414" width="9.7109375" style="214" bestFit="1" customWidth="1"/>
    <col min="6415" max="6656" width="9.140625" style="214" customWidth="1"/>
    <col min="6657" max="6657" width="3.7109375" style="214" customWidth="1"/>
    <col min="6658" max="6658" width="4.421875" style="214" customWidth="1"/>
    <col min="6659" max="6659" width="4.28125" style="214" customWidth="1"/>
    <col min="6660" max="6660" width="58.7109375" style="214" customWidth="1"/>
    <col min="6661" max="6661" width="11.28125" style="214" customWidth="1"/>
    <col min="6662" max="6662" width="10.00390625" style="214" customWidth="1"/>
    <col min="6663" max="6663" width="10.421875" style="214" customWidth="1"/>
    <col min="6664" max="6664" width="9.7109375" style="214" bestFit="1" customWidth="1"/>
    <col min="6665" max="6665" width="9.57421875" style="214" customWidth="1"/>
    <col min="6666" max="6666" width="9.140625" style="214" customWidth="1"/>
    <col min="6667" max="6670" width="9.7109375" style="214" bestFit="1" customWidth="1"/>
    <col min="6671" max="6912" width="9.140625" style="214" customWidth="1"/>
    <col min="6913" max="6913" width="3.7109375" style="214" customWidth="1"/>
    <col min="6914" max="6914" width="4.421875" style="214" customWidth="1"/>
    <col min="6915" max="6915" width="4.28125" style="214" customWidth="1"/>
    <col min="6916" max="6916" width="58.7109375" style="214" customWidth="1"/>
    <col min="6917" max="6917" width="11.28125" style="214" customWidth="1"/>
    <col min="6918" max="6918" width="10.00390625" style="214" customWidth="1"/>
    <col min="6919" max="6919" width="10.421875" style="214" customWidth="1"/>
    <col min="6920" max="6920" width="9.7109375" style="214" bestFit="1" customWidth="1"/>
    <col min="6921" max="6921" width="9.57421875" style="214" customWidth="1"/>
    <col min="6922" max="6922" width="9.140625" style="214" customWidth="1"/>
    <col min="6923" max="6926" width="9.7109375" style="214" bestFit="1" customWidth="1"/>
    <col min="6927" max="7168" width="9.140625" style="214" customWidth="1"/>
    <col min="7169" max="7169" width="3.7109375" style="214" customWidth="1"/>
    <col min="7170" max="7170" width="4.421875" style="214" customWidth="1"/>
    <col min="7171" max="7171" width="4.28125" style="214" customWidth="1"/>
    <col min="7172" max="7172" width="58.7109375" style="214" customWidth="1"/>
    <col min="7173" max="7173" width="11.28125" style="214" customWidth="1"/>
    <col min="7174" max="7174" width="10.00390625" style="214" customWidth="1"/>
    <col min="7175" max="7175" width="10.421875" style="214" customWidth="1"/>
    <col min="7176" max="7176" width="9.7109375" style="214" bestFit="1" customWidth="1"/>
    <col min="7177" max="7177" width="9.57421875" style="214" customWidth="1"/>
    <col min="7178" max="7178" width="9.140625" style="214" customWidth="1"/>
    <col min="7179" max="7182" width="9.7109375" style="214" bestFit="1" customWidth="1"/>
    <col min="7183" max="7424" width="9.140625" style="214" customWidth="1"/>
    <col min="7425" max="7425" width="3.7109375" style="214" customWidth="1"/>
    <col min="7426" max="7426" width="4.421875" style="214" customWidth="1"/>
    <col min="7427" max="7427" width="4.28125" style="214" customWidth="1"/>
    <col min="7428" max="7428" width="58.7109375" style="214" customWidth="1"/>
    <col min="7429" max="7429" width="11.28125" style="214" customWidth="1"/>
    <col min="7430" max="7430" width="10.00390625" style="214" customWidth="1"/>
    <col min="7431" max="7431" width="10.421875" style="214" customWidth="1"/>
    <col min="7432" max="7432" width="9.7109375" style="214" bestFit="1" customWidth="1"/>
    <col min="7433" max="7433" width="9.57421875" style="214" customWidth="1"/>
    <col min="7434" max="7434" width="9.140625" style="214" customWidth="1"/>
    <col min="7435" max="7438" width="9.7109375" style="214" bestFit="1" customWidth="1"/>
    <col min="7439" max="7680" width="9.140625" style="214" customWidth="1"/>
    <col min="7681" max="7681" width="3.7109375" style="214" customWidth="1"/>
    <col min="7682" max="7682" width="4.421875" style="214" customWidth="1"/>
    <col min="7683" max="7683" width="4.28125" style="214" customWidth="1"/>
    <col min="7684" max="7684" width="58.7109375" style="214" customWidth="1"/>
    <col min="7685" max="7685" width="11.28125" style="214" customWidth="1"/>
    <col min="7686" max="7686" width="10.00390625" style="214" customWidth="1"/>
    <col min="7687" max="7687" width="10.421875" style="214" customWidth="1"/>
    <col min="7688" max="7688" width="9.7109375" style="214" bestFit="1" customWidth="1"/>
    <col min="7689" max="7689" width="9.57421875" style="214" customWidth="1"/>
    <col min="7690" max="7690" width="9.140625" style="214" customWidth="1"/>
    <col min="7691" max="7694" width="9.7109375" style="214" bestFit="1" customWidth="1"/>
    <col min="7695" max="7936" width="9.140625" style="214" customWidth="1"/>
    <col min="7937" max="7937" width="3.7109375" style="214" customWidth="1"/>
    <col min="7938" max="7938" width="4.421875" style="214" customWidth="1"/>
    <col min="7939" max="7939" width="4.28125" style="214" customWidth="1"/>
    <col min="7940" max="7940" width="58.7109375" style="214" customWidth="1"/>
    <col min="7941" max="7941" width="11.28125" style="214" customWidth="1"/>
    <col min="7942" max="7942" width="10.00390625" style="214" customWidth="1"/>
    <col min="7943" max="7943" width="10.421875" style="214" customWidth="1"/>
    <col min="7944" max="7944" width="9.7109375" style="214" bestFit="1" customWidth="1"/>
    <col min="7945" max="7945" width="9.57421875" style="214" customWidth="1"/>
    <col min="7946" max="7946" width="9.140625" style="214" customWidth="1"/>
    <col min="7947" max="7950" width="9.7109375" style="214" bestFit="1" customWidth="1"/>
    <col min="7951" max="8192" width="9.140625" style="214" customWidth="1"/>
    <col min="8193" max="8193" width="3.7109375" style="214" customWidth="1"/>
    <col min="8194" max="8194" width="4.421875" style="214" customWidth="1"/>
    <col min="8195" max="8195" width="4.28125" style="214" customWidth="1"/>
    <col min="8196" max="8196" width="58.7109375" style="214" customWidth="1"/>
    <col min="8197" max="8197" width="11.28125" style="214" customWidth="1"/>
    <col min="8198" max="8198" width="10.00390625" style="214" customWidth="1"/>
    <col min="8199" max="8199" width="10.421875" style="214" customWidth="1"/>
    <col min="8200" max="8200" width="9.7109375" style="214" bestFit="1" customWidth="1"/>
    <col min="8201" max="8201" width="9.57421875" style="214" customWidth="1"/>
    <col min="8202" max="8202" width="9.140625" style="214" customWidth="1"/>
    <col min="8203" max="8206" width="9.7109375" style="214" bestFit="1" customWidth="1"/>
    <col min="8207" max="8448" width="9.140625" style="214" customWidth="1"/>
    <col min="8449" max="8449" width="3.7109375" style="214" customWidth="1"/>
    <col min="8450" max="8450" width="4.421875" style="214" customWidth="1"/>
    <col min="8451" max="8451" width="4.28125" style="214" customWidth="1"/>
    <col min="8452" max="8452" width="58.7109375" style="214" customWidth="1"/>
    <col min="8453" max="8453" width="11.28125" style="214" customWidth="1"/>
    <col min="8454" max="8454" width="10.00390625" style="214" customWidth="1"/>
    <col min="8455" max="8455" width="10.421875" style="214" customWidth="1"/>
    <col min="8456" max="8456" width="9.7109375" style="214" bestFit="1" customWidth="1"/>
    <col min="8457" max="8457" width="9.57421875" style="214" customWidth="1"/>
    <col min="8458" max="8458" width="9.140625" style="214" customWidth="1"/>
    <col min="8459" max="8462" width="9.7109375" style="214" bestFit="1" customWidth="1"/>
    <col min="8463" max="8704" width="9.140625" style="214" customWidth="1"/>
    <col min="8705" max="8705" width="3.7109375" style="214" customWidth="1"/>
    <col min="8706" max="8706" width="4.421875" style="214" customWidth="1"/>
    <col min="8707" max="8707" width="4.28125" style="214" customWidth="1"/>
    <col min="8708" max="8708" width="58.7109375" style="214" customWidth="1"/>
    <col min="8709" max="8709" width="11.28125" style="214" customWidth="1"/>
    <col min="8710" max="8710" width="10.00390625" style="214" customWidth="1"/>
    <col min="8711" max="8711" width="10.421875" style="214" customWidth="1"/>
    <col min="8712" max="8712" width="9.7109375" style="214" bestFit="1" customWidth="1"/>
    <col min="8713" max="8713" width="9.57421875" style="214" customWidth="1"/>
    <col min="8714" max="8714" width="9.140625" style="214" customWidth="1"/>
    <col min="8715" max="8718" width="9.7109375" style="214" bestFit="1" customWidth="1"/>
    <col min="8719" max="8960" width="9.140625" style="214" customWidth="1"/>
    <col min="8961" max="8961" width="3.7109375" style="214" customWidth="1"/>
    <col min="8962" max="8962" width="4.421875" style="214" customWidth="1"/>
    <col min="8963" max="8963" width="4.28125" style="214" customWidth="1"/>
    <col min="8964" max="8964" width="58.7109375" style="214" customWidth="1"/>
    <col min="8965" max="8965" width="11.28125" style="214" customWidth="1"/>
    <col min="8966" max="8966" width="10.00390625" style="214" customWidth="1"/>
    <col min="8967" max="8967" width="10.421875" style="214" customWidth="1"/>
    <col min="8968" max="8968" width="9.7109375" style="214" bestFit="1" customWidth="1"/>
    <col min="8969" max="8969" width="9.57421875" style="214" customWidth="1"/>
    <col min="8970" max="8970" width="9.140625" style="214" customWidth="1"/>
    <col min="8971" max="8974" width="9.7109375" style="214" bestFit="1" customWidth="1"/>
    <col min="8975" max="9216" width="9.140625" style="214" customWidth="1"/>
    <col min="9217" max="9217" width="3.7109375" style="214" customWidth="1"/>
    <col min="9218" max="9218" width="4.421875" style="214" customWidth="1"/>
    <col min="9219" max="9219" width="4.28125" style="214" customWidth="1"/>
    <col min="9220" max="9220" width="58.7109375" style="214" customWidth="1"/>
    <col min="9221" max="9221" width="11.28125" style="214" customWidth="1"/>
    <col min="9222" max="9222" width="10.00390625" style="214" customWidth="1"/>
    <col min="9223" max="9223" width="10.421875" style="214" customWidth="1"/>
    <col min="9224" max="9224" width="9.7109375" style="214" bestFit="1" customWidth="1"/>
    <col min="9225" max="9225" width="9.57421875" style="214" customWidth="1"/>
    <col min="9226" max="9226" width="9.140625" style="214" customWidth="1"/>
    <col min="9227" max="9230" width="9.7109375" style="214" bestFit="1" customWidth="1"/>
    <col min="9231" max="9472" width="9.140625" style="214" customWidth="1"/>
    <col min="9473" max="9473" width="3.7109375" style="214" customWidth="1"/>
    <col min="9474" max="9474" width="4.421875" style="214" customWidth="1"/>
    <col min="9475" max="9475" width="4.28125" style="214" customWidth="1"/>
    <col min="9476" max="9476" width="58.7109375" style="214" customWidth="1"/>
    <col min="9477" max="9477" width="11.28125" style="214" customWidth="1"/>
    <col min="9478" max="9478" width="10.00390625" style="214" customWidth="1"/>
    <col min="9479" max="9479" width="10.421875" style="214" customWidth="1"/>
    <col min="9480" max="9480" width="9.7109375" style="214" bestFit="1" customWidth="1"/>
    <col min="9481" max="9481" width="9.57421875" style="214" customWidth="1"/>
    <col min="9482" max="9482" width="9.140625" style="214" customWidth="1"/>
    <col min="9483" max="9486" width="9.7109375" style="214" bestFit="1" customWidth="1"/>
    <col min="9487" max="9728" width="9.140625" style="214" customWidth="1"/>
    <col min="9729" max="9729" width="3.7109375" style="214" customWidth="1"/>
    <col min="9730" max="9730" width="4.421875" style="214" customWidth="1"/>
    <col min="9731" max="9731" width="4.28125" style="214" customWidth="1"/>
    <col min="9732" max="9732" width="58.7109375" style="214" customWidth="1"/>
    <col min="9733" max="9733" width="11.28125" style="214" customWidth="1"/>
    <col min="9734" max="9734" width="10.00390625" style="214" customWidth="1"/>
    <col min="9735" max="9735" width="10.421875" style="214" customWidth="1"/>
    <col min="9736" max="9736" width="9.7109375" style="214" bestFit="1" customWidth="1"/>
    <col min="9737" max="9737" width="9.57421875" style="214" customWidth="1"/>
    <col min="9738" max="9738" width="9.140625" style="214" customWidth="1"/>
    <col min="9739" max="9742" width="9.7109375" style="214" bestFit="1" customWidth="1"/>
    <col min="9743" max="9984" width="9.140625" style="214" customWidth="1"/>
    <col min="9985" max="9985" width="3.7109375" style="214" customWidth="1"/>
    <col min="9986" max="9986" width="4.421875" style="214" customWidth="1"/>
    <col min="9987" max="9987" width="4.28125" style="214" customWidth="1"/>
    <col min="9988" max="9988" width="58.7109375" style="214" customWidth="1"/>
    <col min="9989" max="9989" width="11.28125" style="214" customWidth="1"/>
    <col min="9990" max="9990" width="10.00390625" style="214" customWidth="1"/>
    <col min="9991" max="9991" width="10.421875" style="214" customWidth="1"/>
    <col min="9992" max="9992" width="9.7109375" style="214" bestFit="1" customWidth="1"/>
    <col min="9993" max="9993" width="9.57421875" style="214" customWidth="1"/>
    <col min="9994" max="9994" width="9.140625" style="214" customWidth="1"/>
    <col min="9995" max="9998" width="9.7109375" style="214" bestFit="1" customWidth="1"/>
    <col min="9999" max="10240" width="9.140625" style="214" customWidth="1"/>
    <col min="10241" max="10241" width="3.7109375" style="214" customWidth="1"/>
    <col min="10242" max="10242" width="4.421875" style="214" customWidth="1"/>
    <col min="10243" max="10243" width="4.28125" style="214" customWidth="1"/>
    <col min="10244" max="10244" width="58.7109375" style="214" customWidth="1"/>
    <col min="10245" max="10245" width="11.28125" style="214" customWidth="1"/>
    <col min="10246" max="10246" width="10.00390625" style="214" customWidth="1"/>
    <col min="10247" max="10247" width="10.421875" style="214" customWidth="1"/>
    <col min="10248" max="10248" width="9.7109375" style="214" bestFit="1" customWidth="1"/>
    <col min="10249" max="10249" width="9.57421875" style="214" customWidth="1"/>
    <col min="10250" max="10250" width="9.140625" style="214" customWidth="1"/>
    <col min="10251" max="10254" width="9.7109375" style="214" bestFit="1" customWidth="1"/>
    <col min="10255" max="10496" width="9.140625" style="214" customWidth="1"/>
    <col min="10497" max="10497" width="3.7109375" style="214" customWidth="1"/>
    <col min="10498" max="10498" width="4.421875" style="214" customWidth="1"/>
    <col min="10499" max="10499" width="4.28125" style="214" customWidth="1"/>
    <col min="10500" max="10500" width="58.7109375" style="214" customWidth="1"/>
    <col min="10501" max="10501" width="11.28125" style="214" customWidth="1"/>
    <col min="10502" max="10502" width="10.00390625" style="214" customWidth="1"/>
    <col min="10503" max="10503" width="10.421875" style="214" customWidth="1"/>
    <col min="10504" max="10504" width="9.7109375" style="214" bestFit="1" customWidth="1"/>
    <col min="10505" max="10505" width="9.57421875" style="214" customWidth="1"/>
    <col min="10506" max="10506" width="9.140625" style="214" customWidth="1"/>
    <col min="10507" max="10510" width="9.7109375" style="214" bestFit="1" customWidth="1"/>
    <col min="10511" max="10752" width="9.140625" style="214" customWidth="1"/>
    <col min="10753" max="10753" width="3.7109375" style="214" customWidth="1"/>
    <col min="10754" max="10754" width="4.421875" style="214" customWidth="1"/>
    <col min="10755" max="10755" width="4.28125" style="214" customWidth="1"/>
    <col min="10756" max="10756" width="58.7109375" style="214" customWidth="1"/>
    <col min="10757" max="10757" width="11.28125" style="214" customWidth="1"/>
    <col min="10758" max="10758" width="10.00390625" style="214" customWidth="1"/>
    <col min="10759" max="10759" width="10.421875" style="214" customWidth="1"/>
    <col min="10760" max="10760" width="9.7109375" style="214" bestFit="1" customWidth="1"/>
    <col min="10761" max="10761" width="9.57421875" style="214" customWidth="1"/>
    <col min="10762" max="10762" width="9.140625" style="214" customWidth="1"/>
    <col min="10763" max="10766" width="9.7109375" style="214" bestFit="1" customWidth="1"/>
    <col min="10767" max="11008" width="9.140625" style="214" customWidth="1"/>
    <col min="11009" max="11009" width="3.7109375" style="214" customWidth="1"/>
    <col min="11010" max="11010" width="4.421875" style="214" customWidth="1"/>
    <col min="11011" max="11011" width="4.28125" style="214" customWidth="1"/>
    <col min="11012" max="11012" width="58.7109375" style="214" customWidth="1"/>
    <col min="11013" max="11013" width="11.28125" style="214" customWidth="1"/>
    <col min="11014" max="11014" width="10.00390625" style="214" customWidth="1"/>
    <col min="11015" max="11015" width="10.421875" style="214" customWidth="1"/>
    <col min="11016" max="11016" width="9.7109375" style="214" bestFit="1" customWidth="1"/>
    <col min="11017" max="11017" width="9.57421875" style="214" customWidth="1"/>
    <col min="11018" max="11018" width="9.140625" style="214" customWidth="1"/>
    <col min="11019" max="11022" width="9.7109375" style="214" bestFit="1" customWidth="1"/>
    <col min="11023" max="11264" width="9.140625" style="214" customWidth="1"/>
    <col min="11265" max="11265" width="3.7109375" style="214" customWidth="1"/>
    <col min="11266" max="11266" width="4.421875" style="214" customWidth="1"/>
    <col min="11267" max="11267" width="4.28125" style="214" customWidth="1"/>
    <col min="11268" max="11268" width="58.7109375" style="214" customWidth="1"/>
    <col min="11269" max="11269" width="11.28125" style="214" customWidth="1"/>
    <col min="11270" max="11270" width="10.00390625" style="214" customWidth="1"/>
    <col min="11271" max="11271" width="10.421875" style="214" customWidth="1"/>
    <col min="11272" max="11272" width="9.7109375" style="214" bestFit="1" customWidth="1"/>
    <col min="11273" max="11273" width="9.57421875" style="214" customWidth="1"/>
    <col min="11274" max="11274" width="9.140625" style="214" customWidth="1"/>
    <col min="11275" max="11278" width="9.7109375" style="214" bestFit="1" customWidth="1"/>
    <col min="11279" max="11520" width="9.140625" style="214" customWidth="1"/>
    <col min="11521" max="11521" width="3.7109375" style="214" customWidth="1"/>
    <col min="11522" max="11522" width="4.421875" style="214" customWidth="1"/>
    <col min="11523" max="11523" width="4.28125" style="214" customWidth="1"/>
    <col min="11524" max="11524" width="58.7109375" style="214" customWidth="1"/>
    <col min="11525" max="11525" width="11.28125" style="214" customWidth="1"/>
    <col min="11526" max="11526" width="10.00390625" style="214" customWidth="1"/>
    <col min="11527" max="11527" width="10.421875" style="214" customWidth="1"/>
    <col min="11528" max="11528" width="9.7109375" style="214" bestFit="1" customWidth="1"/>
    <col min="11529" max="11529" width="9.57421875" style="214" customWidth="1"/>
    <col min="11530" max="11530" width="9.140625" style="214" customWidth="1"/>
    <col min="11531" max="11534" width="9.7109375" style="214" bestFit="1" customWidth="1"/>
    <col min="11535" max="11776" width="9.140625" style="214" customWidth="1"/>
    <col min="11777" max="11777" width="3.7109375" style="214" customWidth="1"/>
    <col min="11778" max="11778" width="4.421875" style="214" customWidth="1"/>
    <col min="11779" max="11779" width="4.28125" style="214" customWidth="1"/>
    <col min="11780" max="11780" width="58.7109375" style="214" customWidth="1"/>
    <col min="11781" max="11781" width="11.28125" style="214" customWidth="1"/>
    <col min="11782" max="11782" width="10.00390625" style="214" customWidth="1"/>
    <col min="11783" max="11783" width="10.421875" style="214" customWidth="1"/>
    <col min="11784" max="11784" width="9.7109375" style="214" bestFit="1" customWidth="1"/>
    <col min="11785" max="11785" width="9.57421875" style="214" customWidth="1"/>
    <col min="11786" max="11786" width="9.140625" style="214" customWidth="1"/>
    <col min="11787" max="11790" width="9.7109375" style="214" bestFit="1" customWidth="1"/>
    <col min="11791" max="12032" width="9.140625" style="214" customWidth="1"/>
    <col min="12033" max="12033" width="3.7109375" style="214" customWidth="1"/>
    <col min="12034" max="12034" width="4.421875" style="214" customWidth="1"/>
    <col min="12035" max="12035" width="4.28125" style="214" customWidth="1"/>
    <col min="12036" max="12036" width="58.7109375" style="214" customWidth="1"/>
    <col min="12037" max="12037" width="11.28125" style="214" customWidth="1"/>
    <col min="12038" max="12038" width="10.00390625" style="214" customWidth="1"/>
    <col min="12039" max="12039" width="10.421875" style="214" customWidth="1"/>
    <col min="12040" max="12040" width="9.7109375" style="214" bestFit="1" customWidth="1"/>
    <col min="12041" max="12041" width="9.57421875" style="214" customWidth="1"/>
    <col min="12042" max="12042" width="9.140625" style="214" customWidth="1"/>
    <col min="12043" max="12046" width="9.7109375" style="214" bestFit="1" customWidth="1"/>
    <col min="12047" max="12288" width="9.140625" style="214" customWidth="1"/>
    <col min="12289" max="12289" width="3.7109375" style="214" customWidth="1"/>
    <col min="12290" max="12290" width="4.421875" style="214" customWidth="1"/>
    <col min="12291" max="12291" width="4.28125" style="214" customWidth="1"/>
    <col min="12292" max="12292" width="58.7109375" style="214" customWidth="1"/>
    <col min="12293" max="12293" width="11.28125" style="214" customWidth="1"/>
    <col min="12294" max="12294" width="10.00390625" style="214" customWidth="1"/>
    <col min="12295" max="12295" width="10.421875" style="214" customWidth="1"/>
    <col min="12296" max="12296" width="9.7109375" style="214" bestFit="1" customWidth="1"/>
    <col min="12297" max="12297" width="9.57421875" style="214" customWidth="1"/>
    <col min="12298" max="12298" width="9.140625" style="214" customWidth="1"/>
    <col min="12299" max="12302" width="9.7109375" style="214" bestFit="1" customWidth="1"/>
    <col min="12303" max="12544" width="9.140625" style="214" customWidth="1"/>
    <col min="12545" max="12545" width="3.7109375" style="214" customWidth="1"/>
    <col min="12546" max="12546" width="4.421875" style="214" customWidth="1"/>
    <col min="12547" max="12547" width="4.28125" style="214" customWidth="1"/>
    <col min="12548" max="12548" width="58.7109375" style="214" customWidth="1"/>
    <col min="12549" max="12549" width="11.28125" style="214" customWidth="1"/>
    <col min="12550" max="12550" width="10.00390625" style="214" customWidth="1"/>
    <col min="12551" max="12551" width="10.421875" style="214" customWidth="1"/>
    <col min="12552" max="12552" width="9.7109375" style="214" bestFit="1" customWidth="1"/>
    <col min="12553" max="12553" width="9.57421875" style="214" customWidth="1"/>
    <col min="12554" max="12554" width="9.140625" style="214" customWidth="1"/>
    <col min="12555" max="12558" width="9.7109375" style="214" bestFit="1" customWidth="1"/>
    <col min="12559" max="12800" width="9.140625" style="214" customWidth="1"/>
    <col min="12801" max="12801" width="3.7109375" style="214" customWidth="1"/>
    <col min="12802" max="12802" width="4.421875" style="214" customWidth="1"/>
    <col min="12803" max="12803" width="4.28125" style="214" customWidth="1"/>
    <col min="12804" max="12804" width="58.7109375" style="214" customWidth="1"/>
    <col min="12805" max="12805" width="11.28125" style="214" customWidth="1"/>
    <col min="12806" max="12806" width="10.00390625" style="214" customWidth="1"/>
    <col min="12807" max="12807" width="10.421875" style="214" customWidth="1"/>
    <col min="12808" max="12808" width="9.7109375" style="214" bestFit="1" customWidth="1"/>
    <col min="12809" max="12809" width="9.57421875" style="214" customWidth="1"/>
    <col min="12810" max="12810" width="9.140625" style="214" customWidth="1"/>
    <col min="12811" max="12814" width="9.7109375" style="214" bestFit="1" customWidth="1"/>
    <col min="12815" max="13056" width="9.140625" style="214" customWidth="1"/>
    <col min="13057" max="13057" width="3.7109375" style="214" customWidth="1"/>
    <col min="13058" max="13058" width="4.421875" style="214" customWidth="1"/>
    <col min="13059" max="13059" width="4.28125" style="214" customWidth="1"/>
    <col min="13060" max="13060" width="58.7109375" style="214" customWidth="1"/>
    <col min="13061" max="13061" width="11.28125" style="214" customWidth="1"/>
    <col min="13062" max="13062" width="10.00390625" style="214" customWidth="1"/>
    <col min="13063" max="13063" width="10.421875" style="214" customWidth="1"/>
    <col min="13064" max="13064" width="9.7109375" style="214" bestFit="1" customWidth="1"/>
    <col min="13065" max="13065" width="9.57421875" style="214" customWidth="1"/>
    <col min="13066" max="13066" width="9.140625" style="214" customWidth="1"/>
    <col min="13067" max="13070" width="9.7109375" style="214" bestFit="1" customWidth="1"/>
    <col min="13071" max="13312" width="9.140625" style="214" customWidth="1"/>
    <col min="13313" max="13313" width="3.7109375" style="214" customWidth="1"/>
    <col min="13314" max="13314" width="4.421875" style="214" customWidth="1"/>
    <col min="13315" max="13315" width="4.28125" style="214" customWidth="1"/>
    <col min="13316" max="13316" width="58.7109375" style="214" customWidth="1"/>
    <col min="13317" max="13317" width="11.28125" style="214" customWidth="1"/>
    <col min="13318" max="13318" width="10.00390625" style="214" customWidth="1"/>
    <col min="13319" max="13319" width="10.421875" style="214" customWidth="1"/>
    <col min="13320" max="13320" width="9.7109375" style="214" bestFit="1" customWidth="1"/>
    <col min="13321" max="13321" width="9.57421875" style="214" customWidth="1"/>
    <col min="13322" max="13322" width="9.140625" style="214" customWidth="1"/>
    <col min="13323" max="13326" width="9.7109375" style="214" bestFit="1" customWidth="1"/>
    <col min="13327" max="13568" width="9.140625" style="214" customWidth="1"/>
    <col min="13569" max="13569" width="3.7109375" style="214" customWidth="1"/>
    <col min="13570" max="13570" width="4.421875" style="214" customWidth="1"/>
    <col min="13571" max="13571" width="4.28125" style="214" customWidth="1"/>
    <col min="13572" max="13572" width="58.7109375" style="214" customWidth="1"/>
    <col min="13573" max="13573" width="11.28125" style="214" customWidth="1"/>
    <col min="13574" max="13574" width="10.00390625" style="214" customWidth="1"/>
    <col min="13575" max="13575" width="10.421875" style="214" customWidth="1"/>
    <col min="13576" max="13576" width="9.7109375" style="214" bestFit="1" customWidth="1"/>
    <col min="13577" max="13577" width="9.57421875" style="214" customWidth="1"/>
    <col min="13578" max="13578" width="9.140625" style="214" customWidth="1"/>
    <col min="13579" max="13582" width="9.7109375" style="214" bestFit="1" customWidth="1"/>
    <col min="13583" max="13824" width="9.140625" style="214" customWidth="1"/>
    <col min="13825" max="13825" width="3.7109375" style="214" customWidth="1"/>
    <col min="13826" max="13826" width="4.421875" style="214" customWidth="1"/>
    <col min="13827" max="13827" width="4.28125" style="214" customWidth="1"/>
    <col min="13828" max="13828" width="58.7109375" style="214" customWidth="1"/>
    <col min="13829" max="13829" width="11.28125" style="214" customWidth="1"/>
    <col min="13830" max="13830" width="10.00390625" style="214" customWidth="1"/>
    <col min="13831" max="13831" width="10.421875" style="214" customWidth="1"/>
    <col min="13832" max="13832" width="9.7109375" style="214" bestFit="1" customWidth="1"/>
    <col min="13833" max="13833" width="9.57421875" style="214" customWidth="1"/>
    <col min="13834" max="13834" width="9.140625" style="214" customWidth="1"/>
    <col min="13835" max="13838" width="9.7109375" style="214" bestFit="1" customWidth="1"/>
    <col min="13839" max="14080" width="9.140625" style="214" customWidth="1"/>
    <col min="14081" max="14081" width="3.7109375" style="214" customWidth="1"/>
    <col min="14082" max="14082" width="4.421875" style="214" customWidth="1"/>
    <col min="14083" max="14083" width="4.28125" style="214" customWidth="1"/>
    <col min="14084" max="14084" width="58.7109375" style="214" customWidth="1"/>
    <col min="14085" max="14085" width="11.28125" style="214" customWidth="1"/>
    <col min="14086" max="14086" width="10.00390625" style="214" customWidth="1"/>
    <col min="14087" max="14087" width="10.421875" style="214" customWidth="1"/>
    <col min="14088" max="14088" width="9.7109375" style="214" bestFit="1" customWidth="1"/>
    <col min="14089" max="14089" width="9.57421875" style="214" customWidth="1"/>
    <col min="14090" max="14090" width="9.140625" style="214" customWidth="1"/>
    <col min="14091" max="14094" width="9.7109375" style="214" bestFit="1" customWidth="1"/>
    <col min="14095" max="14336" width="9.140625" style="214" customWidth="1"/>
    <col min="14337" max="14337" width="3.7109375" style="214" customWidth="1"/>
    <col min="14338" max="14338" width="4.421875" style="214" customWidth="1"/>
    <col min="14339" max="14339" width="4.28125" style="214" customWidth="1"/>
    <col min="14340" max="14340" width="58.7109375" style="214" customWidth="1"/>
    <col min="14341" max="14341" width="11.28125" style="214" customWidth="1"/>
    <col min="14342" max="14342" width="10.00390625" style="214" customWidth="1"/>
    <col min="14343" max="14343" width="10.421875" style="214" customWidth="1"/>
    <col min="14344" max="14344" width="9.7109375" style="214" bestFit="1" customWidth="1"/>
    <col min="14345" max="14345" width="9.57421875" style="214" customWidth="1"/>
    <col min="14346" max="14346" width="9.140625" style="214" customWidth="1"/>
    <col min="14347" max="14350" width="9.7109375" style="214" bestFit="1" customWidth="1"/>
    <col min="14351" max="14592" width="9.140625" style="214" customWidth="1"/>
    <col min="14593" max="14593" width="3.7109375" style="214" customWidth="1"/>
    <col min="14594" max="14594" width="4.421875" style="214" customWidth="1"/>
    <col min="14595" max="14595" width="4.28125" style="214" customWidth="1"/>
    <col min="14596" max="14596" width="58.7109375" style="214" customWidth="1"/>
    <col min="14597" max="14597" width="11.28125" style="214" customWidth="1"/>
    <col min="14598" max="14598" width="10.00390625" style="214" customWidth="1"/>
    <col min="14599" max="14599" width="10.421875" style="214" customWidth="1"/>
    <col min="14600" max="14600" width="9.7109375" style="214" bestFit="1" customWidth="1"/>
    <col min="14601" max="14601" width="9.57421875" style="214" customWidth="1"/>
    <col min="14602" max="14602" width="9.140625" style="214" customWidth="1"/>
    <col min="14603" max="14606" width="9.7109375" style="214" bestFit="1" customWidth="1"/>
    <col min="14607" max="14848" width="9.140625" style="214" customWidth="1"/>
    <col min="14849" max="14849" width="3.7109375" style="214" customWidth="1"/>
    <col min="14850" max="14850" width="4.421875" style="214" customWidth="1"/>
    <col min="14851" max="14851" width="4.28125" style="214" customWidth="1"/>
    <col min="14852" max="14852" width="58.7109375" style="214" customWidth="1"/>
    <col min="14853" max="14853" width="11.28125" style="214" customWidth="1"/>
    <col min="14854" max="14854" width="10.00390625" style="214" customWidth="1"/>
    <col min="14855" max="14855" width="10.421875" style="214" customWidth="1"/>
    <col min="14856" max="14856" width="9.7109375" style="214" bestFit="1" customWidth="1"/>
    <col min="14857" max="14857" width="9.57421875" style="214" customWidth="1"/>
    <col min="14858" max="14858" width="9.140625" style="214" customWidth="1"/>
    <col min="14859" max="14862" width="9.7109375" style="214" bestFit="1" customWidth="1"/>
    <col min="14863" max="15104" width="9.140625" style="214" customWidth="1"/>
    <col min="15105" max="15105" width="3.7109375" style="214" customWidth="1"/>
    <col min="15106" max="15106" width="4.421875" style="214" customWidth="1"/>
    <col min="15107" max="15107" width="4.28125" style="214" customWidth="1"/>
    <col min="15108" max="15108" width="58.7109375" style="214" customWidth="1"/>
    <col min="15109" max="15109" width="11.28125" style="214" customWidth="1"/>
    <col min="15110" max="15110" width="10.00390625" style="214" customWidth="1"/>
    <col min="15111" max="15111" width="10.421875" style="214" customWidth="1"/>
    <col min="15112" max="15112" width="9.7109375" style="214" bestFit="1" customWidth="1"/>
    <col min="15113" max="15113" width="9.57421875" style="214" customWidth="1"/>
    <col min="15114" max="15114" width="9.140625" style="214" customWidth="1"/>
    <col min="15115" max="15118" width="9.7109375" style="214" bestFit="1" customWidth="1"/>
    <col min="15119" max="15360" width="9.140625" style="214" customWidth="1"/>
    <col min="15361" max="15361" width="3.7109375" style="214" customWidth="1"/>
    <col min="15362" max="15362" width="4.421875" style="214" customWidth="1"/>
    <col min="15363" max="15363" width="4.28125" style="214" customWidth="1"/>
    <col min="15364" max="15364" width="58.7109375" style="214" customWidth="1"/>
    <col min="15365" max="15365" width="11.28125" style="214" customWidth="1"/>
    <col min="15366" max="15366" width="10.00390625" style="214" customWidth="1"/>
    <col min="15367" max="15367" width="10.421875" style="214" customWidth="1"/>
    <col min="15368" max="15368" width="9.7109375" style="214" bestFit="1" customWidth="1"/>
    <col min="15369" max="15369" width="9.57421875" style="214" customWidth="1"/>
    <col min="15370" max="15370" width="9.140625" style="214" customWidth="1"/>
    <col min="15371" max="15374" width="9.7109375" style="214" bestFit="1" customWidth="1"/>
    <col min="15375" max="15616" width="9.140625" style="214" customWidth="1"/>
    <col min="15617" max="15617" width="3.7109375" style="214" customWidth="1"/>
    <col min="15618" max="15618" width="4.421875" style="214" customWidth="1"/>
    <col min="15619" max="15619" width="4.28125" style="214" customWidth="1"/>
    <col min="15620" max="15620" width="58.7109375" style="214" customWidth="1"/>
    <col min="15621" max="15621" width="11.28125" style="214" customWidth="1"/>
    <col min="15622" max="15622" width="10.00390625" style="214" customWidth="1"/>
    <col min="15623" max="15623" width="10.421875" style="214" customWidth="1"/>
    <col min="15624" max="15624" width="9.7109375" style="214" bestFit="1" customWidth="1"/>
    <col min="15625" max="15625" width="9.57421875" style="214" customWidth="1"/>
    <col min="15626" max="15626" width="9.140625" style="214" customWidth="1"/>
    <col min="15627" max="15630" width="9.7109375" style="214" bestFit="1" customWidth="1"/>
    <col min="15631" max="15872" width="9.140625" style="214" customWidth="1"/>
    <col min="15873" max="15873" width="3.7109375" style="214" customWidth="1"/>
    <col min="15874" max="15874" width="4.421875" style="214" customWidth="1"/>
    <col min="15875" max="15875" width="4.28125" style="214" customWidth="1"/>
    <col min="15876" max="15876" width="58.7109375" style="214" customWidth="1"/>
    <col min="15877" max="15877" width="11.28125" style="214" customWidth="1"/>
    <col min="15878" max="15878" width="10.00390625" style="214" customWidth="1"/>
    <col min="15879" max="15879" width="10.421875" style="214" customWidth="1"/>
    <col min="15880" max="15880" width="9.7109375" style="214" bestFit="1" customWidth="1"/>
    <col min="15881" max="15881" width="9.57421875" style="214" customWidth="1"/>
    <col min="15882" max="15882" width="9.140625" style="214" customWidth="1"/>
    <col min="15883" max="15886" width="9.7109375" style="214" bestFit="1" customWidth="1"/>
    <col min="15887" max="16128" width="9.140625" style="214" customWidth="1"/>
    <col min="16129" max="16129" width="3.7109375" style="214" customWidth="1"/>
    <col min="16130" max="16130" width="4.421875" style="214" customWidth="1"/>
    <col min="16131" max="16131" width="4.28125" style="214" customWidth="1"/>
    <col min="16132" max="16132" width="58.7109375" style="214" customWidth="1"/>
    <col min="16133" max="16133" width="11.28125" style="214" customWidth="1"/>
    <col min="16134" max="16134" width="10.00390625" style="214" customWidth="1"/>
    <col min="16135" max="16135" width="10.421875" style="214" customWidth="1"/>
    <col min="16136" max="16136" width="9.7109375" style="214" bestFit="1" customWidth="1"/>
    <col min="16137" max="16137" width="9.57421875" style="214" customWidth="1"/>
    <col min="16138" max="16138" width="9.140625" style="214" customWidth="1"/>
    <col min="16139" max="16142" width="9.7109375" style="214" bestFit="1" customWidth="1"/>
    <col min="16143" max="16384" width="9.140625" style="214" customWidth="1"/>
  </cols>
  <sheetData>
    <row r="1" spans="1:11" ht="12.75">
      <c r="A1" s="397" t="s">
        <v>356</v>
      </c>
      <c r="B1" s="397"/>
      <c r="C1" s="397"/>
      <c r="D1" s="397"/>
      <c r="E1" s="397"/>
      <c r="F1" s="397"/>
      <c r="G1" s="222"/>
      <c r="H1" s="222"/>
      <c r="I1" s="222"/>
      <c r="J1" s="223"/>
      <c r="K1" s="223"/>
    </row>
    <row r="2" spans="1:11" ht="12.75">
      <c r="A2" s="397" t="s">
        <v>233</v>
      </c>
      <c r="B2" s="397"/>
      <c r="C2" s="397"/>
      <c r="D2" s="397"/>
      <c r="E2" s="397"/>
      <c r="F2" s="397"/>
      <c r="G2" s="222"/>
      <c r="H2" s="222"/>
      <c r="I2" s="222"/>
      <c r="J2" s="223"/>
      <c r="K2" s="223"/>
    </row>
    <row r="3" spans="1:11" ht="12.75">
      <c r="A3" s="397" t="s">
        <v>252</v>
      </c>
      <c r="B3" s="397"/>
      <c r="C3" s="397"/>
      <c r="D3" s="397"/>
      <c r="E3" s="397"/>
      <c r="F3" s="397"/>
      <c r="G3" s="222"/>
      <c r="H3" s="222"/>
      <c r="I3" s="222"/>
      <c r="J3" s="223"/>
      <c r="K3" s="223"/>
    </row>
    <row r="4" spans="1:11" ht="12.75">
      <c r="A4" s="213"/>
      <c r="B4" s="213"/>
      <c r="C4" s="213"/>
      <c r="D4" s="213"/>
      <c r="E4" s="213"/>
      <c r="F4" s="213"/>
      <c r="G4" s="222"/>
      <c r="H4" s="222"/>
      <c r="I4" s="222"/>
      <c r="J4" s="223"/>
      <c r="K4" s="223"/>
    </row>
    <row r="5" spans="1:11" ht="12.75">
      <c r="A5" s="215"/>
      <c r="B5" s="215"/>
      <c r="C5" s="215"/>
      <c r="D5" s="215"/>
      <c r="E5" s="216" t="s">
        <v>162</v>
      </c>
      <c r="F5" s="216" t="s">
        <v>163</v>
      </c>
      <c r="G5" s="215"/>
      <c r="H5" s="215"/>
      <c r="I5" s="215"/>
      <c r="J5" s="215"/>
      <c r="K5" s="215"/>
    </row>
    <row r="6" spans="1:9" ht="12.75">
      <c r="A6" s="215"/>
      <c r="B6" s="215"/>
      <c r="C6" s="215"/>
      <c r="D6" s="215"/>
      <c r="E6" s="213">
        <f>+'Income Statement Cash Flows'!E6</f>
        <v>2020</v>
      </c>
      <c r="F6" s="213">
        <f>+'Income Statement Cash Flows'!F6</f>
        <v>2021</v>
      </c>
      <c r="G6" s="216"/>
      <c r="H6" s="215"/>
      <c r="I6" s="216"/>
    </row>
    <row r="7" spans="1:9" ht="12.75">
      <c r="A7" s="214">
        <v>1</v>
      </c>
      <c r="B7" s="214" t="s">
        <v>357</v>
      </c>
      <c r="E7" s="165">
        <f>+'Modeling results'!B2</f>
        <v>2686228</v>
      </c>
      <c r="F7" s="165">
        <f>+'Modeling results'!C2</f>
        <v>2700442</v>
      </c>
      <c r="G7" s="165"/>
      <c r="I7" s="213"/>
    </row>
    <row r="8" spans="1:9" ht="12.75">
      <c r="A8" s="214">
        <v>2</v>
      </c>
      <c r="E8" s="217"/>
      <c r="F8" s="217"/>
      <c r="G8" s="213"/>
      <c r="I8" s="213"/>
    </row>
    <row r="9" spans="1:17" ht="12.75">
      <c r="A9" s="214">
        <v>3</v>
      </c>
      <c r="B9" s="214" t="s">
        <v>170</v>
      </c>
      <c r="I9" s="215"/>
      <c r="J9" s="215"/>
      <c r="P9" s="181"/>
      <c r="Q9" s="181"/>
    </row>
    <row r="10" spans="1:17" ht="12.75">
      <c r="A10" s="214">
        <v>4</v>
      </c>
      <c r="C10" s="214" t="s">
        <v>171</v>
      </c>
      <c r="E10" s="166"/>
      <c r="F10" s="166"/>
      <c r="G10" s="166"/>
      <c r="P10" s="181"/>
      <c r="Q10" s="181"/>
    </row>
    <row r="11" spans="1:17" ht="12.75">
      <c r="A11" s="214">
        <v>5</v>
      </c>
      <c r="D11" s="214" t="s">
        <v>340</v>
      </c>
      <c r="E11" s="166">
        <f>+'Income Statement Cash Flows'!E9</f>
        <v>681345.438</v>
      </c>
      <c r="F11" s="166">
        <f>+'Income Statement Cash Flows'!F9</f>
        <v>736891.597</v>
      </c>
      <c r="G11" s="166"/>
      <c r="P11" s="181"/>
      <c r="Q11" s="181"/>
    </row>
    <row r="12" spans="1:17" ht="12.75">
      <c r="A12" s="214">
        <v>6</v>
      </c>
      <c r="D12" s="214" t="s">
        <v>341</v>
      </c>
      <c r="E12" s="166">
        <f>+'Income Statement Cash Flows'!E10</f>
        <v>22997</v>
      </c>
      <c r="F12" s="166">
        <f>+'Income Statement Cash Flows'!F10</f>
        <v>22997</v>
      </c>
      <c r="G12" s="166"/>
      <c r="P12" s="181"/>
      <c r="Q12" s="181"/>
    </row>
    <row r="13" spans="1:17" ht="12.75">
      <c r="A13" s="214">
        <v>7</v>
      </c>
      <c r="D13" s="214" t="s">
        <v>174</v>
      </c>
      <c r="E13" s="166">
        <f>+'Income Statement Cash Flows'!E11</f>
        <v>1631</v>
      </c>
      <c r="F13" s="166">
        <f>+'Income Statement Cash Flows'!F11</f>
        <v>1531</v>
      </c>
      <c r="G13" s="166"/>
      <c r="P13" s="181"/>
      <c r="Q13" s="181"/>
    </row>
    <row r="14" spans="1:17" ht="12.75">
      <c r="A14" s="214">
        <v>8</v>
      </c>
      <c r="D14" s="214" t="s">
        <v>175</v>
      </c>
      <c r="E14" s="166">
        <f>+'Income Statement Cash Flows'!E12</f>
        <v>86009.88077867283</v>
      </c>
      <c r="F14" s="166">
        <f>+'Income Statement Cash Flows'!F12</f>
        <v>73976.92303373668</v>
      </c>
      <c r="G14" s="166"/>
      <c r="P14" s="181"/>
      <c r="Q14" s="181"/>
    </row>
    <row r="15" spans="1:17" ht="12.75">
      <c r="A15" s="214">
        <v>9</v>
      </c>
      <c r="D15" s="214" t="s">
        <v>133</v>
      </c>
      <c r="E15" s="166">
        <f>+'Income Statement Cash Flows'!E13</f>
        <v>0</v>
      </c>
      <c r="F15" s="166">
        <f>+'Income Statement Cash Flows'!F13</f>
        <v>0</v>
      </c>
      <c r="G15" s="166"/>
      <c r="P15" s="181"/>
      <c r="Q15" s="181"/>
    </row>
    <row r="16" spans="1:17" ht="12.75">
      <c r="A16" s="214">
        <v>10</v>
      </c>
      <c r="D16" s="214" t="s">
        <v>176</v>
      </c>
      <c r="E16" s="166">
        <f>+'Income Statement Cash Flows'!E14</f>
        <v>249767.00051788118</v>
      </c>
      <c r="F16" s="166">
        <f>+'Income Statement Cash Flows'!F14</f>
        <v>249746.61916842868</v>
      </c>
      <c r="G16" s="166"/>
      <c r="P16" s="181"/>
      <c r="Q16" s="181"/>
    </row>
    <row r="17" spans="1:17" ht="12.75">
      <c r="A17" s="214">
        <v>11</v>
      </c>
      <c r="D17" s="214" t="s">
        <v>177</v>
      </c>
      <c r="E17" s="166">
        <f>+'Income Statement Cash Flows'!E15</f>
        <v>36523</v>
      </c>
      <c r="F17" s="166">
        <f>+'Income Statement Cash Flows'!F15</f>
        <v>34869</v>
      </c>
      <c r="G17" s="166"/>
      <c r="P17" s="181"/>
      <c r="Q17" s="181"/>
    </row>
    <row r="18" spans="1:17" ht="12.75">
      <c r="A18" s="214">
        <v>12</v>
      </c>
      <c r="D18" s="214" t="s">
        <v>178</v>
      </c>
      <c r="E18" s="166">
        <f>+'Income Statement Cash Flows'!E16</f>
        <v>121529.703</v>
      </c>
      <c r="F18" s="166">
        <f>+'Income Statement Cash Flows'!F16</f>
        <v>121643.703</v>
      </c>
      <c r="G18" s="166"/>
      <c r="P18" s="181"/>
      <c r="Q18" s="181"/>
    </row>
    <row r="19" spans="1:17" ht="12.75">
      <c r="A19" s="214">
        <v>13</v>
      </c>
      <c r="C19" s="214" t="s">
        <v>179</v>
      </c>
      <c r="E19" s="166">
        <f>+'Income Statement Cash Flows'!E17</f>
        <v>82815.565</v>
      </c>
      <c r="F19" s="166">
        <f>+'Income Statement Cash Flows'!F17</f>
        <v>84922.434</v>
      </c>
      <c r="G19" s="166"/>
      <c r="P19" s="181"/>
      <c r="Q19" s="181"/>
    </row>
    <row r="20" spans="1:17" ht="12.75">
      <c r="A20" s="214">
        <v>14</v>
      </c>
      <c r="C20" s="214" t="s">
        <v>180</v>
      </c>
      <c r="E20" s="166">
        <f>+'Income Statement Cash Flows'!E18</f>
        <v>221642.731759574</v>
      </c>
      <c r="F20" s="166">
        <f>+'Income Statement Cash Flows'!F18</f>
        <v>217308.3754877001</v>
      </c>
      <c r="G20" s="166"/>
      <c r="P20" s="181"/>
      <c r="Q20" s="181"/>
    </row>
    <row r="21" spans="1:17" ht="12.75">
      <c r="A21" s="214">
        <v>15</v>
      </c>
      <c r="C21" s="214" t="s">
        <v>342</v>
      </c>
      <c r="E21" s="166">
        <f>+'Income Statement Cash Flows'!E19</f>
        <v>291811.237</v>
      </c>
      <c r="F21" s="166">
        <f>+'Income Statement Cash Flows'!F19</f>
        <v>292470.469</v>
      </c>
      <c r="G21" s="166"/>
      <c r="H21" s="224"/>
      <c r="P21" s="181"/>
      <c r="Q21" s="181"/>
    </row>
    <row r="22" spans="1:17" ht="12.75">
      <c r="A22" s="214">
        <v>16</v>
      </c>
      <c r="C22" s="214" t="s">
        <v>343</v>
      </c>
      <c r="E22" s="166">
        <f>+'Income Statement Cash Flows'!E20</f>
        <v>77435.744</v>
      </c>
      <c r="F22" s="166">
        <f>+'Income Statement Cash Flows'!F20</f>
        <v>78474.902</v>
      </c>
      <c r="G22" s="166"/>
      <c r="H22" s="224"/>
      <c r="P22" s="181"/>
      <c r="Q22" s="181"/>
    </row>
    <row r="23" spans="1:17" ht="12.75">
      <c r="A23" s="214">
        <v>17</v>
      </c>
      <c r="C23" s="214" t="s">
        <v>182</v>
      </c>
      <c r="E23" s="166">
        <f>+'Income Statement Cash Flows'!E21</f>
        <v>0</v>
      </c>
      <c r="F23" s="166">
        <f>+'Income Statement Cash Flows'!F21</f>
        <v>-20000</v>
      </c>
      <c r="G23" s="166"/>
      <c r="H23" s="224"/>
      <c r="P23" s="181"/>
      <c r="Q23" s="181"/>
    </row>
    <row r="24" spans="1:17" ht="12.75">
      <c r="A24" s="214">
        <v>18</v>
      </c>
      <c r="C24" s="218" t="s">
        <v>193</v>
      </c>
      <c r="E24" s="166">
        <f>+'Income Statement Cash Flows'!E22</f>
        <v>138967.5877677</v>
      </c>
      <c r="F24" s="166">
        <f>+'Income Statement Cash Flows'!F22</f>
        <v>141050.1326017</v>
      </c>
      <c r="G24" s="166"/>
      <c r="H24" s="224"/>
      <c r="P24" s="181"/>
      <c r="Q24" s="181"/>
    </row>
    <row r="25" spans="1:17" ht="12.75">
      <c r="A25" s="214">
        <v>19</v>
      </c>
      <c r="B25" s="218"/>
      <c r="C25" s="218" t="s">
        <v>194</v>
      </c>
      <c r="D25" s="218"/>
      <c r="E25" s="274">
        <f>+'Income Statement Cash Flows'!E23</f>
        <v>379326.95947737</v>
      </c>
      <c r="F25" s="274">
        <f>+'Income Statement Cash Flows'!F23</f>
        <v>384364.0043763031</v>
      </c>
      <c r="G25" s="166"/>
      <c r="H25" s="224"/>
      <c r="P25" s="181"/>
      <c r="Q25" s="181"/>
    </row>
    <row r="26" spans="1:17" ht="12.75">
      <c r="A26" s="214">
        <v>20</v>
      </c>
      <c r="B26" s="214" t="s">
        <v>195</v>
      </c>
      <c r="E26" s="166">
        <f>SUM(E11:E25)</f>
        <v>2391802.8473011977</v>
      </c>
      <c r="F26" s="166">
        <f>SUM(F11:F25)</f>
        <v>2420246.159667868</v>
      </c>
      <c r="G26" s="166"/>
      <c r="H26" s="224"/>
      <c r="P26" s="181"/>
      <c r="Q26" s="181"/>
    </row>
    <row r="27" spans="1:17" ht="12.75">
      <c r="A27" s="214">
        <v>21</v>
      </c>
      <c r="E27" s="166"/>
      <c r="F27" s="166"/>
      <c r="G27" s="166"/>
      <c r="H27" s="224"/>
      <c r="P27" s="181"/>
      <c r="Q27" s="181"/>
    </row>
    <row r="28" spans="1:17" ht="12.75">
      <c r="A28" s="214">
        <v>22</v>
      </c>
      <c r="B28" s="166" t="s">
        <v>718</v>
      </c>
      <c r="C28" s="219"/>
      <c r="D28" s="219"/>
      <c r="E28" s="219"/>
      <c r="F28" s="219"/>
      <c r="G28" s="166"/>
      <c r="H28" s="224"/>
      <c r="J28" s="166"/>
      <c r="P28" s="181"/>
      <c r="Q28" s="181"/>
    </row>
    <row r="29" spans="1:17" ht="12.75">
      <c r="A29" s="214">
        <v>23</v>
      </c>
      <c r="B29" s="219"/>
      <c r="C29" s="219" t="s">
        <v>184</v>
      </c>
      <c r="D29" s="219"/>
      <c r="E29" s="219"/>
      <c r="F29" s="219"/>
      <c r="G29" s="166"/>
      <c r="H29" s="224"/>
      <c r="P29" s="181"/>
      <c r="Q29" s="181"/>
    </row>
    <row r="30" spans="1:17" ht="12.75">
      <c r="A30" s="214">
        <v>24</v>
      </c>
      <c r="B30" s="219"/>
      <c r="C30" s="219"/>
      <c r="D30" s="219" t="s">
        <v>185</v>
      </c>
      <c r="E30" s="219">
        <f>+'Income Statement Cash Flows'!E28</f>
        <v>44685</v>
      </c>
      <c r="F30" s="219">
        <f>+'Income Statement Cash Flows'!F28</f>
        <v>45908</v>
      </c>
      <c r="G30" s="166"/>
      <c r="H30" s="224"/>
      <c r="P30" s="181"/>
      <c r="Q30" s="181"/>
    </row>
    <row r="31" spans="1:17" ht="12.75">
      <c r="A31" s="214">
        <v>25</v>
      </c>
      <c r="B31" s="219"/>
      <c r="D31" s="219" t="s">
        <v>186</v>
      </c>
      <c r="E31" s="219">
        <f>+'Income Statement Cash Flows'!E29</f>
        <v>-45937</v>
      </c>
      <c r="F31" s="219">
        <f>+'Income Statement Cash Flows'!F29</f>
        <v>-45937</v>
      </c>
      <c r="G31" s="166"/>
      <c r="H31" s="224"/>
      <c r="P31" s="181"/>
      <c r="Q31" s="181"/>
    </row>
    <row r="32" spans="1:17" ht="12.75">
      <c r="A32" s="214">
        <v>26</v>
      </c>
      <c r="B32" s="219"/>
      <c r="C32" s="219"/>
      <c r="D32" s="219" t="s">
        <v>187</v>
      </c>
      <c r="E32" s="219">
        <f>+'Income Statement Cash Flows'!E30</f>
        <v>61145.39170233593</v>
      </c>
      <c r="F32" s="219">
        <f>+'Income Statement Cash Flows'!F30</f>
        <v>68928.33254568126</v>
      </c>
      <c r="G32" s="166"/>
      <c r="H32" s="224"/>
      <c r="P32" s="181"/>
      <c r="Q32" s="181"/>
    </row>
    <row r="33" spans="1:17" ht="12.75">
      <c r="A33" s="214">
        <v>27</v>
      </c>
      <c r="B33" s="218"/>
      <c r="D33" s="218" t="s">
        <v>702</v>
      </c>
      <c r="E33" s="219">
        <f>+'Income Statement Cash Flows'!E31</f>
        <v>13</v>
      </c>
      <c r="F33" s="219">
        <f>+'Income Statement Cash Flows'!F31</f>
        <v>10</v>
      </c>
      <c r="G33" s="166"/>
      <c r="H33" s="166"/>
      <c r="P33" s="181"/>
      <c r="Q33" s="181"/>
    </row>
    <row r="34" spans="1:17" ht="12.75">
      <c r="A34" s="214">
        <v>28</v>
      </c>
      <c r="B34" s="218"/>
      <c r="D34" s="218" t="s">
        <v>253</v>
      </c>
      <c r="E34" s="219">
        <f>+'Income Statement Cash Flows'!E32</f>
        <v>245800.5503645353</v>
      </c>
      <c r="F34" s="219">
        <f>+'Income Statement Cash Flows'!F32</f>
        <v>169807.12751369155</v>
      </c>
      <c r="G34" s="166"/>
      <c r="H34" s="166"/>
      <c r="P34" s="181"/>
      <c r="Q34" s="181"/>
    </row>
    <row r="35" spans="1:17" ht="12.75">
      <c r="A35" s="214">
        <v>29</v>
      </c>
      <c r="B35" s="218"/>
      <c r="C35" s="219" t="s">
        <v>188</v>
      </c>
      <c r="D35" s="219"/>
      <c r="E35" s="219">
        <f>+'Income Statement Cash Flows'!E33</f>
        <v>-15904</v>
      </c>
      <c r="F35" s="219">
        <f>+'Income Statement Cash Flows'!F33</f>
        <v>-16493</v>
      </c>
      <c r="G35" s="166"/>
      <c r="P35" s="181"/>
      <c r="Q35" s="181"/>
    </row>
    <row r="36" spans="1:17" ht="12.75">
      <c r="A36" s="214">
        <v>30</v>
      </c>
      <c r="B36" s="219"/>
      <c r="C36" s="219" t="s">
        <v>189</v>
      </c>
      <c r="D36" s="219"/>
      <c r="E36" s="219">
        <f>-'interest credit calculations'!C119</f>
        <v>-4937.487999999999</v>
      </c>
      <c r="F36" s="219">
        <f>-'interest credit calculations'!D119</f>
        <v>-6552.8792</v>
      </c>
      <c r="G36" s="166"/>
      <c r="J36" s="225"/>
      <c r="P36" s="181"/>
      <c r="Q36" s="181"/>
    </row>
    <row r="37" spans="1:17" ht="12.75">
      <c r="A37" s="214">
        <v>31</v>
      </c>
      <c r="C37" s="214" t="s">
        <v>720</v>
      </c>
      <c r="E37" s="219">
        <f>+'Income Statement Cash Flows'!E35</f>
        <v>-8817.805195211507</v>
      </c>
      <c r="F37" s="219">
        <f>+'Income Statement Cash Flows'!F35</f>
        <v>-9111.731626045908</v>
      </c>
      <c r="G37" s="166"/>
      <c r="J37" s="225"/>
      <c r="P37" s="181"/>
      <c r="Q37" s="181"/>
    </row>
    <row r="38" spans="1:17" ht="12.75">
      <c r="A38" s="214">
        <v>32</v>
      </c>
      <c r="C38" s="214" t="s">
        <v>719</v>
      </c>
      <c r="E38" s="335">
        <f>+'Income Statement Cash Flows'!E36</f>
        <v>-5051.812480427976</v>
      </c>
      <c r="F38" s="335">
        <f>+'Income Statement Cash Flows'!F36</f>
        <v>-5220.205995451786</v>
      </c>
      <c r="G38" s="166"/>
      <c r="J38" s="225"/>
      <c r="P38" s="181"/>
      <c r="Q38" s="181"/>
    </row>
    <row r="39" spans="1:17" ht="12.75">
      <c r="A39" s="214">
        <v>33</v>
      </c>
      <c r="B39" s="214" t="s">
        <v>733</v>
      </c>
      <c r="C39" s="219"/>
      <c r="D39" s="219"/>
      <c r="E39" s="219">
        <f>SUM(E30:E38)</f>
        <v>270995.83639123174</v>
      </c>
      <c r="F39" s="219">
        <f>SUM(F30:F38)</f>
        <v>201338.64323787513</v>
      </c>
      <c r="G39" s="166"/>
      <c r="P39" s="219"/>
      <c r="Q39" s="219"/>
    </row>
    <row r="40" spans="1:17" ht="12.75">
      <c r="A40" s="214">
        <v>34</v>
      </c>
      <c r="B40" s="219"/>
      <c r="C40" s="219"/>
      <c r="D40" s="219"/>
      <c r="E40" s="219"/>
      <c r="F40" s="219"/>
      <c r="G40" s="166"/>
      <c r="P40" s="181"/>
      <c r="Q40" s="181"/>
    </row>
    <row r="41" spans="1:17" ht="12.75">
      <c r="A41" s="214">
        <v>35</v>
      </c>
      <c r="B41" s="219" t="s">
        <v>190</v>
      </c>
      <c r="C41" s="219"/>
      <c r="D41" s="219"/>
      <c r="E41" s="219">
        <f>E39+E26</f>
        <v>2662798.683692429</v>
      </c>
      <c r="F41" s="219">
        <f>F39+F26</f>
        <v>2621584.8029057435</v>
      </c>
      <c r="G41" s="166"/>
      <c r="P41" s="181"/>
      <c r="Q41" s="181"/>
    </row>
    <row r="42" spans="1:7" ht="12.75">
      <c r="A42" s="214">
        <v>36</v>
      </c>
      <c r="B42" s="219"/>
      <c r="C42" s="219"/>
      <c r="D42" s="219"/>
      <c r="E42" s="219"/>
      <c r="F42" s="219"/>
      <c r="G42" s="166"/>
    </row>
    <row r="43" spans="1:14" ht="12.75">
      <c r="A43" s="214">
        <v>37</v>
      </c>
      <c r="B43" s="219" t="s">
        <v>344</v>
      </c>
      <c r="C43" s="219"/>
      <c r="D43" s="219"/>
      <c r="E43" s="219">
        <f>E7-E41</f>
        <v>23429.316307570785</v>
      </c>
      <c r="F43" s="219">
        <f>F7-F41</f>
        <v>78857.19709425652</v>
      </c>
      <c r="G43" s="166"/>
      <c r="N43" s="213"/>
    </row>
    <row r="44" spans="2:7" ht="12.75">
      <c r="B44" s="166"/>
      <c r="C44" s="166"/>
      <c r="D44" s="166"/>
      <c r="E44" s="166"/>
      <c r="F44" s="166"/>
      <c r="G44" s="166"/>
    </row>
    <row r="45" spans="2:14" ht="12.75">
      <c r="B45" s="166"/>
      <c r="C45" s="166"/>
      <c r="D45" s="166"/>
      <c r="E45" s="166"/>
      <c r="F45" s="166"/>
      <c r="G45" s="169"/>
      <c r="M45" s="166"/>
      <c r="N45" s="166"/>
    </row>
    <row r="46" spans="6:12" ht="12.75">
      <c r="F46" s="226"/>
      <c r="G46" s="166"/>
      <c r="J46" s="213"/>
      <c r="K46" s="213"/>
      <c r="L46" s="213"/>
    </row>
    <row r="47" spans="5:7" ht="12.75">
      <c r="E47" s="166"/>
      <c r="F47" s="166"/>
      <c r="G47" s="166"/>
    </row>
    <row r="48" spans="1:9" ht="12.75">
      <c r="A48" s="220"/>
      <c r="E48" s="166"/>
      <c r="F48" s="166"/>
      <c r="G48" s="166"/>
      <c r="I48" s="166"/>
    </row>
    <row r="51" spans="1:9" ht="12.75">
      <c r="A51" s="397" t="s">
        <v>338</v>
      </c>
      <c r="B51" s="397"/>
      <c r="C51" s="397"/>
      <c r="D51" s="397"/>
      <c r="E51" s="397"/>
      <c r="F51" s="397"/>
      <c r="G51" s="222"/>
      <c r="H51" s="222"/>
      <c r="I51" s="222"/>
    </row>
    <row r="52" spans="1:9" ht="12.75">
      <c r="A52" s="397" t="s">
        <v>236</v>
      </c>
      <c r="B52" s="397"/>
      <c r="C52" s="397"/>
      <c r="D52" s="397"/>
      <c r="E52" s="397"/>
      <c r="F52" s="397"/>
      <c r="G52" s="222"/>
      <c r="H52" s="222"/>
      <c r="I52" s="222"/>
    </row>
    <row r="53" spans="1:9" ht="12.75">
      <c r="A53" s="397" t="s">
        <v>335</v>
      </c>
      <c r="B53" s="397"/>
      <c r="C53" s="397"/>
      <c r="D53" s="397"/>
      <c r="E53" s="397"/>
      <c r="F53" s="397"/>
      <c r="G53" s="222"/>
      <c r="H53" s="222"/>
      <c r="I53" s="222"/>
    </row>
    <row r="54" spans="1:11" ht="12.75">
      <c r="A54" s="166"/>
      <c r="B54" s="166"/>
      <c r="C54" s="166"/>
      <c r="D54" s="166"/>
      <c r="E54" s="166"/>
      <c r="F54" s="166"/>
      <c r="G54" s="166"/>
      <c r="H54" s="166"/>
      <c r="I54" s="166"/>
      <c r="J54" s="166"/>
      <c r="K54" s="166"/>
    </row>
    <row r="55" spans="1:11" ht="12.75">
      <c r="A55" s="166"/>
      <c r="B55" s="166"/>
      <c r="C55" s="166"/>
      <c r="D55" s="166"/>
      <c r="E55" s="216" t="s">
        <v>162</v>
      </c>
      <c r="F55" s="216" t="s">
        <v>163</v>
      </c>
      <c r="G55" s="216"/>
      <c r="H55" s="166"/>
      <c r="I55" s="216"/>
      <c r="J55" s="166"/>
      <c r="K55" s="216"/>
    </row>
    <row r="56" spans="1:15" ht="12.75">
      <c r="A56" s="166"/>
      <c r="B56" s="166"/>
      <c r="C56" s="166"/>
      <c r="D56" s="166"/>
      <c r="E56" s="213">
        <f>+'Income Statement Cash Flows'!E6</f>
        <v>2020</v>
      </c>
      <c r="F56" s="213">
        <f>+'Income Statement Cash Flows'!F6</f>
        <v>2021</v>
      </c>
      <c r="G56" s="213"/>
      <c r="H56" s="166"/>
      <c r="I56" s="213"/>
      <c r="J56" s="166"/>
      <c r="K56" s="216"/>
      <c r="N56" s="181"/>
      <c r="O56" s="181"/>
    </row>
    <row r="57" spans="1:15" ht="12.75">
      <c r="A57" s="166">
        <v>1</v>
      </c>
      <c r="B57" s="166" t="s">
        <v>240</v>
      </c>
      <c r="C57" s="166"/>
      <c r="D57" s="166"/>
      <c r="E57" s="166"/>
      <c r="F57" s="166"/>
      <c r="G57" s="166"/>
      <c r="H57" s="166"/>
      <c r="I57" s="166"/>
      <c r="J57" s="166"/>
      <c r="K57" s="166"/>
      <c r="N57" s="181"/>
      <c r="O57" s="181"/>
    </row>
    <row r="58" spans="1:15" ht="12.75" hidden="1">
      <c r="A58" s="166"/>
      <c r="B58" s="166"/>
      <c r="C58" s="166" t="s">
        <v>345</v>
      </c>
      <c r="D58" s="166"/>
      <c r="E58" s="166">
        <f>E7-E26-E30-E31-E32-E33-E35-E34</f>
        <v>4622.210631931055</v>
      </c>
      <c r="F58" s="166">
        <f>F7-F26-F30-F31-F32-F33-F34-F35</f>
        <v>57972.38027275901</v>
      </c>
      <c r="G58" s="166"/>
      <c r="H58" s="166"/>
      <c r="I58" s="166"/>
      <c r="J58" s="166"/>
      <c r="K58" s="166"/>
      <c r="N58" s="181"/>
      <c r="O58" s="181"/>
    </row>
    <row r="59" spans="1:15" ht="12.75">
      <c r="A59" s="166">
        <v>2</v>
      </c>
      <c r="B59" s="166"/>
      <c r="C59" s="166" t="s">
        <v>344</v>
      </c>
      <c r="D59" s="166"/>
      <c r="E59" s="166">
        <f>E43</f>
        <v>23429.316307570785</v>
      </c>
      <c r="F59" s="166">
        <f>F43</f>
        <v>78857.19709425652</v>
      </c>
      <c r="G59" s="166"/>
      <c r="H59" s="166"/>
      <c r="I59" s="166"/>
      <c r="J59" s="166"/>
      <c r="K59" s="166"/>
      <c r="N59" s="181"/>
      <c r="O59" s="181"/>
    </row>
    <row r="60" spans="1:15" ht="12.75">
      <c r="A60" s="166">
        <v>3</v>
      </c>
      <c r="B60" s="166"/>
      <c r="C60" s="166" t="s">
        <v>238</v>
      </c>
      <c r="D60" s="166"/>
      <c r="E60" s="166"/>
      <c r="F60" s="166"/>
      <c r="G60" s="166"/>
      <c r="H60" s="166"/>
      <c r="I60" s="166"/>
      <c r="J60" s="166"/>
      <c r="K60" s="166"/>
      <c r="N60" s="181"/>
      <c r="O60" s="181"/>
    </row>
    <row r="61" spans="1:15" ht="12.75">
      <c r="A61" s="166">
        <v>4</v>
      </c>
      <c r="B61" s="166"/>
      <c r="C61" s="166"/>
      <c r="D61" s="166" t="s">
        <v>253</v>
      </c>
      <c r="E61" s="166">
        <f>+'Income Statement Cash Flows'!E59</f>
        <v>9826.374364535337</v>
      </c>
      <c r="F61" s="166">
        <f>+'Income Statement Cash Flows'!F59</f>
        <v>8862.537513691579</v>
      </c>
      <c r="G61" s="166"/>
      <c r="H61" s="166"/>
      <c r="I61" s="166"/>
      <c r="J61" s="166"/>
      <c r="K61" s="166"/>
      <c r="N61" s="181"/>
      <c r="O61" s="181"/>
    </row>
    <row r="62" spans="1:15" ht="12.75">
      <c r="A62" s="166">
        <v>5</v>
      </c>
      <c r="B62" s="166"/>
      <c r="C62" s="166"/>
      <c r="D62" s="166" t="s">
        <v>239</v>
      </c>
      <c r="E62" s="166">
        <f>E24+E25</f>
        <v>518294.54724507</v>
      </c>
      <c r="F62" s="166">
        <f>F24+F25</f>
        <v>525414.1369780031</v>
      </c>
      <c r="G62" s="166"/>
      <c r="H62" s="166"/>
      <c r="I62" s="166"/>
      <c r="J62" s="166"/>
      <c r="K62" s="166"/>
      <c r="N62" s="181"/>
      <c r="O62" s="181"/>
    </row>
    <row r="63" spans="1:15" ht="12.75">
      <c r="A63" s="166">
        <v>6</v>
      </c>
      <c r="B63" s="166"/>
      <c r="C63" s="166"/>
      <c r="D63" s="214" t="s">
        <v>722</v>
      </c>
      <c r="E63" s="166">
        <f>+'Income Statement Cash Flows'!E61</f>
        <v>-13869.617675639483</v>
      </c>
      <c r="F63" s="166">
        <f>+'Income Statement Cash Flows'!F61</f>
        <v>-14331.937621497695</v>
      </c>
      <c r="G63" s="166"/>
      <c r="H63" s="166"/>
      <c r="I63" s="166"/>
      <c r="J63" s="166"/>
      <c r="K63" s="166"/>
      <c r="N63" s="181"/>
      <c r="O63" s="181"/>
    </row>
    <row r="64" spans="1:15" ht="12.75">
      <c r="A64" s="166">
        <v>7</v>
      </c>
      <c r="B64" s="166"/>
      <c r="C64" s="166"/>
      <c r="D64" s="166" t="s">
        <v>186</v>
      </c>
      <c r="E64" s="166">
        <f>E31</f>
        <v>-45937</v>
      </c>
      <c r="F64" s="166">
        <f>F31</f>
        <v>-45937</v>
      </c>
      <c r="G64" s="166"/>
      <c r="H64" s="166"/>
      <c r="I64" s="166"/>
      <c r="J64" s="166"/>
      <c r="K64" s="166"/>
      <c r="N64" s="181"/>
      <c r="O64" s="181"/>
    </row>
    <row r="65" spans="1:15" ht="12.75">
      <c r="A65" s="166">
        <v>8</v>
      </c>
      <c r="B65" s="169"/>
      <c r="C65" s="223"/>
      <c r="D65" s="166" t="s">
        <v>346</v>
      </c>
      <c r="E65" s="166">
        <f>+'Income Statement Cash Flows'!E63</f>
        <v>-30600</v>
      </c>
      <c r="F65" s="166">
        <f>+'Income Statement Cash Flows'!F63</f>
        <v>-30600</v>
      </c>
      <c r="G65" s="166"/>
      <c r="H65" s="166"/>
      <c r="I65" s="166"/>
      <c r="J65" s="166"/>
      <c r="K65" s="166"/>
      <c r="N65" s="181"/>
      <c r="O65" s="181"/>
    </row>
    <row r="66" spans="1:15" ht="12.75">
      <c r="A66" s="166">
        <v>9</v>
      </c>
      <c r="C66" s="214" t="s">
        <v>721</v>
      </c>
      <c r="E66" s="166">
        <f>+'Income Statement Cash Flows'!E64</f>
        <v>-4100</v>
      </c>
      <c r="F66" s="166">
        <f>+'Income Statement Cash Flows'!F64</f>
        <v>-4300</v>
      </c>
      <c r="G66" s="166"/>
      <c r="H66" s="166"/>
      <c r="I66" s="166"/>
      <c r="J66" s="166"/>
      <c r="K66" s="166"/>
      <c r="N66" s="181"/>
      <c r="O66" s="181"/>
    </row>
    <row r="67" spans="1:15" ht="12.75">
      <c r="A67" s="166">
        <v>10</v>
      </c>
      <c r="B67" s="169"/>
      <c r="C67" s="214" t="s">
        <v>682</v>
      </c>
      <c r="D67" s="166"/>
      <c r="E67" s="166">
        <f>+'Income Statement Cash Flows'!E65</f>
        <v>16590</v>
      </c>
      <c r="F67" s="166">
        <f>+'Income Statement Cash Flows'!F65</f>
        <v>15885</v>
      </c>
      <c r="G67" s="166"/>
      <c r="H67" s="166"/>
      <c r="I67" s="166"/>
      <c r="J67" s="166"/>
      <c r="K67" s="166"/>
      <c r="N67" s="181"/>
      <c r="O67" s="181"/>
    </row>
    <row r="68" spans="1:15" ht="12.75">
      <c r="A68" s="166">
        <v>11</v>
      </c>
      <c r="B68" s="219"/>
      <c r="C68" s="218" t="s">
        <v>347</v>
      </c>
      <c r="D68" s="219"/>
      <c r="E68" s="335">
        <v>0</v>
      </c>
      <c r="F68" s="335">
        <f>E68*-1</f>
        <v>0</v>
      </c>
      <c r="G68" s="221"/>
      <c r="H68" s="166"/>
      <c r="I68" s="221"/>
      <c r="J68" s="166"/>
      <c r="K68" s="221"/>
      <c r="N68" s="181"/>
      <c r="O68" s="181"/>
    </row>
    <row r="69" spans="1:15" ht="12.75">
      <c r="A69" s="166">
        <v>12</v>
      </c>
      <c r="B69" s="166" t="s">
        <v>240</v>
      </c>
      <c r="C69" s="166"/>
      <c r="D69" s="166"/>
      <c r="E69" s="221">
        <f>SUM(E59:E68)</f>
        <v>473633.62024153664</v>
      </c>
      <c r="F69" s="221">
        <f>SUM(F59:F68)</f>
        <v>533849.9339644535</v>
      </c>
      <c r="G69" s="166"/>
      <c r="H69" s="166"/>
      <c r="I69" s="166"/>
      <c r="J69" s="166"/>
      <c r="K69" s="166"/>
      <c r="N69" s="181"/>
      <c r="O69" s="181"/>
    </row>
    <row r="70" spans="1:15" ht="12.75">
      <c r="A70" s="166">
        <v>13</v>
      </c>
      <c r="B70" s="166"/>
      <c r="C70" s="166"/>
      <c r="D70" s="166"/>
      <c r="E70" s="166"/>
      <c r="F70" s="166"/>
      <c r="G70" s="166"/>
      <c r="H70" s="166"/>
      <c r="I70" s="166"/>
      <c r="J70" s="166"/>
      <c r="K70" s="166"/>
      <c r="N70" s="181"/>
      <c r="O70" s="181"/>
    </row>
    <row r="71" spans="1:15" ht="12.75">
      <c r="A71" s="166">
        <v>14</v>
      </c>
      <c r="B71" s="166" t="s">
        <v>348</v>
      </c>
      <c r="C71" s="166"/>
      <c r="D71" s="166"/>
      <c r="E71" s="166"/>
      <c r="F71" s="166"/>
      <c r="G71" s="166"/>
      <c r="H71" s="166"/>
      <c r="I71" s="166"/>
      <c r="J71" s="166"/>
      <c r="K71" s="166"/>
      <c r="N71" s="181"/>
      <c r="O71" s="181"/>
    </row>
    <row r="72" spans="1:15" ht="12.75">
      <c r="A72" s="166">
        <v>15</v>
      </c>
      <c r="B72" s="166"/>
      <c r="C72" s="166" t="s">
        <v>241</v>
      </c>
      <c r="D72" s="166"/>
      <c r="E72" s="166"/>
      <c r="F72" s="166"/>
      <c r="G72" s="166"/>
      <c r="H72" s="166"/>
      <c r="I72" s="166"/>
      <c r="J72" s="166"/>
      <c r="K72" s="166"/>
      <c r="N72" s="181"/>
      <c r="O72" s="181"/>
    </row>
    <row r="73" spans="1:15" ht="12.75">
      <c r="A73" s="166">
        <v>16</v>
      </c>
      <c r="B73" s="166"/>
      <c r="C73" s="166"/>
      <c r="D73" s="166" t="s">
        <v>349</v>
      </c>
      <c r="E73" s="166">
        <f>+'Income Statement Cash Flows'!E70</f>
        <v>-280737.0431</v>
      </c>
      <c r="F73" s="166">
        <f>+'Income Statement Cash Flows'!F70</f>
        <v>-323018.17079999996</v>
      </c>
      <c r="G73" s="166"/>
      <c r="H73" s="166"/>
      <c r="I73" s="166"/>
      <c r="J73" s="166"/>
      <c r="K73" s="166"/>
      <c r="N73" s="181"/>
      <c r="O73" s="181"/>
    </row>
    <row r="74" spans="1:15" ht="12.75">
      <c r="A74" s="166">
        <v>17</v>
      </c>
      <c r="B74" s="166"/>
      <c r="C74" s="166"/>
      <c r="D74" s="166" t="s">
        <v>229</v>
      </c>
      <c r="E74" s="274">
        <f>+'Income Statement Cash Flows'!E71</f>
        <v>-47266.246</v>
      </c>
      <c r="F74" s="274">
        <f>+'Income Statement Cash Flows'!F71</f>
        <v>-47266.246</v>
      </c>
      <c r="G74" s="166"/>
      <c r="H74" s="166"/>
      <c r="I74" s="166"/>
      <c r="J74" s="166"/>
      <c r="K74" s="166"/>
      <c r="N74" s="181"/>
      <c r="O74" s="181"/>
    </row>
    <row r="75" spans="1:15" ht="12.75">
      <c r="A75" s="166">
        <v>18</v>
      </c>
      <c r="B75" s="166" t="s">
        <v>348</v>
      </c>
      <c r="C75" s="166"/>
      <c r="D75" s="166"/>
      <c r="E75" s="166">
        <f>SUM(E73:E74)</f>
        <v>-328003.2891</v>
      </c>
      <c r="F75" s="166">
        <f>SUM(F73:F74)</f>
        <v>-370284.41679999995</v>
      </c>
      <c r="G75" s="166"/>
      <c r="H75" s="166"/>
      <c r="I75" s="166"/>
      <c r="J75" s="166"/>
      <c r="K75" s="166"/>
      <c r="N75" s="181"/>
      <c r="O75" s="181"/>
    </row>
    <row r="76" spans="1:15" ht="12.75">
      <c r="A76" s="166">
        <v>19</v>
      </c>
      <c r="B76" s="166"/>
      <c r="C76" s="166"/>
      <c r="D76" s="166"/>
      <c r="E76" s="166"/>
      <c r="F76" s="166"/>
      <c r="G76" s="166"/>
      <c r="H76" s="166"/>
      <c r="I76" s="166"/>
      <c r="J76" s="166"/>
      <c r="K76" s="166"/>
      <c r="N76" s="181"/>
      <c r="O76" s="181"/>
    </row>
    <row r="77" spans="1:15" ht="12.75">
      <c r="A77" s="166">
        <v>20</v>
      </c>
      <c r="B77" s="166" t="s">
        <v>350</v>
      </c>
      <c r="C77" s="166"/>
      <c r="D77" s="166"/>
      <c r="E77" s="166"/>
      <c r="F77" s="166"/>
      <c r="G77" s="166"/>
      <c r="H77" s="166"/>
      <c r="I77" s="166"/>
      <c r="J77" s="166"/>
      <c r="K77" s="166"/>
      <c r="N77" s="181"/>
      <c r="O77" s="181"/>
    </row>
    <row r="78" spans="1:15" ht="12.75">
      <c r="A78" s="166">
        <v>21</v>
      </c>
      <c r="C78" s="166" t="s">
        <v>351</v>
      </c>
      <c r="D78" s="166"/>
      <c r="E78" s="166">
        <f>E75*-1-E80-E83</f>
        <v>308884.51399999997</v>
      </c>
      <c r="F78" s="166">
        <f>F75*-1-F80-F83</f>
        <v>327638.51399999997</v>
      </c>
      <c r="G78" s="166"/>
      <c r="H78" s="166"/>
      <c r="I78" s="166"/>
      <c r="J78" s="166"/>
      <c r="K78" s="166"/>
      <c r="N78" s="181"/>
      <c r="O78" s="181"/>
    </row>
    <row r="79" spans="1:15" ht="12.75">
      <c r="A79" s="166">
        <v>22</v>
      </c>
      <c r="C79" s="166" t="s">
        <v>353</v>
      </c>
      <c r="D79" s="166"/>
      <c r="E79" s="166">
        <f>+'Income Statement Cash Flows'!E76</f>
        <v>-173072</v>
      </c>
      <c r="F79" s="166">
        <f>+'Income Statement Cash Flows'!F76</f>
        <v>-518065</v>
      </c>
      <c r="G79" s="166"/>
      <c r="H79" s="166"/>
      <c r="I79" s="166"/>
      <c r="J79" s="166"/>
      <c r="K79" s="166"/>
      <c r="N79" s="181"/>
      <c r="O79" s="181"/>
    </row>
    <row r="80" spans="1:15" ht="12.75">
      <c r="A80" s="166">
        <v>23</v>
      </c>
      <c r="C80" s="166" t="s">
        <v>246</v>
      </c>
      <c r="D80" s="166"/>
      <c r="E80" s="166">
        <f>+'Income Statement Cash Flows'!E77</f>
        <v>19118.7751</v>
      </c>
      <c r="F80" s="166">
        <f>+'Income Statement Cash Flows'!F77</f>
        <v>42645.902799999996</v>
      </c>
      <c r="G80" s="166"/>
      <c r="H80" s="166"/>
      <c r="I80" s="166"/>
      <c r="J80" s="166"/>
      <c r="K80" s="166"/>
      <c r="N80" s="181"/>
      <c r="O80" s="181"/>
    </row>
    <row r="81" spans="1:15" ht="12.75">
      <c r="A81" s="166">
        <v>24</v>
      </c>
      <c r="C81" s="166" t="s">
        <v>247</v>
      </c>
      <c r="D81" s="166"/>
      <c r="E81" s="166">
        <f>+'Income Statement Cash Flows'!E78</f>
        <v>0</v>
      </c>
      <c r="F81" s="166">
        <f>+'Income Statement Cash Flows'!F78</f>
        <v>0</v>
      </c>
      <c r="G81" s="166"/>
      <c r="H81" s="166"/>
      <c r="I81" s="166"/>
      <c r="J81" s="166"/>
      <c r="K81" s="166"/>
      <c r="N81" s="181"/>
      <c r="O81" s="181"/>
    </row>
    <row r="82" spans="1:15" ht="12.75">
      <c r="A82" s="166">
        <v>25</v>
      </c>
      <c r="C82" s="166" t="s">
        <v>567</v>
      </c>
      <c r="D82" s="166"/>
      <c r="E82" s="166">
        <f>+'Income Statement Cash Flows'!E79</f>
        <v>-268581.1</v>
      </c>
      <c r="F82" s="166">
        <f>+'Income Statement Cash Flows'!F79</f>
        <v>-22870.6</v>
      </c>
      <c r="G82" s="166"/>
      <c r="H82" s="166"/>
      <c r="I82" s="166"/>
      <c r="J82" s="166"/>
      <c r="K82" s="166"/>
      <c r="N82" s="181"/>
      <c r="O82" s="181"/>
    </row>
    <row r="83" spans="1:15" ht="12.75">
      <c r="A83" s="166">
        <v>26</v>
      </c>
      <c r="C83" s="166" t="s">
        <v>352</v>
      </c>
      <c r="D83" s="166"/>
      <c r="E83" s="166">
        <f>+'Income Statement Cash Flows'!E80</f>
        <v>0</v>
      </c>
      <c r="F83" s="166">
        <f>+'Revised Revenue Test'!F85</f>
        <v>0</v>
      </c>
      <c r="G83" s="166"/>
      <c r="H83" s="166"/>
      <c r="I83" s="166"/>
      <c r="J83" s="166"/>
      <c r="K83" s="166"/>
      <c r="N83" s="181"/>
      <c r="O83" s="181"/>
    </row>
    <row r="84" spans="1:11" ht="12.75">
      <c r="A84" s="166">
        <v>27</v>
      </c>
      <c r="C84" s="166" t="s">
        <v>248</v>
      </c>
      <c r="D84" s="166"/>
      <c r="E84" s="274">
        <f>+'Income Statement Cash Flows'!E81</f>
        <v>-24331</v>
      </c>
      <c r="F84" s="274">
        <f>+'Income Statement Cash Flows'!F81</f>
        <v>-14747</v>
      </c>
      <c r="G84" s="166"/>
      <c r="H84" s="166"/>
      <c r="I84" s="166"/>
      <c r="J84" s="166"/>
      <c r="K84" s="166"/>
    </row>
    <row r="85" spans="1:11" ht="12.75">
      <c r="A85" s="166">
        <v>28</v>
      </c>
      <c r="B85" s="166" t="s">
        <v>354</v>
      </c>
      <c r="C85" s="166"/>
      <c r="D85" s="166"/>
      <c r="E85" s="166">
        <f>SUM(E78:E84)</f>
        <v>-137980.8109</v>
      </c>
      <c r="F85" s="166">
        <f>SUM(F78:F84)</f>
        <v>-185398.18320000006</v>
      </c>
      <c r="G85" s="166"/>
      <c r="H85" s="166"/>
      <c r="I85" s="166"/>
      <c r="J85" s="166"/>
      <c r="K85" s="166"/>
    </row>
    <row r="86" spans="1:11" ht="12.75">
      <c r="A86" s="166">
        <v>29</v>
      </c>
      <c r="B86" s="166"/>
      <c r="C86" s="166"/>
      <c r="D86" s="166"/>
      <c r="E86" s="166"/>
      <c r="F86" s="166"/>
      <c r="G86" s="166"/>
      <c r="H86" s="166"/>
      <c r="I86" s="166"/>
      <c r="J86" s="166"/>
      <c r="K86" s="166"/>
    </row>
    <row r="87" spans="1:11" ht="12.75">
      <c r="A87" s="166">
        <v>30</v>
      </c>
      <c r="B87" s="219" t="s">
        <v>250</v>
      </c>
      <c r="C87" s="219"/>
      <c r="D87" s="219"/>
      <c r="E87" s="219">
        <f>E69+E75+E85</f>
        <v>7649.520241536637</v>
      </c>
      <c r="F87" s="219">
        <f>F69+F75+F85</f>
        <v>-21832.666035546485</v>
      </c>
      <c r="G87" s="166"/>
      <c r="H87" s="166"/>
      <c r="I87" s="166"/>
      <c r="J87" s="166"/>
      <c r="K87" s="166"/>
    </row>
    <row r="88" spans="1:11" ht="12.75">
      <c r="A88" s="166"/>
      <c r="B88" s="166"/>
      <c r="C88" s="166"/>
      <c r="D88" s="166"/>
      <c r="E88" s="166"/>
      <c r="F88" s="166"/>
      <c r="G88" s="166"/>
      <c r="H88" s="166"/>
      <c r="I88" s="166"/>
      <c r="J88" s="166"/>
      <c r="K88" s="166"/>
    </row>
    <row r="89" spans="1:11" ht="12.75">
      <c r="A89" s="166"/>
      <c r="B89" s="166"/>
      <c r="C89" s="166"/>
      <c r="D89" s="226"/>
      <c r="E89" s="166"/>
      <c r="F89" s="166"/>
      <c r="G89" s="166"/>
      <c r="H89" s="166"/>
      <c r="I89" s="166"/>
      <c r="J89" s="166"/>
      <c r="K89" s="166"/>
    </row>
    <row r="90" spans="3:11" ht="12.75">
      <c r="C90" s="166"/>
      <c r="D90" s="226"/>
      <c r="E90" s="166"/>
      <c r="F90" s="166"/>
      <c r="G90" s="166"/>
      <c r="H90" s="166"/>
      <c r="I90" s="166"/>
      <c r="J90" s="166"/>
      <c r="K90" s="166"/>
    </row>
    <row r="91" spans="1:11" ht="12.75">
      <c r="A91" s="166"/>
      <c r="C91" s="166"/>
      <c r="D91" s="226"/>
      <c r="E91" s="166"/>
      <c r="F91" s="166"/>
      <c r="G91" s="166"/>
      <c r="H91" s="166"/>
      <c r="I91" s="166"/>
      <c r="J91" s="166"/>
      <c r="K91" s="166"/>
    </row>
    <row r="92" spans="1:11" ht="12.75">
      <c r="A92" s="166"/>
      <c r="B92" s="166"/>
      <c r="C92" s="166" t="s">
        <v>355</v>
      </c>
      <c r="D92" s="166"/>
      <c r="E92" s="166">
        <f>E58+E62+E61+E64+E65+E75+E85+'interest credit calculations'!C123</f>
        <v>-4818.967758463608</v>
      </c>
      <c r="F92" s="166">
        <f>F58+F62+F61+F64+F65+F75+F85+'interest credit calculations'!D123</f>
        <v>-33262.545235546335</v>
      </c>
      <c r="G92" s="166"/>
      <c r="H92" s="166"/>
      <c r="I92" s="166"/>
      <c r="J92" s="166"/>
      <c r="K92" s="166"/>
    </row>
    <row r="93" spans="1:11" ht="12.75">
      <c r="A93" s="166"/>
      <c r="B93" s="166"/>
      <c r="G93" s="166"/>
      <c r="H93" s="166"/>
      <c r="I93" s="166"/>
      <c r="J93" s="166"/>
      <c r="K93" s="166"/>
    </row>
    <row r="94" spans="5:7" ht="12.75">
      <c r="E94" s="166"/>
      <c r="F94" s="166"/>
      <c r="G94" s="166"/>
    </row>
    <row r="95" spans="5:7" ht="12.75">
      <c r="E95" s="166"/>
      <c r="F95" s="166"/>
      <c r="G95" s="166"/>
    </row>
    <row r="96" spans="2:7" ht="12.75">
      <c r="B96" s="166"/>
      <c r="C96" s="166"/>
      <c r="D96" s="166"/>
      <c r="E96" s="166"/>
      <c r="F96" s="166"/>
      <c r="G96" s="166"/>
    </row>
    <row r="97" spans="5:7" ht="12.75">
      <c r="E97" s="166"/>
      <c r="F97" s="166"/>
      <c r="G97" s="166"/>
    </row>
    <row r="98" spans="5:7" ht="12.75">
      <c r="E98" s="166"/>
      <c r="F98" s="166"/>
      <c r="G98" s="166"/>
    </row>
    <row r="99" spans="5:7" ht="12.75">
      <c r="E99" s="166"/>
      <c r="F99" s="166"/>
      <c r="G99" s="166"/>
    </row>
    <row r="100" spans="5:7" ht="12.75">
      <c r="E100" s="166"/>
      <c r="F100" s="166"/>
      <c r="G100" s="166"/>
    </row>
    <row r="101" spans="5:7" ht="12.75">
      <c r="E101" s="166"/>
      <c r="F101" s="166"/>
      <c r="G101" s="166"/>
    </row>
    <row r="102" spans="5:7" ht="12.75">
      <c r="E102" s="166"/>
      <c r="F102" s="166"/>
      <c r="G102" s="166"/>
    </row>
    <row r="103" spans="5:7" ht="12.75">
      <c r="E103" s="166"/>
      <c r="F103" s="166"/>
      <c r="G103" s="166"/>
    </row>
    <row r="104" spans="5:7" ht="12.75">
      <c r="E104" s="166"/>
      <c r="F104" s="166"/>
      <c r="G104" s="166"/>
    </row>
    <row r="105" spans="5:7" ht="12.75">
      <c r="E105" s="166"/>
      <c r="F105" s="166"/>
      <c r="G105" s="166"/>
    </row>
    <row r="106" spans="5:7" ht="12.75">
      <c r="E106" s="166"/>
      <c r="F106" s="166"/>
      <c r="G106" s="166"/>
    </row>
    <row r="107" spans="5:7" ht="12.75">
      <c r="E107" s="166"/>
      <c r="F107" s="166"/>
      <c r="G107" s="166"/>
    </row>
    <row r="108" spans="5:7" ht="12.75">
      <c r="E108" s="166"/>
      <c r="F108" s="166"/>
      <c r="G108" s="166"/>
    </row>
    <row r="109" spans="5:7" ht="12.75">
      <c r="E109" s="166"/>
      <c r="F109" s="166"/>
      <c r="G109" s="166"/>
    </row>
    <row r="110" spans="5:7" ht="12.75">
      <c r="E110" s="166"/>
      <c r="F110" s="166"/>
      <c r="G110" s="166"/>
    </row>
    <row r="111" spans="5:7" ht="12.75">
      <c r="E111" s="166"/>
      <c r="F111" s="166"/>
      <c r="G111" s="166"/>
    </row>
    <row r="112" spans="5:7" ht="12.75">
      <c r="E112" s="166"/>
      <c r="F112" s="166"/>
      <c r="G112" s="166"/>
    </row>
    <row r="113" spans="5:7" ht="12.75">
      <c r="E113" s="166"/>
      <c r="F113" s="166"/>
      <c r="G113" s="166"/>
    </row>
    <row r="114" spans="5:7" ht="12.75">
      <c r="E114" s="166"/>
      <c r="F114" s="166"/>
      <c r="G114" s="166"/>
    </row>
    <row r="115" spans="5:7" ht="12.75">
      <c r="E115" s="166"/>
      <c r="F115" s="166"/>
      <c r="G115" s="166"/>
    </row>
    <row r="116" spans="5:7" ht="12.75">
      <c r="E116" s="166"/>
      <c r="F116" s="166"/>
      <c r="G116" s="166"/>
    </row>
    <row r="117" spans="5:7" ht="12.75">
      <c r="E117" s="166"/>
      <c r="F117" s="166"/>
      <c r="G117" s="166"/>
    </row>
    <row r="118" spans="5:7" ht="12.75">
      <c r="E118" s="166"/>
      <c r="F118" s="166"/>
      <c r="G118" s="166"/>
    </row>
    <row r="119" spans="5:7" ht="12.75">
      <c r="E119" s="166"/>
      <c r="F119" s="166"/>
      <c r="G119" s="166"/>
    </row>
    <row r="120" spans="5:7" ht="12.75">
      <c r="E120" s="166"/>
      <c r="F120" s="166"/>
      <c r="G120" s="166"/>
    </row>
    <row r="121" spans="5:7" ht="12.75">
      <c r="E121" s="166"/>
      <c r="F121" s="166"/>
      <c r="G121" s="166"/>
    </row>
    <row r="122" spans="5:7" ht="12.75">
      <c r="E122" s="166"/>
      <c r="F122" s="166"/>
      <c r="G122" s="166"/>
    </row>
    <row r="123" spans="5:7" ht="12.75">
      <c r="E123" s="166"/>
      <c r="F123" s="166"/>
      <c r="G123" s="166"/>
    </row>
    <row r="124" spans="5:7" ht="12.75">
      <c r="E124" s="166"/>
      <c r="F124" s="166"/>
      <c r="G124" s="166"/>
    </row>
    <row r="125" spans="5:7" ht="12.75">
      <c r="E125" s="166"/>
      <c r="F125" s="166"/>
      <c r="G125" s="166"/>
    </row>
    <row r="126" spans="5:7" ht="12.75">
      <c r="E126" s="166"/>
      <c r="F126" s="166"/>
      <c r="G126" s="166"/>
    </row>
    <row r="127" spans="5:7" ht="12.75">
      <c r="E127" s="166"/>
      <c r="F127" s="166"/>
      <c r="G127" s="166"/>
    </row>
    <row r="128" spans="5:7" ht="12.75">
      <c r="E128" s="166"/>
      <c r="F128" s="166"/>
      <c r="G128" s="166"/>
    </row>
    <row r="129" spans="5:7" ht="12.75">
      <c r="E129" s="166"/>
      <c r="F129" s="166"/>
      <c r="G129" s="166"/>
    </row>
    <row r="130" spans="5:7" ht="12.75">
      <c r="E130" s="166"/>
      <c r="F130" s="166"/>
      <c r="G130" s="166"/>
    </row>
    <row r="131" spans="5:7" ht="12.75">
      <c r="E131" s="166"/>
      <c r="F131" s="166"/>
      <c r="G131" s="166"/>
    </row>
    <row r="132" spans="5:7" ht="12.75">
      <c r="E132" s="166"/>
      <c r="F132" s="166"/>
      <c r="G132" s="166"/>
    </row>
    <row r="133" spans="5:7" ht="12.75">
      <c r="E133" s="166"/>
      <c r="F133" s="166"/>
      <c r="G133" s="166"/>
    </row>
    <row r="134" spans="5:7" ht="12.75">
      <c r="E134" s="166"/>
      <c r="F134" s="166"/>
      <c r="G134" s="166"/>
    </row>
    <row r="135" spans="5:7" ht="12.75">
      <c r="E135" s="166"/>
      <c r="F135" s="166"/>
      <c r="G135" s="166"/>
    </row>
    <row r="136" spans="5:7" ht="12.75">
      <c r="E136" s="166"/>
      <c r="F136" s="166"/>
      <c r="G136" s="166"/>
    </row>
    <row r="137" spans="5:7" ht="12.75">
      <c r="E137" s="166"/>
      <c r="F137" s="166"/>
      <c r="G137" s="166"/>
    </row>
    <row r="138" spans="5:7" ht="12.75">
      <c r="E138" s="166"/>
      <c r="F138" s="166"/>
      <c r="G138" s="166"/>
    </row>
    <row r="139" spans="5:7" ht="12.75">
      <c r="E139" s="166"/>
      <c r="F139" s="166"/>
      <c r="G139" s="166"/>
    </row>
    <row r="140" spans="5:7" ht="12.75">
      <c r="E140" s="166"/>
      <c r="F140" s="166"/>
      <c r="G140" s="166"/>
    </row>
    <row r="141" spans="5:7" ht="12.75">
      <c r="E141" s="166"/>
      <c r="F141" s="166"/>
      <c r="G141" s="166"/>
    </row>
    <row r="142" spans="5:7" ht="12.75">
      <c r="E142" s="166"/>
      <c r="F142" s="166"/>
      <c r="G142" s="166"/>
    </row>
    <row r="143" spans="5:7" ht="12.75">
      <c r="E143" s="166"/>
      <c r="F143" s="166"/>
      <c r="G143" s="166"/>
    </row>
    <row r="144" spans="5:7" ht="12.75">
      <c r="E144" s="166"/>
      <c r="F144" s="166"/>
      <c r="G144" s="166"/>
    </row>
    <row r="145" spans="5:7" ht="12.75">
      <c r="E145" s="166"/>
      <c r="F145" s="166"/>
      <c r="G145" s="166"/>
    </row>
  </sheetData>
  <mergeCells count="6">
    <mergeCell ref="A53:F53"/>
    <mergeCell ref="A1:F1"/>
    <mergeCell ref="A2:F2"/>
    <mergeCell ref="A3:F3"/>
    <mergeCell ref="A51:F51"/>
    <mergeCell ref="A52:F52"/>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T12"/>
  <sheetViews>
    <sheetView workbookViewId="0" topLeftCell="A4">
      <selection activeCell="J22" sqref="J22"/>
    </sheetView>
  </sheetViews>
  <sheetFormatPr defaultColWidth="9.140625" defaultRowHeight="12.75"/>
  <cols>
    <col min="4" max="4" width="34.57421875" style="0" bestFit="1" customWidth="1"/>
    <col min="5" max="5" width="15.421875" style="0" hidden="1" customWidth="1"/>
    <col min="6" max="7" width="15.421875" style="0" bestFit="1" customWidth="1"/>
    <col min="8" max="20" width="15.00390625" style="0" bestFit="1" customWidth="1"/>
  </cols>
  <sheetData>
    <row r="1" spans="1:7" ht="18.75">
      <c r="A1" s="128" t="s">
        <v>407</v>
      </c>
      <c r="B1" s="128"/>
      <c r="C1" s="128"/>
      <c r="D1" s="128"/>
      <c r="E1" s="128"/>
      <c r="F1" s="128"/>
      <c r="G1" s="128"/>
    </row>
    <row r="4" spans="5:7" ht="30.75" customHeight="1">
      <c r="E4" t="s">
        <v>398</v>
      </c>
      <c r="F4" t="s">
        <v>398</v>
      </c>
      <c r="G4" t="s">
        <v>398</v>
      </c>
    </row>
    <row r="5" spans="5:20" ht="24.75" customHeight="1">
      <c r="E5" s="149"/>
      <c r="F5" s="149">
        <v>2020</v>
      </c>
      <c r="G5" s="149">
        <v>2021</v>
      </c>
      <c r="H5" s="149">
        <v>2022</v>
      </c>
      <c r="I5" s="149">
        <v>2023</v>
      </c>
      <c r="J5" s="149">
        <v>2024</v>
      </c>
      <c r="K5" s="149">
        <v>2025</v>
      </c>
      <c r="L5" s="149">
        <v>2026</v>
      </c>
      <c r="M5" s="149">
        <v>2027</v>
      </c>
      <c r="N5" s="149">
        <v>2028</v>
      </c>
      <c r="O5" s="149">
        <v>2029</v>
      </c>
      <c r="P5" s="149">
        <v>2030</v>
      </c>
      <c r="Q5" s="149">
        <v>2031</v>
      </c>
      <c r="R5" s="149">
        <v>2032</v>
      </c>
      <c r="S5" s="149">
        <v>2033</v>
      </c>
      <c r="T5" s="149">
        <v>2034</v>
      </c>
    </row>
    <row r="6" spans="5:7" ht="37.5" customHeight="1">
      <c r="E6" s="7" t="s">
        <v>147</v>
      </c>
      <c r="F6" s="149">
        <v>2022</v>
      </c>
      <c r="G6" s="149">
        <v>2021</v>
      </c>
    </row>
    <row r="7" spans="1:20" ht="12.75">
      <c r="A7" t="s">
        <v>148</v>
      </c>
      <c r="B7" t="s">
        <v>149</v>
      </c>
      <c r="C7">
        <v>1162</v>
      </c>
      <c r="D7" t="s">
        <v>151</v>
      </c>
      <c r="E7" s="7">
        <v>650312.04</v>
      </c>
      <c r="F7" s="20">
        <v>801792</v>
      </c>
      <c r="G7" s="20">
        <v>622902</v>
      </c>
      <c r="H7" s="7">
        <v>629400</v>
      </c>
      <c r="I7" s="7">
        <v>635970</v>
      </c>
      <c r="J7" s="7">
        <v>642611</v>
      </c>
      <c r="K7" s="7">
        <v>649319</v>
      </c>
      <c r="L7" s="7">
        <v>656088</v>
      </c>
      <c r="M7" s="7">
        <v>662919</v>
      </c>
      <c r="N7" s="7">
        <v>669806</v>
      </c>
      <c r="O7" s="7">
        <v>676760</v>
      </c>
      <c r="P7" s="7"/>
      <c r="Q7" s="7"/>
      <c r="R7" s="7"/>
      <c r="S7" s="7"/>
      <c r="T7" s="7"/>
    </row>
    <row r="8" spans="1:20" ht="12.75">
      <c r="A8" t="s">
        <v>148</v>
      </c>
      <c r="B8" t="s">
        <v>149</v>
      </c>
      <c r="C8">
        <v>1164</v>
      </c>
      <c r="D8" t="s">
        <v>150</v>
      </c>
      <c r="E8" s="7">
        <v>9454.45</v>
      </c>
      <c r="F8" s="20">
        <v>1286</v>
      </c>
      <c r="G8" s="20">
        <v>1328</v>
      </c>
      <c r="H8" s="7">
        <v>1339</v>
      </c>
      <c r="I8" s="7">
        <v>1350</v>
      </c>
      <c r="J8" s="7">
        <v>1361</v>
      </c>
      <c r="K8" s="7">
        <v>1373</v>
      </c>
      <c r="L8" s="7">
        <v>1384</v>
      </c>
      <c r="M8" s="7">
        <v>1396</v>
      </c>
      <c r="N8" s="7">
        <v>1408</v>
      </c>
      <c r="O8" s="7">
        <v>1420</v>
      </c>
      <c r="P8" s="7"/>
      <c r="Q8" s="7"/>
      <c r="R8" s="7"/>
      <c r="S8" s="7"/>
      <c r="T8" s="7"/>
    </row>
    <row r="9" spans="5:20" ht="12.75">
      <c r="E9" s="7"/>
      <c r="F9" s="233"/>
      <c r="G9" s="233"/>
      <c r="H9" s="7"/>
      <c r="I9" s="7"/>
      <c r="J9" s="7"/>
      <c r="K9" s="7"/>
      <c r="L9" s="7"/>
      <c r="M9" s="7"/>
      <c r="N9" s="7"/>
      <c r="O9" s="7"/>
      <c r="P9" s="7"/>
      <c r="Q9" s="7"/>
      <c r="R9" s="7"/>
      <c r="S9" s="7"/>
      <c r="T9" s="7"/>
    </row>
    <row r="10" spans="1:20" ht="15">
      <c r="A10" s="132"/>
      <c r="B10" s="132"/>
      <c r="C10" s="132"/>
      <c r="D10" s="132"/>
      <c r="E10" s="150"/>
      <c r="F10" s="255"/>
      <c r="G10" s="255"/>
      <c r="H10" s="7"/>
      <c r="I10" s="7"/>
      <c r="J10" s="7"/>
      <c r="K10" s="7"/>
      <c r="L10" s="7"/>
      <c r="M10" s="7"/>
      <c r="N10" s="7"/>
      <c r="O10" s="7"/>
      <c r="P10" s="7"/>
      <c r="Q10" s="7"/>
      <c r="R10" s="7"/>
      <c r="S10" s="7"/>
      <c r="T10" s="7"/>
    </row>
    <row r="11" spans="6:7" ht="12.75">
      <c r="F11" s="104"/>
      <c r="G11" s="104"/>
    </row>
    <row r="12" spans="4:20" ht="12.75">
      <c r="D12" t="s">
        <v>153</v>
      </c>
      <c r="E12" s="15">
        <f>+E7+E8</f>
        <v>659766.49</v>
      </c>
      <c r="F12" s="256">
        <f>+F7+F8</f>
        <v>803078</v>
      </c>
      <c r="G12" s="256">
        <f aca="true" t="shared" si="0" ref="G12:T12">+G7+G8</f>
        <v>624230</v>
      </c>
      <c r="H12" s="15">
        <f t="shared" si="0"/>
        <v>630739</v>
      </c>
      <c r="I12" s="15">
        <f t="shared" si="0"/>
        <v>637320</v>
      </c>
      <c r="J12" s="15">
        <f t="shared" si="0"/>
        <v>643972</v>
      </c>
      <c r="K12" s="15">
        <f t="shared" si="0"/>
        <v>650692</v>
      </c>
      <c r="L12" s="15">
        <f t="shared" si="0"/>
        <v>657472</v>
      </c>
      <c r="M12" s="15">
        <f t="shared" si="0"/>
        <v>664315</v>
      </c>
      <c r="N12" s="15">
        <f t="shared" si="0"/>
        <v>671214</v>
      </c>
      <c r="O12" s="15">
        <f t="shared" si="0"/>
        <v>678180</v>
      </c>
      <c r="P12" s="15">
        <f t="shared" si="0"/>
        <v>0</v>
      </c>
      <c r="Q12" s="15">
        <f t="shared" si="0"/>
        <v>0</v>
      </c>
      <c r="R12" s="15">
        <f t="shared" si="0"/>
        <v>0</v>
      </c>
      <c r="S12" s="15">
        <f t="shared" si="0"/>
        <v>0</v>
      </c>
      <c r="T12" s="15">
        <f t="shared" si="0"/>
        <v>0</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E15"/>
  <sheetViews>
    <sheetView workbookViewId="0" topLeftCell="A1">
      <selection activeCell="G6" sqref="G6"/>
    </sheetView>
  </sheetViews>
  <sheetFormatPr defaultColWidth="9.140625" defaultRowHeight="12.75"/>
  <cols>
    <col min="1" max="1" width="32.28125" style="0" bestFit="1" customWidth="1"/>
    <col min="2" max="2" width="5.421875" style="0" bestFit="1" customWidth="1"/>
    <col min="3" max="5" width="14.00390625" style="0" bestFit="1" customWidth="1"/>
  </cols>
  <sheetData>
    <row r="1" spans="1:5" ht="15" customHeight="1">
      <c r="A1" s="128" t="s">
        <v>397</v>
      </c>
      <c r="B1" s="129"/>
      <c r="C1" s="129"/>
      <c r="D1" s="129"/>
      <c r="E1" s="129"/>
    </row>
    <row r="2" ht="15" customHeight="1"/>
    <row r="3" ht="15" customHeight="1"/>
    <row r="4" ht="15" customHeight="1"/>
    <row r="5" spans="3:5" ht="15" customHeight="1">
      <c r="C5" t="s">
        <v>579</v>
      </c>
      <c r="D5" t="s">
        <v>579</v>
      </c>
      <c r="E5" t="s">
        <v>579</v>
      </c>
    </row>
    <row r="6" spans="3:5" ht="15" customHeight="1">
      <c r="C6" s="149">
        <v>2017</v>
      </c>
      <c r="D6" s="149">
        <v>2018</v>
      </c>
      <c r="E6" s="149">
        <v>2019</v>
      </c>
    </row>
    <row r="7" spans="1:5" ht="15" customHeight="1">
      <c r="A7" t="s">
        <v>399</v>
      </c>
      <c r="B7" t="s">
        <v>400</v>
      </c>
      <c r="C7" s="130">
        <v>1204624</v>
      </c>
      <c r="D7" s="130">
        <v>971100</v>
      </c>
      <c r="E7" s="130">
        <v>994911</v>
      </c>
    </row>
    <row r="8" spans="1:5" ht="15" customHeight="1">
      <c r="A8" t="s">
        <v>399</v>
      </c>
      <c r="B8" t="s">
        <v>401</v>
      </c>
      <c r="C8" s="130"/>
      <c r="D8" s="130"/>
      <c r="E8" s="130"/>
    </row>
    <row r="9" spans="1:5" ht="15" customHeight="1">
      <c r="A9" s="104" t="s">
        <v>399</v>
      </c>
      <c r="B9" s="104" t="s">
        <v>402</v>
      </c>
      <c r="C9" s="257">
        <v>7494179</v>
      </c>
      <c r="D9" s="257">
        <v>7802134</v>
      </c>
      <c r="E9" s="257">
        <v>8113095</v>
      </c>
    </row>
    <row r="10" spans="1:5" ht="15" customHeight="1">
      <c r="A10" t="s">
        <v>399</v>
      </c>
      <c r="B10" t="s">
        <v>403</v>
      </c>
      <c r="C10" s="130">
        <v>15532638</v>
      </c>
      <c r="D10" s="130">
        <v>15808137</v>
      </c>
      <c r="E10" s="130">
        <v>16412980</v>
      </c>
    </row>
    <row r="11" spans="1:5" ht="15" customHeight="1">
      <c r="A11" t="s">
        <v>399</v>
      </c>
      <c r="B11" t="s">
        <v>404</v>
      </c>
      <c r="C11" s="130">
        <v>8967910</v>
      </c>
      <c r="D11" s="130">
        <v>9748648</v>
      </c>
      <c r="E11" s="130">
        <v>10114170</v>
      </c>
    </row>
    <row r="12" spans="1:5" ht="15" customHeight="1">
      <c r="A12" t="s">
        <v>399</v>
      </c>
      <c r="B12" t="s">
        <v>405</v>
      </c>
      <c r="C12" s="130">
        <v>10817444</v>
      </c>
      <c r="D12" s="130">
        <v>11121853</v>
      </c>
      <c r="E12" s="130">
        <v>11526775</v>
      </c>
    </row>
    <row r="13" spans="1:5" ht="15" customHeight="1">
      <c r="A13" s="131" t="s">
        <v>399</v>
      </c>
      <c r="B13" s="131" t="s">
        <v>153</v>
      </c>
      <c r="C13" s="258">
        <v>44016795</v>
      </c>
      <c r="D13" s="258">
        <v>45451872</v>
      </c>
      <c r="E13" s="258">
        <v>47161931</v>
      </c>
    </row>
    <row r="14" ht="15" customHeight="1"/>
    <row r="15" spans="1:5" ht="15">
      <c r="A15" s="132" t="s">
        <v>406</v>
      </c>
      <c r="B15" s="131"/>
      <c r="C15" s="259">
        <f>C9/C13</f>
        <v>0.1702572620291868</v>
      </c>
      <c r="D15" s="259">
        <f aca="true" t="shared" si="0" ref="D15:E15">D9/D13</f>
        <v>0.17165704418071054</v>
      </c>
      <c r="E15" s="259">
        <f t="shared" si="0"/>
        <v>0.1720263532042401</v>
      </c>
    </row>
    <row r="16" ht="15" customHeight="1"/>
    <row r="17" ht="15" customHeight="1"/>
    <row r="18" ht="15" customHeight="1"/>
    <row r="19" ht="15" customHeight="1"/>
  </sheetData>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81"/>
  <sheetViews>
    <sheetView workbookViewId="0" topLeftCell="A22">
      <selection activeCell="K12" sqref="K12"/>
    </sheetView>
  </sheetViews>
  <sheetFormatPr defaultColWidth="9.140625" defaultRowHeight="12.75"/>
  <cols>
    <col min="1" max="1" width="45.8515625" style="46" customWidth="1"/>
    <col min="2" max="2" width="10.8515625" style="46" customWidth="1"/>
    <col min="3" max="4" width="10.421875" style="46" customWidth="1"/>
    <col min="5" max="6" width="11.7109375" style="46" customWidth="1"/>
    <col min="7" max="7" width="9.140625" style="46" customWidth="1"/>
    <col min="8" max="8" width="3.140625" style="46" customWidth="1"/>
    <col min="9" max="9" width="3.7109375" style="46" customWidth="1"/>
    <col min="10" max="10" width="18.28125" style="46" customWidth="1"/>
    <col min="11" max="11" width="11.7109375" style="46" customWidth="1"/>
    <col min="12" max="12" width="13.00390625" style="46" customWidth="1"/>
    <col min="13" max="13" width="11.140625" style="46" customWidth="1"/>
    <col min="14" max="256" width="9.140625" style="46" customWidth="1"/>
    <col min="257" max="257" width="45.8515625" style="46" customWidth="1"/>
    <col min="258" max="258" width="10.8515625" style="46" customWidth="1"/>
    <col min="259" max="260" width="10.421875" style="46" customWidth="1"/>
    <col min="261" max="262" width="11.7109375" style="46" customWidth="1"/>
    <col min="263" max="263" width="9.140625" style="46" customWidth="1"/>
    <col min="264" max="264" width="3.140625" style="46" customWidth="1"/>
    <col min="265" max="265" width="3.7109375" style="46" customWidth="1"/>
    <col min="266" max="266" width="18.28125" style="46" customWidth="1"/>
    <col min="267" max="267" width="11.7109375" style="46" customWidth="1"/>
    <col min="268" max="268" width="13.00390625" style="46" customWidth="1"/>
    <col min="269" max="269" width="11.140625" style="46" customWidth="1"/>
    <col min="270" max="512" width="9.140625" style="46" customWidth="1"/>
    <col min="513" max="513" width="45.8515625" style="46" customWidth="1"/>
    <col min="514" max="514" width="10.8515625" style="46" customWidth="1"/>
    <col min="515" max="516" width="10.421875" style="46" customWidth="1"/>
    <col min="517" max="518" width="11.7109375" style="46" customWidth="1"/>
    <col min="519" max="519" width="9.140625" style="46" customWidth="1"/>
    <col min="520" max="520" width="3.140625" style="46" customWidth="1"/>
    <col min="521" max="521" width="3.7109375" style="46" customWidth="1"/>
    <col min="522" max="522" width="18.28125" style="46" customWidth="1"/>
    <col min="523" max="523" width="11.7109375" style="46" customWidth="1"/>
    <col min="524" max="524" width="13.00390625" style="46" customWidth="1"/>
    <col min="525" max="525" width="11.140625" style="46" customWidth="1"/>
    <col min="526" max="768" width="9.140625" style="46" customWidth="1"/>
    <col min="769" max="769" width="45.8515625" style="46" customWidth="1"/>
    <col min="770" max="770" width="10.8515625" style="46" customWidth="1"/>
    <col min="771" max="772" width="10.421875" style="46" customWidth="1"/>
    <col min="773" max="774" width="11.7109375" style="46" customWidth="1"/>
    <col min="775" max="775" width="9.140625" style="46" customWidth="1"/>
    <col min="776" max="776" width="3.140625" style="46" customWidth="1"/>
    <col min="777" max="777" width="3.7109375" style="46" customWidth="1"/>
    <col min="778" max="778" width="18.28125" style="46" customWidth="1"/>
    <col min="779" max="779" width="11.7109375" style="46" customWidth="1"/>
    <col min="780" max="780" width="13.00390625" style="46" customWidth="1"/>
    <col min="781" max="781" width="11.140625" style="46" customWidth="1"/>
    <col min="782" max="1024" width="9.140625" style="46" customWidth="1"/>
    <col min="1025" max="1025" width="45.8515625" style="46" customWidth="1"/>
    <col min="1026" max="1026" width="10.8515625" style="46" customWidth="1"/>
    <col min="1027" max="1028" width="10.421875" style="46" customWidth="1"/>
    <col min="1029" max="1030" width="11.7109375" style="46" customWidth="1"/>
    <col min="1031" max="1031" width="9.140625" style="46" customWidth="1"/>
    <col min="1032" max="1032" width="3.140625" style="46" customWidth="1"/>
    <col min="1033" max="1033" width="3.7109375" style="46" customWidth="1"/>
    <col min="1034" max="1034" width="18.28125" style="46" customWidth="1"/>
    <col min="1035" max="1035" width="11.7109375" style="46" customWidth="1"/>
    <col min="1036" max="1036" width="13.00390625" style="46" customWidth="1"/>
    <col min="1037" max="1037" width="11.140625" style="46" customWidth="1"/>
    <col min="1038" max="1280" width="9.140625" style="46" customWidth="1"/>
    <col min="1281" max="1281" width="45.8515625" style="46" customWidth="1"/>
    <col min="1282" max="1282" width="10.8515625" style="46" customWidth="1"/>
    <col min="1283" max="1284" width="10.421875" style="46" customWidth="1"/>
    <col min="1285" max="1286" width="11.7109375" style="46" customWidth="1"/>
    <col min="1287" max="1287" width="9.140625" style="46" customWidth="1"/>
    <col min="1288" max="1288" width="3.140625" style="46" customWidth="1"/>
    <col min="1289" max="1289" width="3.7109375" style="46" customWidth="1"/>
    <col min="1290" max="1290" width="18.28125" style="46" customWidth="1"/>
    <col min="1291" max="1291" width="11.7109375" style="46" customWidth="1"/>
    <col min="1292" max="1292" width="13.00390625" style="46" customWidth="1"/>
    <col min="1293" max="1293" width="11.140625" style="46" customWidth="1"/>
    <col min="1294" max="1536" width="9.140625" style="46" customWidth="1"/>
    <col min="1537" max="1537" width="45.8515625" style="46" customWidth="1"/>
    <col min="1538" max="1538" width="10.8515625" style="46" customWidth="1"/>
    <col min="1539" max="1540" width="10.421875" style="46" customWidth="1"/>
    <col min="1541" max="1542" width="11.7109375" style="46" customWidth="1"/>
    <col min="1543" max="1543" width="9.140625" style="46" customWidth="1"/>
    <col min="1544" max="1544" width="3.140625" style="46" customWidth="1"/>
    <col min="1545" max="1545" width="3.7109375" style="46" customWidth="1"/>
    <col min="1546" max="1546" width="18.28125" style="46" customWidth="1"/>
    <col min="1547" max="1547" width="11.7109375" style="46" customWidth="1"/>
    <col min="1548" max="1548" width="13.00390625" style="46" customWidth="1"/>
    <col min="1549" max="1549" width="11.140625" style="46" customWidth="1"/>
    <col min="1550" max="1792" width="9.140625" style="46" customWidth="1"/>
    <col min="1793" max="1793" width="45.8515625" style="46" customWidth="1"/>
    <col min="1794" max="1794" width="10.8515625" style="46" customWidth="1"/>
    <col min="1795" max="1796" width="10.421875" style="46" customWidth="1"/>
    <col min="1797" max="1798" width="11.7109375" style="46" customWidth="1"/>
    <col min="1799" max="1799" width="9.140625" style="46" customWidth="1"/>
    <col min="1800" max="1800" width="3.140625" style="46" customWidth="1"/>
    <col min="1801" max="1801" width="3.7109375" style="46" customWidth="1"/>
    <col min="1802" max="1802" width="18.28125" style="46" customWidth="1"/>
    <col min="1803" max="1803" width="11.7109375" style="46" customWidth="1"/>
    <col min="1804" max="1804" width="13.00390625" style="46" customWidth="1"/>
    <col min="1805" max="1805" width="11.140625" style="46" customWidth="1"/>
    <col min="1806" max="2048" width="9.140625" style="46" customWidth="1"/>
    <col min="2049" max="2049" width="45.8515625" style="46" customWidth="1"/>
    <col min="2050" max="2050" width="10.8515625" style="46" customWidth="1"/>
    <col min="2051" max="2052" width="10.421875" style="46" customWidth="1"/>
    <col min="2053" max="2054" width="11.7109375" style="46" customWidth="1"/>
    <col min="2055" max="2055" width="9.140625" style="46" customWidth="1"/>
    <col min="2056" max="2056" width="3.140625" style="46" customWidth="1"/>
    <col min="2057" max="2057" width="3.7109375" style="46" customWidth="1"/>
    <col min="2058" max="2058" width="18.28125" style="46" customWidth="1"/>
    <col min="2059" max="2059" width="11.7109375" style="46" customWidth="1"/>
    <col min="2060" max="2060" width="13.00390625" style="46" customWidth="1"/>
    <col min="2061" max="2061" width="11.140625" style="46" customWidth="1"/>
    <col min="2062" max="2304" width="9.140625" style="46" customWidth="1"/>
    <col min="2305" max="2305" width="45.8515625" style="46" customWidth="1"/>
    <col min="2306" max="2306" width="10.8515625" style="46" customWidth="1"/>
    <col min="2307" max="2308" width="10.421875" style="46" customWidth="1"/>
    <col min="2309" max="2310" width="11.7109375" style="46" customWidth="1"/>
    <col min="2311" max="2311" width="9.140625" style="46" customWidth="1"/>
    <col min="2312" max="2312" width="3.140625" style="46" customWidth="1"/>
    <col min="2313" max="2313" width="3.7109375" style="46" customWidth="1"/>
    <col min="2314" max="2314" width="18.28125" style="46" customWidth="1"/>
    <col min="2315" max="2315" width="11.7109375" style="46" customWidth="1"/>
    <col min="2316" max="2316" width="13.00390625" style="46" customWidth="1"/>
    <col min="2317" max="2317" width="11.140625" style="46" customWidth="1"/>
    <col min="2318" max="2560" width="9.140625" style="46" customWidth="1"/>
    <col min="2561" max="2561" width="45.8515625" style="46" customWidth="1"/>
    <col min="2562" max="2562" width="10.8515625" style="46" customWidth="1"/>
    <col min="2563" max="2564" width="10.421875" style="46" customWidth="1"/>
    <col min="2565" max="2566" width="11.7109375" style="46" customWidth="1"/>
    <col min="2567" max="2567" width="9.140625" style="46" customWidth="1"/>
    <col min="2568" max="2568" width="3.140625" style="46" customWidth="1"/>
    <col min="2569" max="2569" width="3.7109375" style="46" customWidth="1"/>
    <col min="2570" max="2570" width="18.28125" style="46" customWidth="1"/>
    <col min="2571" max="2571" width="11.7109375" style="46" customWidth="1"/>
    <col min="2572" max="2572" width="13.00390625" style="46" customWidth="1"/>
    <col min="2573" max="2573" width="11.140625" style="46" customWidth="1"/>
    <col min="2574" max="2816" width="9.140625" style="46" customWidth="1"/>
    <col min="2817" max="2817" width="45.8515625" style="46" customWidth="1"/>
    <col min="2818" max="2818" width="10.8515625" style="46" customWidth="1"/>
    <col min="2819" max="2820" width="10.421875" style="46" customWidth="1"/>
    <col min="2821" max="2822" width="11.7109375" style="46" customWidth="1"/>
    <col min="2823" max="2823" width="9.140625" style="46" customWidth="1"/>
    <col min="2824" max="2824" width="3.140625" style="46" customWidth="1"/>
    <col min="2825" max="2825" width="3.7109375" style="46" customWidth="1"/>
    <col min="2826" max="2826" width="18.28125" style="46" customWidth="1"/>
    <col min="2827" max="2827" width="11.7109375" style="46" customWidth="1"/>
    <col min="2828" max="2828" width="13.00390625" style="46" customWidth="1"/>
    <col min="2829" max="2829" width="11.140625" style="46" customWidth="1"/>
    <col min="2830" max="3072" width="9.140625" style="46" customWidth="1"/>
    <col min="3073" max="3073" width="45.8515625" style="46" customWidth="1"/>
    <col min="3074" max="3074" width="10.8515625" style="46" customWidth="1"/>
    <col min="3075" max="3076" width="10.421875" style="46" customWidth="1"/>
    <col min="3077" max="3078" width="11.7109375" style="46" customWidth="1"/>
    <col min="3079" max="3079" width="9.140625" style="46" customWidth="1"/>
    <col min="3080" max="3080" width="3.140625" style="46" customWidth="1"/>
    <col min="3081" max="3081" width="3.7109375" style="46" customWidth="1"/>
    <col min="3082" max="3082" width="18.28125" style="46" customWidth="1"/>
    <col min="3083" max="3083" width="11.7109375" style="46" customWidth="1"/>
    <col min="3084" max="3084" width="13.00390625" style="46" customWidth="1"/>
    <col min="3085" max="3085" width="11.140625" style="46" customWidth="1"/>
    <col min="3086" max="3328" width="9.140625" style="46" customWidth="1"/>
    <col min="3329" max="3329" width="45.8515625" style="46" customWidth="1"/>
    <col min="3330" max="3330" width="10.8515625" style="46" customWidth="1"/>
    <col min="3331" max="3332" width="10.421875" style="46" customWidth="1"/>
    <col min="3333" max="3334" width="11.7109375" style="46" customWidth="1"/>
    <col min="3335" max="3335" width="9.140625" style="46" customWidth="1"/>
    <col min="3336" max="3336" width="3.140625" style="46" customWidth="1"/>
    <col min="3337" max="3337" width="3.7109375" style="46" customWidth="1"/>
    <col min="3338" max="3338" width="18.28125" style="46" customWidth="1"/>
    <col min="3339" max="3339" width="11.7109375" style="46" customWidth="1"/>
    <col min="3340" max="3340" width="13.00390625" style="46" customWidth="1"/>
    <col min="3341" max="3341" width="11.140625" style="46" customWidth="1"/>
    <col min="3342" max="3584" width="9.140625" style="46" customWidth="1"/>
    <col min="3585" max="3585" width="45.8515625" style="46" customWidth="1"/>
    <col min="3586" max="3586" width="10.8515625" style="46" customWidth="1"/>
    <col min="3587" max="3588" width="10.421875" style="46" customWidth="1"/>
    <col min="3589" max="3590" width="11.7109375" style="46" customWidth="1"/>
    <col min="3591" max="3591" width="9.140625" style="46" customWidth="1"/>
    <col min="3592" max="3592" width="3.140625" style="46" customWidth="1"/>
    <col min="3593" max="3593" width="3.7109375" style="46" customWidth="1"/>
    <col min="3594" max="3594" width="18.28125" style="46" customWidth="1"/>
    <col min="3595" max="3595" width="11.7109375" style="46" customWidth="1"/>
    <col min="3596" max="3596" width="13.00390625" style="46" customWidth="1"/>
    <col min="3597" max="3597" width="11.140625" style="46" customWidth="1"/>
    <col min="3598" max="3840" width="9.140625" style="46" customWidth="1"/>
    <col min="3841" max="3841" width="45.8515625" style="46" customWidth="1"/>
    <col min="3842" max="3842" width="10.8515625" style="46" customWidth="1"/>
    <col min="3843" max="3844" width="10.421875" style="46" customWidth="1"/>
    <col min="3845" max="3846" width="11.7109375" style="46" customWidth="1"/>
    <col min="3847" max="3847" width="9.140625" style="46" customWidth="1"/>
    <col min="3848" max="3848" width="3.140625" style="46" customWidth="1"/>
    <col min="3849" max="3849" width="3.7109375" style="46" customWidth="1"/>
    <col min="3850" max="3850" width="18.28125" style="46" customWidth="1"/>
    <col min="3851" max="3851" width="11.7109375" style="46" customWidth="1"/>
    <col min="3852" max="3852" width="13.00390625" style="46" customWidth="1"/>
    <col min="3853" max="3853" width="11.140625" style="46" customWidth="1"/>
    <col min="3854" max="4096" width="9.140625" style="46" customWidth="1"/>
    <col min="4097" max="4097" width="45.8515625" style="46" customWidth="1"/>
    <col min="4098" max="4098" width="10.8515625" style="46" customWidth="1"/>
    <col min="4099" max="4100" width="10.421875" style="46" customWidth="1"/>
    <col min="4101" max="4102" width="11.7109375" style="46" customWidth="1"/>
    <col min="4103" max="4103" width="9.140625" style="46" customWidth="1"/>
    <col min="4104" max="4104" width="3.140625" style="46" customWidth="1"/>
    <col min="4105" max="4105" width="3.7109375" style="46" customWidth="1"/>
    <col min="4106" max="4106" width="18.28125" style="46" customWidth="1"/>
    <col min="4107" max="4107" width="11.7109375" style="46" customWidth="1"/>
    <col min="4108" max="4108" width="13.00390625" style="46" customWidth="1"/>
    <col min="4109" max="4109" width="11.140625" style="46" customWidth="1"/>
    <col min="4110" max="4352" width="9.140625" style="46" customWidth="1"/>
    <col min="4353" max="4353" width="45.8515625" style="46" customWidth="1"/>
    <col min="4354" max="4354" width="10.8515625" style="46" customWidth="1"/>
    <col min="4355" max="4356" width="10.421875" style="46" customWidth="1"/>
    <col min="4357" max="4358" width="11.7109375" style="46" customWidth="1"/>
    <col min="4359" max="4359" width="9.140625" style="46" customWidth="1"/>
    <col min="4360" max="4360" width="3.140625" style="46" customWidth="1"/>
    <col min="4361" max="4361" width="3.7109375" style="46" customWidth="1"/>
    <col min="4362" max="4362" width="18.28125" style="46" customWidth="1"/>
    <col min="4363" max="4363" width="11.7109375" style="46" customWidth="1"/>
    <col min="4364" max="4364" width="13.00390625" style="46" customWidth="1"/>
    <col min="4365" max="4365" width="11.140625" style="46" customWidth="1"/>
    <col min="4366" max="4608" width="9.140625" style="46" customWidth="1"/>
    <col min="4609" max="4609" width="45.8515625" style="46" customWidth="1"/>
    <col min="4610" max="4610" width="10.8515625" style="46" customWidth="1"/>
    <col min="4611" max="4612" width="10.421875" style="46" customWidth="1"/>
    <col min="4613" max="4614" width="11.7109375" style="46" customWidth="1"/>
    <col min="4615" max="4615" width="9.140625" style="46" customWidth="1"/>
    <col min="4616" max="4616" width="3.140625" style="46" customWidth="1"/>
    <col min="4617" max="4617" width="3.7109375" style="46" customWidth="1"/>
    <col min="4618" max="4618" width="18.28125" style="46" customWidth="1"/>
    <col min="4619" max="4619" width="11.7109375" style="46" customWidth="1"/>
    <col min="4620" max="4620" width="13.00390625" style="46" customWidth="1"/>
    <col min="4621" max="4621" width="11.140625" style="46" customWidth="1"/>
    <col min="4622" max="4864" width="9.140625" style="46" customWidth="1"/>
    <col min="4865" max="4865" width="45.8515625" style="46" customWidth="1"/>
    <col min="4866" max="4866" width="10.8515625" style="46" customWidth="1"/>
    <col min="4867" max="4868" width="10.421875" style="46" customWidth="1"/>
    <col min="4869" max="4870" width="11.7109375" style="46" customWidth="1"/>
    <col min="4871" max="4871" width="9.140625" style="46" customWidth="1"/>
    <col min="4872" max="4872" width="3.140625" style="46" customWidth="1"/>
    <col min="4873" max="4873" width="3.7109375" style="46" customWidth="1"/>
    <col min="4874" max="4874" width="18.28125" style="46" customWidth="1"/>
    <col min="4875" max="4875" width="11.7109375" style="46" customWidth="1"/>
    <col min="4876" max="4876" width="13.00390625" style="46" customWidth="1"/>
    <col min="4877" max="4877" width="11.140625" style="46" customWidth="1"/>
    <col min="4878" max="5120" width="9.140625" style="46" customWidth="1"/>
    <col min="5121" max="5121" width="45.8515625" style="46" customWidth="1"/>
    <col min="5122" max="5122" width="10.8515625" style="46" customWidth="1"/>
    <col min="5123" max="5124" width="10.421875" style="46" customWidth="1"/>
    <col min="5125" max="5126" width="11.7109375" style="46" customWidth="1"/>
    <col min="5127" max="5127" width="9.140625" style="46" customWidth="1"/>
    <col min="5128" max="5128" width="3.140625" style="46" customWidth="1"/>
    <col min="5129" max="5129" width="3.7109375" style="46" customWidth="1"/>
    <col min="5130" max="5130" width="18.28125" style="46" customWidth="1"/>
    <col min="5131" max="5131" width="11.7109375" style="46" customWidth="1"/>
    <col min="5132" max="5132" width="13.00390625" style="46" customWidth="1"/>
    <col min="5133" max="5133" width="11.140625" style="46" customWidth="1"/>
    <col min="5134" max="5376" width="9.140625" style="46" customWidth="1"/>
    <col min="5377" max="5377" width="45.8515625" style="46" customWidth="1"/>
    <col min="5378" max="5378" width="10.8515625" style="46" customWidth="1"/>
    <col min="5379" max="5380" width="10.421875" style="46" customWidth="1"/>
    <col min="5381" max="5382" width="11.7109375" style="46" customWidth="1"/>
    <col min="5383" max="5383" width="9.140625" style="46" customWidth="1"/>
    <col min="5384" max="5384" width="3.140625" style="46" customWidth="1"/>
    <col min="5385" max="5385" width="3.7109375" style="46" customWidth="1"/>
    <col min="5386" max="5386" width="18.28125" style="46" customWidth="1"/>
    <col min="5387" max="5387" width="11.7109375" style="46" customWidth="1"/>
    <col min="5388" max="5388" width="13.00390625" style="46" customWidth="1"/>
    <col min="5389" max="5389" width="11.140625" style="46" customWidth="1"/>
    <col min="5390" max="5632" width="9.140625" style="46" customWidth="1"/>
    <col min="5633" max="5633" width="45.8515625" style="46" customWidth="1"/>
    <col min="5634" max="5634" width="10.8515625" style="46" customWidth="1"/>
    <col min="5635" max="5636" width="10.421875" style="46" customWidth="1"/>
    <col min="5637" max="5638" width="11.7109375" style="46" customWidth="1"/>
    <col min="5639" max="5639" width="9.140625" style="46" customWidth="1"/>
    <col min="5640" max="5640" width="3.140625" style="46" customWidth="1"/>
    <col min="5641" max="5641" width="3.7109375" style="46" customWidth="1"/>
    <col min="5642" max="5642" width="18.28125" style="46" customWidth="1"/>
    <col min="5643" max="5643" width="11.7109375" style="46" customWidth="1"/>
    <col min="5644" max="5644" width="13.00390625" style="46" customWidth="1"/>
    <col min="5645" max="5645" width="11.140625" style="46" customWidth="1"/>
    <col min="5646" max="5888" width="9.140625" style="46" customWidth="1"/>
    <col min="5889" max="5889" width="45.8515625" style="46" customWidth="1"/>
    <col min="5890" max="5890" width="10.8515625" style="46" customWidth="1"/>
    <col min="5891" max="5892" width="10.421875" style="46" customWidth="1"/>
    <col min="5893" max="5894" width="11.7109375" style="46" customWidth="1"/>
    <col min="5895" max="5895" width="9.140625" style="46" customWidth="1"/>
    <col min="5896" max="5896" width="3.140625" style="46" customWidth="1"/>
    <col min="5897" max="5897" width="3.7109375" style="46" customWidth="1"/>
    <col min="5898" max="5898" width="18.28125" style="46" customWidth="1"/>
    <col min="5899" max="5899" width="11.7109375" style="46" customWidth="1"/>
    <col min="5900" max="5900" width="13.00390625" style="46" customWidth="1"/>
    <col min="5901" max="5901" width="11.140625" style="46" customWidth="1"/>
    <col min="5902" max="6144" width="9.140625" style="46" customWidth="1"/>
    <col min="6145" max="6145" width="45.8515625" style="46" customWidth="1"/>
    <col min="6146" max="6146" width="10.8515625" style="46" customWidth="1"/>
    <col min="6147" max="6148" width="10.421875" style="46" customWidth="1"/>
    <col min="6149" max="6150" width="11.7109375" style="46" customWidth="1"/>
    <col min="6151" max="6151" width="9.140625" style="46" customWidth="1"/>
    <col min="6152" max="6152" width="3.140625" style="46" customWidth="1"/>
    <col min="6153" max="6153" width="3.7109375" style="46" customWidth="1"/>
    <col min="6154" max="6154" width="18.28125" style="46" customWidth="1"/>
    <col min="6155" max="6155" width="11.7109375" style="46" customWidth="1"/>
    <col min="6156" max="6156" width="13.00390625" style="46" customWidth="1"/>
    <col min="6157" max="6157" width="11.140625" style="46" customWidth="1"/>
    <col min="6158" max="6400" width="9.140625" style="46" customWidth="1"/>
    <col min="6401" max="6401" width="45.8515625" style="46" customWidth="1"/>
    <col min="6402" max="6402" width="10.8515625" style="46" customWidth="1"/>
    <col min="6403" max="6404" width="10.421875" style="46" customWidth="1"/>
    <col min="6405" max="6406" width="11.7109375" style="46" customWidth="1"/>
    <col min="6407" max="6407" width="9.140625" style="46" customWidth="1"/>
    <col min="6408" max="6408" width="3.140625" style="46" customWidth="1"/>
    <col min="6409" max="6409" width="3.7109375" style="46" customWidth="1"/>
    <col min="6410" max="6410" width="18.28125" style="46" customWidth="1"/>
    <col min="6411" max="6411" width="11.7109375" style="46" customWidth="1"/>
    <col min="6412" max="6412" width="13.00390625" style="46" customWidth="1"/>
    <col min="6413" max="6413" width="11.140625" style="46" customWidth="1"/>
    <col min="6414" max="6656" width="9.140625" style="46" customWidth="1"/>
    <col min="6657" max="6657" width="45.8515625" style="46" customWidth="1"/>
    <col min="6658" max="6658" width="10.8515625" style="46" customWidth="1"/>
    <col min="6659" max="6660" width="10.421875" style="46" customWidth="1"/>
    <col min="6661" max="6662" width="11.7109375" style="46" customWidth="1"/>
    <col min="6663" max="6663" width="9.140625" style="46" customWidth="1"/>
    <col min="6664" max="6664" width="3.140625" style="46" customWidth="1"/>
    <col min="6665" max="6665" width="3.7109375" style="46" customWidth="1"/>
    <col min="6666" max="6666" width="18.28125" style="46" customWidth="1"/>
    <col min="6667" max="6667" width="11.7109375" style="46" customWidth="1"/>
    <col min="6668" max="6668" width="13.00390625" style="46" customWidth="1"/>
    <col min="6669" max="6669" width="11.140625" style="46" customWidth="1"/>
    <col min="6670" max="6912" width="9.140625" style="46" customWidth="1"/>
    <col min="6913" max="6913" width="45.8515625" style="46" customWidth="1"/>
    <col min="6914" max="6914" width="10.8515625" style="46" customWidth="1"/>
    <col min="6915" max="6916" width="10.421875" style="46" customWidth="1"/>
    <col min="6917" max="6918" width="11.7109375" style="46" customWidth="1"/>
    <col min="6919" max="6919" width="9.140625" style="46" customWidth="1"/>
    <col min="6920" max="6920" width="3.140625" style="46" customWidth="1"/>
    <col min="6921" max="6921" width="3.7109375" style="46" customWidth="1"/>
    <col min="6922" max="6922" width="18.28125" style="46" customWidth="1"/>
    <col min="6923" max="6923" width="11.7109375" style="46" customWidth="1"/>
    <col min="6924" max="6924" width="13.00390625" style="46" customWidth="1"/>
    <col min="6925" max="6925" width="11.140625" style="46" customWidth="1"/>
    <col min="6926" max="7168" width="9.140625" style="46" customWidth="1"/>
    <col min="7169" max="7169" width="45.8515625" style="46" customWidth="1"/>
    <col min="7170" max="7170" width="10.8515625" style="46" customWidth="1"/>
    <col min="7171" max="7172" width="10.421875" style="46" customWidth="1"/>
    <col min="7173" max="7174" width="11.7109375" style="46" customWidth="1"/>
    <col min="7175" max="7175" width="9.140625" style="46" customWidth="1"/>
    <col min="7176" max="7176" width="3.140625" style="46" customWidth="1"/>
    <col min="7177" max="7177" width="3.7109375" style="46" customWidth="1"/>
    <col min="7178" max="7178" width="18.28125" style="46" customWidth="1"/>
    <col min="7179" max="7179" width="11.7109375" style="46" customWidth="1"/>
    <col min="7180" max="7180" width="13.00390625" style="46" customWidth="1"/>
    <col min="7181" max="7181" width="11.140625" style="46" customWidth="1"/>
    <col min="7182" max="7424" width="9.140625" style="46" customWidth="1"/>
    <col min="7425" max="7425" width="45.8515625" style="46" customWidth="1"/>
    <col min="7426" max="7426" width="10.8515625" style="46" customWidth="1"/>
    <col min="7427" max="7428" width="10.421875" style="46" customWidth="1"/>
    <col min="7429" max="7430" width="11.7109375" style="46" customWidth="1"/>
    <col min="7431" max="7431" width="9.140625" style="46" customWidth="1"/>
    <col min="7432" max="7432" width="3.140625" style="46" customWidth="1"/>
    <col min="7433" max="7433" width="3.7109375" style="46" customWidth="1"/>
    <col min="7434" max="7434" width="18.28125" style="46" customWidth="1"/>
    <col min="7435" max="7435" width="11.7109375" style="46" customWidth="1"/>
    <col min="7436" max="7436" width="13.00390625" style="46" customWidth="1"/>
    <col min="7437" max="7437" width="11.140625" style="46" customWidth="1"/>
    <col min="7438" max="7680" width="9.140625" style="46" customWidth="1"/>
    <col min="7681" max="7681" width="45.8515625" style="46" customWidth="1"/>
    <col min="7682" max="7682" width="10.8515625" style="46" customWidth="1"/>
    <col min="7683" max="7684" width="10.421875" style="46" customWidth="1"/>
    <col min="7685" max="7686" width="11.7109375" style="46" customWidth="1"/>
    <col min="7687" max="7687" width="9.140625" style="46" customWidth="1"/>
    <col min="7688" max="7688" width="3.140625" style="46" customWidth="1"/>
    <col min="7689" max="7689" width="3.7109375" style="46" customWidth="1"/>
    <col min="7690" max="7690" width="18.28125" style="46" customWidth="1"/>
    <col min="7691" max="7691" width="11.7109375" style="46" customWidth="1"/>
    <col min="7692" max="7692" width="13.00390625" style="46" customWidth="1"/>
    <col min="7693" max="7693" width="11.140625" style="46" customWidth="1"/>
    <col min="7694" max="7936" width="9.140625" style="46" customWidth="1"/>
    <col min="7937" max="7937" width="45.8515625" style="46" customWidth="1"/>
    <col min="7938" max="7938" width="10.8515625" style="46" customWidth="1"/>
    <col min="7939" max="7940" width="10.421875" style="46" customWidth="1"/>
    <col min="7941" max="7942" width="11.7109375" style="46" customWidth="1"/>
    <col min="7943" max="7943" width="9.140625" style="46" customWidth="1"/>
    <col min="7944" max="7944" width="3.140625" style="46" customWidth="1"/>
    <col min="7945" max="7945" width="3.7109375" style="46" customWidth="1"/>
    <col min="7946" max="7946" width="18.28125" style="46" customWidth="1"/>
    <col min="7947" max="7947" width="11.7109375" style="46" customWidth="1"/>
    <col min="7948" max="7948" width="13.00390625" style="46" customWidth="1"/>
    <col min="7949" max="7949" width="11.140625" style="46" customWidth="1"/>
    <col min="7950" max="8192" width="9.140625" style="46" customWidth="1"/>
    <col min="8193" max="8193" width="45.8515625" style="46" customWidth="1"/>
    <col min="8194" max="8194" width="10.8515625" style="46" customWidth="1"/>
    <col min="8195" max="8196" width="10.421875" style="46" customWidth="1"/>
    <col min="8197" max="8198" width="11.7109375" style="46" customWidth="1"/>
    <col min="8199" max="8199" width="9.140625" style="46" customWidth="1"/>
    <col min="8200" max="8200" width="3.140625" style="46" customWidth="1"/>
    <col min="8201" max="8201" width="3.7109375" style="46" customWidth="1"/>
    <col min="8202" max="8202" width="18.28125" style="46" customWidth="1"/>
    <col min="8203" max="8203" width="11.7109375" style="46" customWidth="1"/>
    <col min="8204" max="8204" width="13.00390625" style="46" customWidth="1"/>
    <col min="8205" max="8205" width="11.140625" style="46" customWidth="1"/>
    <col min="8206" max="8448" width="9.140625" style="46" customWidth="1"/>
    <col min="8449" max="8449" width="45.8515625" style="46" customWidth="1"/>
    <col min="8450" max="8450" width="10.8515625" style="46" customWidth="1"/>
    <col min="8451" max="8452" width="10.421875" style="46" customWidth="1"/>
    <col min="8453" max="8454" width="11.7109375" style="46" customWidth="1"/>
    <col min="8455" max="8455" width="9.140625" style="46" customWidth="1"/>
    <col min="8456" max="8456" width="3.140625" style="46" customWidth="1"/>
    <col min="8457" max="8457" width="3.7109375" style="46" customWidth="1"/>
    <col min="8458" max="8458" width="18.28125" style="46" customWidth="1"/>
    <col min="8459" max="8459" width="11.7109375" style="46" customWidth="1"/>
    <col min="8460" max="8460" width="13.00390625" style="46" customWidth="1"/>
    <col min="8461" max="8461" width="11.140625" style="46" customWidth="1"/>
    <col min="8462" max="8704" width="9.140625" style="46" customWidth="1"/>
    <col min="8705" max="8705" width="45.8515625" style="46" customWidth="1"/>
    <col min="8706" max="8706" width="10.8515625" style="46" customWidth="1"/>
    <col min="8707" max="8708" width="10.421875" style="46" customWidth="1"/>
    <col min="8709" max="8710" width="11.7109375" style="46" customWidth="1"/>
    <col min="8711" max="8711" width="9.140625" style="46" customWidth="1"/>
    <col min="8712" max="8712" width="3.140625" style="46" customWidth="1"/>
    <col min="8713" max="8713" width="3.7109375" style="46" customWidth="1"/>
    <col min="8714" max="8714" width="18.28125" style="46" customWidth="1"/>
    <col min="8715" max="8715" width="11.7109375" style="46" customWidth="1"/>
    <col min="8716" max="8716" width="13.00390625" style="46" customWidth="1"/>
    <col min="8717" max="8717" width="11.140625" style="46" customWidth="1"/>
    <col min="8718" max="8960" width="9.140625" style="46" customWidth="1"/>
    <col min="8961" max="8961" width="45.8515625" style="46" customWidth="1"/>
    <col min="8962" max="8962" width="10.8515625" style="46" customWidth="1"/>
    <col min="8963" max="8964" width="10.421875" style="46" customWidth="1"/>
    <col min="8965" max="8966" width="11.7109375" style="46" customWidth="1"/>
    <col min="8967" max="8967" width="9.140625" style="46" customWidth="1"/>
    <col min="8968" max="8968" width="3.140625" style="46" customWidth="1"/>
    <col min="8969" max="8969" width="3.7109375" style="46" customWidth="1"/>
    <col min="8970" max="8970" width="18.28125" style="46" customWidth="1"/>
    <col min="8971" max="8971" width="11.7109375" style="46" customWidth="1"/>
    <col min="8972" max="8972" width="13.00390625" style="46" customWidth="1"/>
    <col min="8973" max="8973" width="11.140625" style="46" customWidth="1"/>
    <col min="8974" max="9216" width="9.140625" style="46" customWidth="1"/>
    <col min="9217" max="9217" width="45.8515625" style="46" customWidth="1"/>
    <col min="9218" max="9218" width="10.8515625" style="46" customWidth="1"/>
    <col min="9219" max="9220" width="10.421875" style="46" customWidth="1"/>
    <col min="9221" max="9222" width="11.7109375" style="46" customWidth="1"/>
    <col min="9223" max="9223" width="9.140625" style="46" customWidth="1"/>
    <col min="9224" max="9224" width="3.140625" style="46" customWidth="1"/>
    <col min="9225" max="9225" width="3.7109375" style="46" customWidth="1"/>
    <col min="9226" max="9226" width="18.28125" style="46" customWidth="1"/>
    <col min="9227" max="9227" width="11.7109375" style="46" customWidth="1"/>
    <col min="9228" max="9228" width="13.00390625" style="46" customWidth="1"/>
    <col min="9229" max="9229" width="11.140625" style="46" customWidth="1"/>
    <col min="9230" max="9472" width="9.140625" style="46" customWidth="1"/>
    <col min="9473" max="9473" width="45.8515625" style="46" customWidth="1"/>
    <col min="9474" max="9474" width="10.8515625" style="46" customWidth="1"/>
    <col min="9475" max="9476" width="10.421875" style="46" customWidth="1"/>
    <col min="9477" max="9478" width="11.7109375" style="46" customWidth="1"/>
    <col min="9479" max="9479" width="9.140625" style="46" customWidth="1"/>
    <col min="9480" max="9480" width="3.140625" style="46" customWidth="1"/>
    <col min="9481" max="9481" width="3.7109375" style="46" customWidth="1"/>
    <col min="9482" max="9482" width="18.28125" style="46" customWidth="1"/>
    <col min="9483" max="9483" width="11.7109375" style="46" customWidth="1"/>
    <col min="9484" max="9484" width="13.00390625" style="46" customWidth="1"/>
    <col min="9485" max="9485" width="11.140625" style="46" customWidth="1"/>
    <col min="9486" max="9728" width="9.140625" style="46" customWidth="1"/>
    <col min="9729" max="9729" width="45.8515625" style="46" customWidth="1"/>
    <col min="9730" max="9730" width="10.8515625" style="46" customWidth="1"/>
    <col min="9731" max="9732" width="10.421875" style="46" customWidth="1"/>
    <col min="9733" max="9734" width="11.7109375" style="46" customWidth="1"/>
    <col min="9735" max="9735" width="9.140625" style="46" customWidth="1"/>
    <col min="9736" max="9736" width="3.140625" style="46" customWidth="1"/>
    <col min="9737" max="9737" width="3.7109375" style="46" customWidth="1"/>
    <col min="9738" max="9738" width="18.28125" style="46" customWidth="1"/>
    <col min="9739" max="9739" width="11.7109375" style="46" customWidth="1"/>
    <col min="9740" max="9740" width="13.00390625" style="46" customWidth="1"/>
    <col min="9741" max="9741" width="11.140625" style="46" customWidth="1"/>
    <col min="9742" max="9984" width="9.140625" style="46" customWidth="1"/>
    <col min="9985" max="9985" width="45.8515625" style="46" customWidth="1"/>
    <col min="9986" max="9986" width="10.8515625" style="46" customWidth="1"/>
    <col min="9987" max="9988" width="10.421875" style="46" customWidth="1"/>
    <col min="9989" max="9990" width="11.7109375" style="46" customWidth="1"/>
    <col min="9991" max="9991" width="9.140625" style="46" customWidth="1"/>
    <col min="9992" max="9992" width="3.140625" style="46" customWidth="1"/>
    <col min="9993" max="9993" width="3.7109375" style="46" customWidth="1"/>
    <col min="9994" max="9994" width="18.28125" style="46" customWidth="1"/>
    <col min="9995" max="9995" width="11.7109375" style="46" customWidth="1"/>
    <col min="9996" max="9996" width="13.00390625" style="46" customWidth="1"/>
    <col min="9997" max="9997" width="11.140625" style="46" customWidth="1"/>
    <col min="9998" max="10240" width="9.140625" style="46" customWidth="1"/>
    <col min="10241" max="10241" width="45.8515625" style="46" customWidth="1"/>
    <col min="10242" max="10242" width="10.8515625" style="46" customWidth="1"/>
    <col min="10243" max="10244" width="10.421875" style="46" customWidth="1"/>
    <col min="10245" max="10246" width="11.7109375" style="46" customWidth="1"/>
    <col min="10247" max="10247" width="9.140625" style="46" customWidth="1"/>
    <col min="10248" max="10248" width="3.140625" style="46" customWidth="1"/>
    <col min="10249" max="10249" width="3.7109375" style="46" customWidth="1"/>
    <col min="10250" max="10250" width="18.28125" style="46" customWidth="1"/>
    <col min="10251" max="10251" width="11.7109375" style="46" customWidth="1"/>
    <col min="10252" max="10252" width="13.00390625" style="46" customWidth="1"/>
    <col min="10253" max="10253" width="11.140625" style="46" customWidth="1"/>
    <col min="10254" max="10496" width="9.140625" style="46" customWidth="1"/>
    <col min="10497" max="10497" width="45.8515625" style="46" customWidth="1"/>
    <col min="10498" max="10498" width="10.8515625" style="46" customWidth="1"/>
    <col min="10499" max="10500" width="10.421875" style="46" customWidth="1"/>
    <col min="10501" max="10502" width="11.7109375" style="46" customWidth="1"/>
    <col min="10503" max="10503" width="9.140625" style="46" customWidth="1"/>
    <col min="10504" max="10504" width="3.140625" style="46" customWidth="1"/>
    <col min="10505" max="10505" width="3.7109375" style="46" customWidth="1"/>
    <col min="10506" max="10506" width="18.28125" style="46" customWidth="1"/>
    <col min="10507" max="10507" width="11.7109375" style="46" customWidth="1"/>
    <col min="10508" max="10508" width="13.00390625" style="46" customWidth="1"/>
    <col min="10509" max="10509" width="11.140625" style="46" customWidth="1"/>
    <col min="10510" max="10752" width="9.140625" style="46" customWidth="1"/>
    <col min="10753" max="10753" width="45.8515625" style="46" customWidth="1"/>
    <col min="10754" max="10754" width="10.8515625" style="46" customWidth="1"/>
    <col min="10755" max="10756" width="10.421875" style="46" customWidth="1"/>
    <col min="10757" max="10758" width="11.7109375" style="46" customWidth="1"/>
    <col min="10759" max="10759" width="9.140625" style="46" customWidth="1"/>
    <col min="10760" max="10760" width="3.140625" style="46" customWidth="1"/>
    <col min="10761" max="10761" width="3.7109375" style="46" customWidth="1"/>
    <col min="10762" max="10762" width="18.28125" style="46" customWidth="1"/>
    <col min="10763" max="10763" width="11.7109375" style="46" customWidth="1"/>
    <col min="10764" max="10764" width="13.00390625" style="46" customWidth="1"/>
    <col min="10765" max="10765" width="11.140625" style="46" customWidth="1"/>
    <col min="10766" max="11008" width="9.140625" style="46" customWidth="1"/>
    <col min="11009" max="11009" width="45.8515625" style="46" customWidth="1"/>
    <col min="11010" max="11010" width="10.8515625" style="46" customWidth="1"/>
    <col min="11011" max="11012" width="10.421875" style="46" customWidth="1"/>
    <col min="11013" max="11014" width="11.7109375" style="46" customWidth="1"/>
    <col min="11015" max="11015" width="9.140625" style="46" customWidth="1"/>
    <col min="11016" max="11016" width="3.140625" style="46" customWidth="1"/>
    <col min="11017" max="11017" width="3.7109375" style="46" customWidth="1"/>
    <col min="11018" max="11018" width="18.28125" style="46" customWidth="1"/>
    <col min="11019" max="11019" width="11.7109375" style="46" customWidth="1"/>
    <col min="11020" max="11020" width="13.00390625" style="46" customWidth="1"/>
    <col min="11021" max="11021" width="11.140625" style="46" customWidth="1"/>
    <col min="11022" max="11264" width="9.140625" style="46" customWidth="1"/>
    <col min="11265" max="11265" width="45.8515625" style="46" customWidth="1"/>
    <col min="11266" max="11266" width="10.8515625" style="46" customWidth="1"/>
    <col min="11267" max="11268" width="10.421875" style="46" customWidth="1"/>
    <col min="11269" max="11270" width="11.7109375" style="46" customWidth="1"/>
    <col min="11271" max="11271" width="9.140625" style="46" customWidth="1"/>
    <col min="11272" max="11272" width="3.140625" style="46" customWidth="1"/>
    <col min="11273" max="11273" width="3.7109375" style="46" customWidth="1"/>
    <col min="11274" max="11274" width="18.28125" style="46" customWidth="1"/>
    <col min="11275" max="11275" width="11.7109375" style="46" customWidth="1"/>
    <col min="11276" max="11276" width="13.00390625" style="46" customWidth="1"/>
    <col min="11277" max="11277" width="11.140625" style="46" customWidth="1"/>
    <col min="11278" max="11520" width="9.140625" style="46" customWidth="1"/>
    <col min="11521" max="11521" width="45.8515625" style="46" customWidth="1"/>
    <col min="11522" max="11522" width="10.8515625" style="46" customWidth="1"/>
    <col min="11523" max="11524" width="10.421875" style="46" customWidth="1"/>
    <col min="11525" max="11526" width="11.7109375" style="46" customWidth="1"/>
    <col min="11527" max="11527" width="9.140625" style="46" customWidth="1"/>
    <col min="11528" max="11528" width="3.140625" style="46" customWidth="1"/>
    <col min="11529" max="11529" width="3.7109375" style="46" customWidth="1"/>
    <col min="11530" max="11530" width="18.28125" style="46" customWidth="1"/>
    <col min="11531" max="11531" width="11.7109375" style="46" customWidth="1"/>
    <col min="11532" max="11532" width="13.00390625" style="46" customWidth="1"/>
    <col min="11533" max="11533" width="11.140625" style="46" customWidth="1"/>
    <col min="11534" max="11776" width="9.140625" style="46" customWidth="1"/>
    <col min="11777" max="11777" width="45.8515625" style="46" customWidth="1"/>
    <col min="11778" max="11778" width="10.8515625" style="46" customWidth="1"/>
    <col min="11779" max="11780" width="10.421875" style="46" customWidth="1"/>
    <col min="11781" max="11782" width="11.7109375" style="46" customWidth="1"/>
    <col min="11783" max="11783" width="9.140625" style="46" customWidth="1"/>
    <col min="11784" max="11784" width="3.140625" style="46" customWidth="1"/>
    <col min="11785" max="11785" width="3.7109375" style="46" customWidth="1"/>
    <col min="11786" max="11786" width="18.28125" style="46" customWidth="1"/>
    <col min="11787" max="11787" width="11.7109375" style="46" customWidth="1"/>
    <col min="11788" max="11788" width="13.00390625" style="46" customWidth="1"/>
    <col min="11789" max="11789" width="11.140625" style="46" customWidth="1"/>
    <col min="11790" max="12032" width="9.140625" style="46" customWidth="1"/>
    <col min="12033" max="12033" width="45.8515625" style="46" customWidth="1"/>
    <col min="12034" max="12034" width="10.8515625" style="46" customWidth="1"/>
    <col min="12035" max="12036" width="10.421875" style="46" customWidth="1"/>
    <col min="12037" max="12038" width="11.7109375" style="46" customWidth="1"/>
    <col min="12039" max="12039" width="9.140625" style="46" customWidth="1"/>
    <col min="12040" max="12040" width="3.140625" style="46" customWidth="1"/>
    <col min="12041" max="12041" width="3.7109375" style="46" customWidth="1"/>
    <col min="12042" max="12042" width="18.28125" style="46" customWidth="1"/>
    <col min="12043" max="12043" width="11.7109375" style="46" customWidth="1"/>
    <col min="12044" max="12044" width="13.00390625" style="46" customWidth="1"/>
    <col min="12045" max="12045" width="11.140625" style="46" customWidth="1"/>
    <col min="12046" max="12288" width="9.140625" style="46" customWidth="1"/>
    <col min="12289" max="12289" width="45.8515625" style="46" customWidth="1"/>
    <col min="12290" max="12290" width="10.8515625" style="46" customWidth="1"/>
    <col min="12291" max="12292" width="10.421875" style="46" customWidth="1"/>
    <col min="12293" max="12294" width="11.7109375" style="46" customWidth="1"/>
    <col min="12295" max="12295" width="9.140625" style="46" customWidth="1"/>
    <col min="12296" max="12296" width="3.140625" style="46" customWidth="1"/>
    <col min="12297" max="12297" width="3.7109375" style="46" customWidth="1"/>
    <col min="12298" max="12298" width="18.28125" style="46" customWidth="1"/>
    <col min="12299" max="12299" width="11.7109375" style="46" customWidth="1"/>
    <col min="12300" max="12300" width="13.00390625" style="46" customWidth="1"/>
    <col min="12301" max="12301" width="11.140625" style="46" customWidth="1"/>
    <col min="12302" max="12544" width="9.140625" style="46" customWidth="1"/>
    <col min="12545" max="12545" width="45.8515625" style="46" customWidth="1"/>
    <col min="12546" max="12546" width="10.8515625" style="46" customWidth="1"/>
    <col min="12547" max="12548" width="10.421875" style="46" customWidth="1"/>
    <col min="12549" max="12550" width="11.7109375" style="46" customWidth="1"/>
    <col min="12551" max="12551" width="9.140625" style="46" customWidth="1"/>
    <col min="12552" max="12552" width="3.140625" style="46" customWidth="1"/>
    <col min="12553" max="12553" width="3.7109375" style="46" customWidth="1"/>
    <col min="12554" max="12554" width="18.28125" style="46" customWidth="1"/>
    <col min="12555" max="12555" width="11.7109375" style="46" customWidth="1"/>
    <col min="12556" max="12556" width="13.00390625" style="46" customWidth="1"/>
    <col min="12557" max="12557" width="11.140625" style="46" customWidth="1"/>
    <col min="12558" max="12800" width="9.140625" style="46" customWidth="1"/>
    <col min="12801" max="12801" width="45.8515625" style="46" customWidth="1"/>
    <col min="12802" max="12802" width="10.8515625" style="46" customWidth="1"/>
    <col min="12803" max="12804" width="10.421875" style="46" customWidth="1"/>
    <col min="12805" max="12806" width="11.7109375" style="46" customWidth="1"/>
    <col min="12807" max="12807" width="9.140625" style="46" customWidth="1"/>
    <col min="12808" max="12808" width="3.140625" style="46" customWidth="1"/>
    <col min="12809" max="12809" width="3.7109375" style="46" customWidth="1"/>
    <col min="12810" max="12810" width="18.28125" style="46" customWidth="1"/>
    <col min="12811" max="12811" width="11.7109375" style="46" customWidth="1"/>
    <col min="12812" max="12812" width="13.00390625" style="46" customWidth="1"/>
    <col min="12813" max="12813" width="11.140625" style="46" customWidth="1"/>
    <col min="12814" max="13056" width="9.140625" style="46" customWidth="1"/>
    <col min="13057" max="13057" width="45.8515625" style="46" customWidth="1"/>
    <col min="13058" max="13058" width="10.8515625" style="46" customWidth="1"/>
    <col min="13059" max="13060" width="10.421875" style="46" customWidth="1"/>
    <col min="13061" max="13062" width="11.7109375" style="46" customWidth="1"/>
    <col min="13063" max="13063" width="9.140625" style="46" customWidth="1"/>
    <col min="13064" max="13064" width="3.140625" style="46" customWidth="1"/>
    <col min="13065" max="13065" width="3.7109375" style="46" customWidth="1"/>
    <col min="13066" max="13066" width="18.28125" style="46" customWidth="1"/>
    <col min="13067" max="13067" width="11.7109375" style="46" customWidth="1"/>
    <col min="13068" max="13068" width="13.00390625" style="46" customWidth="1"/>
    <col min="13069" max="13069" width="11.140625" style="46" customWidth="1"/>
    <col min="13070" max="13312" width="9.140625" style="46" customWidth="1"/>
    <col min="13313" max="13313" width="45.8515625" style="46" customWidth="1"/>
    <col min="13314" max="13314" width="10.8515625" style="46" customWidth="1"/>
    <col min="13315" max="13316" width="10.421875" style="46" customWidth="1"/>
    <col min="13317" max="13318" width="11.7109375" style="46" customWidth="1"/>
    <col min="13319" max="13319" width="9.140625" style="46" customWidth="1"/>
    <col min="13320" max="13320" width="3.140625" style="46" customWidth="1"/>
    <col min="13321" max="13321" width="3.7109375" style="46" customWidth="1"/>
    <col min="13322" max="13322" width="18.28125" style="46" customWidth="1"/>
    <col min="13323" max="13323" width="11.7109375" style="46" customWidth="1"/>
    <col min="13324" max="13324" width="13.00390625" style="46" customWidth="1"/>
    <col min="13325" max="13325" width="11.140625" style="46" customWidth="1"/>
    <col min="13326" max="13568" width="9.140625" style="46" customWidth="1"/>
    <col min="13569" max="13569" width="45.8515625" style="46" customWidth="1"/>
    <col min="13570" max="13570" width="10.8515625" style="46" customWidth="1"/>
    <col min="13571" max="13572" width="10.421875" style="46" customWidth="1"/>
    <col min="13573" max="13574" width="11.7109375" style="46" customWidth="1"/>
    <col min="13575" max="13575" width="9.140625" style="46" customWidth="1"/>
    <col min="13576" max="13576" width="3.140625" style="46" customWidth="1"/>
    <col min="13577" max="13577" width="3.7109375" style="46" customWidth="1"/>
    <col min="13578" max="13578" width="18.28125" style="46" customWidth="1"/>
    <col min="13579" max="13579" width="11.7109375" style="46" customWidth="1"/>
    <col min="13580" max="13580" width="13.00390625" style="46" customWidth="1"/>
    <col min="13581" max="13581" width="11.140625" style="46" customWidth="1"/>
    <col min="13582" max="13824" width="9.140625" style="46" customWidth="1"/>
    <col min="13825" max="13825" width="45.8515625" style="46" customWidth="1"/>
    <col min="13826" max="13826" width="10.8515625" style="46" customWidth="1"/>
    <col min="13827" max="13828" width="10.421875" style="46" customWidth="1"/>
    <col min="13829" max="13830" width="11.7109375" style="46" customWidth="1"/>
    <col min="13831" max="13831" width="9.140625" style="46" customWidth="1"/>
    <col min="13832" max="13832" width="3.140625" style="46" customWidth="1"/>
    <col min="13833" max="13833" width="3.7109375" style="46" customWidth="1"/>
    <col min="13834" max="13834" width="18.28125" style="46" customWidth="1"/>
    <col min="13835" max="13835" width="11.7109375" style="46" customWidth="1"/>
    <col min="13836" max="13836" width="13.00390625" style="46" customWidth="1"/>
    <col min="13837" max="13837" width="11.140625" style="46" customWidth="1"/>
    <col min="13838" max="14080" width="9.140625" style="46" customWidth="1"/>
    <col min="14081" max="14081" width="45.8515625" style="46" customWidth="1"/>
    <col min="14082" max="14082" width="10.8515625" style="46" customWidth="1"/>
    <col min="14083" max="14084" width="10.421875" style="46" customWidth="1"/>
    <col min="14085" max="14086" width="11.7109375" style="46" customWidth="1"/>
    <col min="14087" max="14087" width="9.140625" style="46" customWidth="1"/>
    <col min="14088" max="14088" width="3.140625" style="46" customWidth="1"/>
    <col min="14089" max="14089" width="3.7109375" style="46" customWidth="1"/>
    <col min="14090" max="14090" width="18.28125" style="46" customWidth="1"/>
    <col min="14091" max="14091" width="11.7109375" style="46" customWidth="1"/>
    <col min="14092" max="14092" width="13.00390625" style="46" customWidth="1"/>
    <col min="14093" max="14093" width="11.140625" style="46" customWidth="1"/>
    <col min="14094" max="14336" width="9.140625" style="46" customWidth="1"/>
    <col min="14337" max="14337" width="45.8515625" style="46" customWidth="1"/>
    <col min="14338" max="14338" width="10.8515625" style="46" customWidth="1"/>
    <col min="14339" max="14340" width="10.421875" style="46" customWidth="1"/>
    <col min="14341" max="14342" width="11.7109375" style="46" customWidth="1"/>
    <col min="14343" max="14343" width="9.140625" style="46" customWidth="1"/>
    <col min="14344" max="14344" width="3.140625" style="46" customWidth="1"/>
    <col min="14345" max="14345" width="3.7109375" style="46" customWidth="1"/>
    <col min="14346" max="14346" width="18.28125" style="46" customWidth="1"/>
    <col min="14347" max="14347" width="11.7109375" style="46" customWidth="1"/>
    <col min="14348" max="14348" width="13.00390625" style="46" customWidth="1"/>
    <col min="14349" max="14349" width="11.140625" style="46" customWidth="1"/>
    <col min="14350" max="14592" width="9.140625" style="46" customWidth="1"/>
    <col min="14593" max="14593" width="45.8515625" style="46" customWidth="1"/>
    <col min="14594" max="14594" width="10.8515625" style="46" customWidth="1"/>
    <col min="14595" max="14596" width="10.421875" style="46" customWidth="1"/>
    <col min="14597" max="14598" width="11.7109375" style="46" customWidth="1"/>
    <col min="14599" max="14599" width="9.140625" style="46" customWidth="1"/>
    <col min="14600" max="14600" width="3.140625" style="46" customWidth="1"/>
    <col min="14601" max="14601" width="3.7109375" style="46" customWidth="1"/>
    <col min="14602" max="14602" width="18.28125" style="46" customWidth="1"/>
    <col min="14603" max="14603" width="11.7109375" style="46" customWidth="1"/>
    <col min="14604" max="14604" width="13.00390625" style="46" customWidth="1"/>
    <col min="14605" max="14605" width="11.140625" style="46" customWidth="1"/>
    <col min="14606" max="14848" width="9.140625" style="46" customWidth="1"/>
    <col min="14849" max="14849" width="45.8515625" style="46" customWidth="1"/>
    <col min="14850" max="14850" width="10.8515625" style="46" customWidth="1"/>
    <col min="14851" max="14852" width="10.421875" style="46" customWidth="1"/>
    <col min="14853" max="14854" width="11.7109375" style="46" customWidth="1"/>
    <col min="14855" max="14855" width="9.140625" style="46" customWidth="1"/>
    <col min="14856" max="14856" width="3.140625" style="46" customWidth="1"/>
    <col min="14857" max="14857" width="3.7109375" style="46" customWidth="1"/>
    <col min="14858" max="14858" width="18.28125" style="46" customWidth="1"/>
    <col min="14859" max="14859" width="11.7109375" style="46" customWidth="1"/>
    <col min="14860" max="14860" width="13.00390625" style="46" customWidth="1"/>
    <col min="14861" max="14861" width="11.140625" style="46" customWidth="1"/>
    <col min="14862" max="15104" width="9.140625" style="46" customWidth="1"/>
    <col min="15105" max="15105" width="45.8515625" style="46" customWidth="1"/>
    <col min="15106" max="15106" width="10.8515625" style="46" customWidth="1"/>
    <col min="15107" max="15108" width="10.421875" style="46" customWidth="1"/>
    <col min="15109" max="15110" width="11.7109375" style="46" customWidth="1"/>
    <col min="15111" max="15111" width="9.140625" style="46" customWidth="1"/>
    <col min="15112" max="15112" width="3.140625" style="46" customWidth="1"/>
    <col min="15113" max="15113" width="3.7109375" style="46" customWidth="1"/>
    <col min="15114" max="15114" width="18.28125" style="46" customWidth="1"/>
    <col min="15115" max="15115" width="11.7109375" style="46" customWidth="1"/>
    <col min="15116" max="15116" width="13.00390625" style="46" customWidth="1"/>
    <col min="15117" max="15117" width="11.140625" style="46" customWidth="1"/>
    <col min="15118" max="15360" width="9.140625" style="46" customWidth="1"/>
    <col min="15361" max="15361" width="45.8515625" style="46" customWidth="1"/>
    <col min="15362" max="15362" width="10.8515625" style="46" customWidth="1"/>
    <col min="15363" max="15364" width="10.421875" style="46" customWidth="1"/>
    <col min="15365" max="15366" width="11.7109375" style="46" customWidth="1"/>
    <col min="15367" max="15367" width="9.140625" style="46" customWidth="1"/>
    <col min="15368" max="15368" width="3.140625" style="46" customWidth="1"/>
    <col min="15369" max="15369" width="3.7109375" style="46" customWidth="1"/>
    <col min="15370" max="15370" width="18.28125" style="46" customWidth="1"/>
    <col min="15371" max="15371" width="11.7109375" style="46" customWidth="1"/>
    <col min="15372" max="15372" width="13.00390625" style="46" customWidth="1"/>
    <col min="15373" max="15373" width="11.140625" style="46" customWidth="1"/>
    <col min="15374" max="15616" width="9.140625" style="46" customWidth="1"/>
    <col min="15617" max="15617" width="45.8515625" style="46" customWidth="1"/>
    <col min="15618" max="15618" width="10.8515625" style="46" customWidth="1"/>
    <col min="15619" max="15620" width="10.421875" style="46" customWidth="1"/>
    <col min="15621" max="15622" width="11.7109375" style="46" customWidth="1"/>
    <col min="15623" max="15623" width="9.140625" style="46" customWidth="1"/>
    <col min="15624" max="15624" width="3.140625" style="46" customWidth="1"/>
    <col min="15625" max="15625" width="3.7109375" style="46" customWidth="1"/>
    <col min="15626" max="15626" width="18.28125" style="46" customWidth="1"/>
    <col min="15627" max="15627" width="11.7109375" style="46" customWidth="1"/>
    <col min="15628" max="15628" width="13.00390625" style="46" customWidth="1"/>
    <col min="15629" max="15629" width="11.140625" style="46" customWidth="1"/>
    <col min="15630" max="15872" width="9.140625" style="46" customWidth="1"/>
    <col min="15873" max="15873" width="45.8515625" style="46" customWidth="1"/>
    <col min="15874" max="15874" width="10.8515625" style="46" customWidth="1"/>
    <col min="15875" max="15876" width="10.421875" style="46" customWidth="1"/>
    <col min="15877" max="15878" width="11.7109375" style="46" customWidth="1"/>
    <col min="15879" max="15879" width="9.140625" style="46" customWidth="1"/>
    <col min="15880" max="15880" width="3.140625" style="46" customWidth="1"/>
    <col min="15881" max="15881" width="3.7109375" style="46" customWidth="1"/>
    <col min="15882" max="15882" width="18.28125" style="46" customWidth="1"/>
    <col min="15883" max="15883" width="11.7109375" style="46" customWidth="1"/>
    <col min="15884" max="15884" width="13.00390625" style="46" customWidth="1"/>
    <col min="15885" max="15885" width="11.140625" style="46" customWidth="1"/>
    <col min="15886" max="16128" width="9.140625" style="46" customWidth="1"/>
    <col min="16129" max="16129" width="45.8515625" style="46" customWidth="1"/>
    <col min="16130" max="16130" width="10.8515625" style="46" customWidth="1"/>
    <col min="16131" max="16132" width="10.421875" style="46" customWidth="1"/>
    <col min="16133" max="16134" width="11.7109375" style="46" customWidth="1"/>
    <col min="16135" max="16135" width="9.140625" style="46" customWidth="1"/>
    <col min="16136" max="16136" width="3.140625" style="46" customWidth="1"/>
    <col min="16137" max="16137" width="3.7109375" style="46" customWidth="1"/>
    <col min="16138" max="16138" width="18.28125" style="46" customWidth="1"/>
    <col min="16139" max="16139" width="11.7109375" style="46" customWidth="1"/>
    <col min="16140" max="16140" width="13.00390625" style="46" customWidth="1"/>
    <col min="16141" max="16141" width="11.140625" style="46" customWidth="1"/>
    <col min="16142" max="16384" width="9.140625" style="46" customWidth="1"/>
  </cols>
  <sheetData>
    <row r="1" spans="1:12" ht="12.75">
      <c r="A1" s="53" t="s">
        <v>284</v>
      </c>
      <c r="B1" s="53"/>
      <c r="D1" s="54"/>
      <c r="L1" s="55"/>
    </row>
    <row r="2" spans="1:3" ht="12.75">
      <c r="A2" s="49" t="s">
        <v>285</v>
      </c>
      <c r="B2" s="49"/>
      <c r="C2" s="56"/>
    </row>
    <row r="3" spans="1:3" ht="12.75">
      <c r="A3" s="56" t="s">
        <v>161</v>
      </c>
      <c r="B3" s="56"/>
      <c r="C3" s="56"/>
    </row>
    <row r="4" spans="5:6" ht="12.75">
      <c r="E4" s="57" t="s">
        <v>286</v>
      </c>
      <c r="F4" s="58">
        <v>2020</v>
      </c>
    </row>
    <row r="5" ht="12.75">
      <c r="B5" s="56"/>
    </row>
    <row r="6" spans="2:7" ht="12.75">
      <c r="B6" s="59" t="s">
        <v>162</v>
      </c>
      <c r="C6" s="59" t="s">
        <v>163</v>
      </c>
      <c r="D6" s="59" t="s">
        <v>164</v>
      </c>
      <c r="E6" s="59" t="s">
        <v>165</v>
      </c>
      <c r="F6" s="59" t="s">
        <v>166</v>
      </c>
      <c r="G6" s="59"/>
    </row>
    <row r="7" spans="2:7" ht="12.75">
      <c r="B7" s="60" t="s">
        <v>287</v>
      </c>
      <c r="C7" s="59" t="s">
        <v>288</v>
      </c>
      <c r="D7" s="59" t="s">
        <v>288</v>
      </c>
      <c r="E7" s="59" t="s">
        <v>289</v>
      </c>
      <c r="F7" s="59" t="s">
        <v>290</v>
      </c>
      <c r="G7" s="59"/>
    </row>
    <row r="8" spans="2:7" ht="12.75">
      <c r="B8" s="60" t="s">
        <v>291</v>
      </c>
      <c r="C8" s="59" t="s">
        <v>265</v>
      </c>
      <c r="D8" s="59" t="s">
        <v>292</v>
      </c>
      <c r="E8" s="59" t="s">
        <v>293</v>
      </c>
      <c r="F8" s="59" t="s">
        <v>294</v>
      </c>
      <c r="G8" s="59"/>
    </row>
    <row r="9" spans="1:7" ht="12.75">
      <c r="A9" s="61" t="s">
        <v>295</v>
      </c>
      <c r="G9" s="56"/>
    </row>
    <row r="10" spans="9:13" ht="12.75">
      <c r="I10" s="62"/>
      <c r="M10" s="60" t="s">
        <v>153</v>
      </c>
    </row>
    <row r="11" spans="1:13" ht="12.75">
      <c r="A11" s="61" t="s">
        <v>296</v>
      </c>
      <c r="I11" s="63" t="s">
        <v>286</v>
      </c>
      <c r="J11" s="64">
        <f>F4</f>
        <v>2020</v>
      </c>
      <c r="K11" s="60" t="s">
        <v>297</v>
      </c>
      <c r="L11" s="60" t="s">
        <v>298</v>
      </c>
      <c r="M11" s="60" t="s">
        <v>299</v>
      </c>
    </row>
    <row r="12" spans="1:13" ht="12.75">
      <c r="A12" s="61" t="s">
        <v>300</v>
      </c>
      <c r="C12" s="46">
        <f>K15</f>
        <v>36975.81006687126</v>
      </c>
      <c r="D12" s="46">
        <f>K17+K19</f>
        <v>11939.796066034149</v>
      </c>
      <c r="E12" s="46">
        <f>+Depreciation!E6+Depreciation!E7+Depreciation!E12</f>
        <v>139796.2</v>
      </c>
      <c r="F12" s="46">
        <f>SUM(C12:E12)</f>
        <v>188711.80613290542</v>
      </c>
      <c r="H12" s="65">
        <v>1</v>
      </c>
      <c r="I12" s="46" t="s">
        <v>301</v>
      </c>
      <c r="J12" s="66"/>
      <c r="K12" s="67">
        <f>+'equivalent annual costs'!F5</f>
        <v>414721.7697217024</v>
      </c>
      <c r="L12" s="46">
        <f>+'equivalent annual costs'!F11</f>
        <v>133399.14633977943</v>
      </c>
      <c r="M12" s="67">
        <f>SUM(K12:L12)</f>
        <v>548120.9160614818</v>
      </c>
    </row>
    <row r="13" spans="1:13" ht="12.75">
      <c r="A13" s="61" t="s">
        <v>302</v>
      </c>
      <c r="B13" s="46">
        <v>246459</v>
      </c>
      <c r="C13" s="46">
        <f>L15-C30-C33</f>
        <v>6131</v>
      </c>
      <c r="D13" s="46">
        <f>L17+L19-D30-D33</f>
        <v>1979</v>
      </c>
      <c r="E13" s="46">
        <f>+Depreciation!E13</f>
        <v>34050.600000000006</v>
      </c>
      <c r="F13" s="46">
        <f>SUM(C13:E13)</f>
        <v>42160.600000000006</v>
      </c>
      <c r="H13" s="46">
        <v>2</v>
      </c>
      <c r="J13" s="46" t="s">
        <v>303</v>
      </c>
      <c r="K13" s="47">
        <f>K12/M12</f>
        <v>0.7566246015599662</v>
      </c>
      <c r="L13" s="47">
        <f>L12/M12</f>
        <v>0.24337539844003375</v>
      </c>
      <c r="M13" s="9">
        <v>1</v>
      </c>
    </row>
    <row r="14" spans="1:13" ht="12.75">
      <c r="A14" s="61" t="s">
        <v>304</v>
      </c>
      <c r="E14" s="46">
        <v>0</v>
      </c>
      <c r="F14" s="46">
        <f aca="true" t="shared" si="0" ref="F14:F19">SUM(C14:E14)</f>
        <v>0</v>
      </c>
      <c r="G14" s="68"/>
      <c r="J14"/>
      <c r="K14"/>
      <c r="M14"/>
    </row>
    <row r="15" spans="1:13" ht="12.75">
      <c r="A15" s="61" t="s">
        <v>305</v>
      </c>
      <c r="E15" s="46">
        <v>0</v>
      </c>
      <c r="F15" s="46">
        <f t="shared" si="0"/>
        <v>0</v>
      </c>
      <c r="G15" s="69"/>
      <c r="H15" s="46">
        <v>3</v>
      </c>
      <c r="I15" s="46" t="s">
        <v>306</v>
      </c>
      <c r="J15"/>
      <c r="K15" s="23">
        <f>M15-L15</f>
        <v>36975.81006687126</v>
      </c>
      <c r="L15" s="46">
        <f>ROUND(M15*L13,0)</f>
        <v>11894</v>
      </c>
      <c r="M15" s="23">
        <f>+'Income Statement Cash Flows'!E37-SUM('cost table'!D88:D92)-SUM('cost table'!D98:D99)</f>
        <v>48869.81006687126</v>
      </c>
    </row>
    <row r="16" spans="1:13" ht="12.75">
      <c r="A16" s="61" t="s">
        <v>307</v>
      </c>
      <c r="E16" s="46">
        <v>0</v>
      </c>
      <c r="F16" s="46">
        <f t="shared" si="0"/>
        <v>0</v>
      </c>
      <c r="G16" s="68"/>
      <c r="J16"/>
      <c r="K16"/>
      <c r="M16"/>
    </row>
    <row r="17" spans="1:13" ht="12.75">
      <c r="A17" s="46" t="s">
        <v>308</v>
      </c>
      <c r="E17" s="46">
        <v>0</v>
      </c>
      <c r="F17" s="46">
        <f t="shared" si="0"/>
        <v>0</v>
      </c>
      <c r="G17" s="68"/>
      <c r="H17" s="46">
        <v>4</v>
      </c>
      <c r="I17" s="193" t="s">
        <v>336</v>
      </c>
      <c r="J17"/>
      <c r="K17" s="23">
        <f>M17-L17</f>
        <v>11939.796066034149</v>
      </c>
      <c r="L17" s="46">
        <f>ROUND(M17*$L$13,0)</f>
        <v>3840</v>
      </c>
      <c r="M17" s="23">
        <f>+'Income Statement Cash Flows'!E41</f>
        <v>15779.796066034149</v>
      </c>
    </row>
    <row r="18" spans="1:13" ht="12.75">
      <c r="A18" s="61" t="s">
        <v>310</v>
      </c>
      <c r="E18" s="46">
        <v>0</v>
      </c>
      <c r="F18" s="46">
        <f t="shared" si="0"/>
        <v>0</v>
      </c>
      <c r="G18" s="68"/>
      <c r="J18"/>
      <c r="K18" s="23"/>
      <c r="M18" s="23"/>
    </row>
    <row r="19" spans="1:13" ht="12.75">
      <c r="A19" s="61" t="s">
        <v>311</v>
      </c>
      <c r="E19" s="46">
        <v>0</v>
      </c>
      <c r="F19" s="46">
        <f t="shared" si="0"/>
        <v>0</v>
      </c>
      <c r="G19" s="70"/>
      <c r="H19" s="46">
        <v>5</v>
      </c>
      <c r="I19" s="193" t="s">
        <v>592</v>
      </c>
      <c r="J19"/>
      <c r="K19" s="23">
        <f>M19-L19</f>
        <v>0</v>
      </c>
      <c r="L19" s="46">
        <f>ROUND(M19*$L$13,0)</f>
        <v>0</v>
      </c>
      <c r="M19" s="7">
        <f>+'Modeling results'!B31</f>
        <v>0</v>
      </c>
    </row>
    <row r="20" spans="1:13" ht="12.75">
      <c r="A20" s="61" t="s">
        <v>312</v>
      </c>
      <c r="B20" s="46">
        <f>SUM(B12:B19)</f>
        <v>246459</v>
      </c>
      <c r="C20" s="46">
        <f>SUM(C12:C19)</f>
        <v>43106.81006687126</v>
      </c>
      <c r="D20" s="46">
        <f>SUM(D12:D19)</f>
        <v>13918.796066034149</v>
      </c>
      <c r="E20" s="46">
        <f>SUM(E12:E19)</f>
        <v>173846.80000000002</v>
      </c>
      <c r="F20" s="46">
        <f>SUM(F12:F19)</f>
        <v>230872.40613290542</v>
      </c>
      <c r="G20" s="70"/>
      <c r="K20"/>
      <c r="M20"/>
    </row>
    <row r="21" spans="10:14" ht="12.75">
      <c r="J21"/>
      <c r="K21"/>
      <c r="L21"/>
      <c r="M21"/>
      <c r="N21"/>
    </row>
    <row r="22" spans="1:14" ht="12.75">
      <c r="A22" s="61" t="s">
        <v>313</v>
      </c>
      <c r="I22" s="193" t="s">
        <v>593</v>
      </c>
      <c r="J22"/>
      <c r="K22"/>
      <c r="L22"/>
      <c r="M22" s="93">
        <f>+M17/(M17+M19)</f>
        <v>1</v>
      </c>
      <c r="N22"/>
    </row>
    <row r="23" spans="1:13" ht="12.75">
      <c r="A23" s="61" t="s">
        <v>314</v>
      </c>
      <c r="E23" s="46">
        <v>0</v>
      </c>
      <c r="F23" s="46">
        <f>SUM(C23:E23)</f>
        <v>0</v>
      </c>
      <c r="G23" s="71"/>
      <c r="J23"/>
      <c r="K23"/>
      <c r="M23"/>
    </row>
    <row r="24" spans="1:13" ht="12.75">
      <c r="A24" s="61" t="s">
        <v>315</v>
      </c>
      <c r="E24" s="46">
        <v>0</v>
      </c>
      <c r="F24" s="46">
        <f>SUM(C24:E24)</f>
        <v>0</v>
      </c>
      <c r="G24" s="71"/>
      <c r="J24"/>
      <c r="K24"/>
      <c r="M24"/>
    </row>
    <row r="25" spans="1:13" ht="12.75">
      <c r="A25" s="61" t="s">
        <v>316</v>
      </c>
      <c r="E25" s="46">
        <v>0</v>
      </c>
      <c r="F25" s="46">
        <f>SUM(C25:E25)</f>
        <v>0</v>
      </c>
      <c r="J25"/>
      <c r="K25"/>
      <c r="M25"/>
    </row>
    <row r="26" spans="1:13" ht="12.75">
      <c r="A26" s="61" t="s">
        <v>317</v>
      </c>
      <c r="E26" s="46">
        <v>0</v>
      </c>
      <c r="F26" s="46">
        <f>F23+F24+F25</f>
        <v>0</v>
      </c>
      <c r="J26"/>
      <c r="K26"/>
      <c r="M26"/>
    </row>
    <row r="27" spans="10:14" ht="12.75">
      <c r="J27"/>
      <c r="K27"/>
      <c r="L27"/>
      <c r="M27"/>
      <c r="N27"/>
    </row>
    <row r="28" spans="1:14" ht="12.75">
      <c r="A28" s="61" t="s">
        <v>318</v>
      </c>
      <c r="E28" s="46">
        <v>0</v>
      </c>
      <c r="F28" s="46">
        <f>SUM(C28:E28)</f>
        <v>0</v>
      </c>
      <c r="J28"/>
      <c r="K28"/>
      <c r="L28"/>
      <c r="M28"/>
      <c r="N28"/>
    </row>
    <row r="29" spans="10:14" ht="12.75">
      <c r="J29"/>
      <c r="K29"/>
      <c r="L29"/>
      <c r="M29"/>
      <c r="N29"/>
    </row>
    <row r="30" spans="1:13" ht="12.75">
      <c r="A30" s="61" t="s">
        <v>319</v>
      </c>
      <c r="B30" s="46">
        <v>195104</v>
      </c>
      <c r="C30" s="46">
        <f>ROUND($B30/$B$37*$L$15,0)</f>
        <v>4854</v>
      </c>
      <c r="D30" s="46">
        <f>ROUND($B30/$B$37*($L$17+$L$19),0)</f>
        <v>1567</v>
      </c>
      <c r="E30" s="46">
        <f>+Depreciation!E9+Depreciation!E10+Depreciation!E11</f>
        <v>42095.38428</v>
      </c>
      <c r="F30" s="46">
        <f>SUM(C30:E30)</f>
        <v>48516.38428</v>
      </c>
      <c r="K30"/>
      <c r="M30"/>
    </row>
    <row r="31" spans="1:14" ht="12.75">
      <c r="A31" s="61"/>
      <c r="J31"/>
      <c r="K31"/>
      <c r="L31"/>
      <c r="M31"/>
      <c r="N31"/>
    </row>
    <row r="32" spans="1:14" ht="12.75">
      <c r="A32" s="61" t="s">
        <v>320</v>
      </c>
      <c r="J32"/>
      <c r="K32"/>
      <c r="L32"/>
      <c r="M32"/>
      <c r="N32"/>
    </row>
    <row r="33" spans="1:13" ht="12.75">
      <c r="A33" s="61" t="s">
        <v>321</v>
      </c>
      <c r="B33" s="46">
        <v>36552</v>
      </c>
      <c r="C33" s="46">
        <f>ROUND($B33/$B$37*$L$15,0)</f>
        <v>909</v>
      </c>
      <c r="D33" s="46">
        <f>ROUND($B33/$B$37*($L$17+$L$19),0)</f>
        <v>294</v>
      </c>
      <c r="E33" s="46">
        <f>+Depreciation!E5</f>
        <v>10418.3877677</v>
      </c>
      <c r="F33" s="46">
        <f>SUM(C33:E33)</f>
        <v>11621.3877677</v>
      </c>
      <c r="K33"/>
      <c r="M33"/>
    </row>
    <row r="34" spans="1:13" ht="12.75">
      <c r="A34" s="61" t="s">
        <v>322</v>
      </c>
      <c r="F34" s="46">
        <f>SUM(C34:E34)</f>
        <v>0</v>
      </c>
      <c r="J34"/>
      <c r="K34"/>
      <c r="M34"/>
    </row>
    <row r="35" spans="1:13" ht="12.75">
      <c r="A35" s="61" t="s">
        <v>323</v>
      </c>
      <c r="B35" s="46">
        <f>B33+B34</f>
        <v>36552</v>
      </c>
      <c r="C35" s="46">
        <f>C33+C34</f>
        <v>909</v>
      </c>
      <c r="D35" s="46">
        <f>D33+D34</f>
        <v>294</v>
      </c>
      <c r="E35" s="46">
        <f>E33+E34</f>
        <v>10418.3877677</v>
      </c>
      <c r="F35" s="46">
        <f>F33+F34</f>
        <v>11621.3877677</v>
      </c>
      <c r="K35"/>
      <c r="M35"/>
    </row>
    <row r="36" spans="10:14" ht="12.75">
      <c r="J36"/>
      <c r="K36"/>
      <c r="L36"/>
      <c r="M36"/>
      <c r="N36"/>
    </row>
    <row r="37" spans="1:13" ht="12.75">
      <c r="A37" s="61" t="s">
        <v>324</v>
      </c>
      <c r="B37" s="46">
        <f>B35+B30+B28+B26+B20</f>
        <v>478115</v>
      </c>
      <c r="C37" s="46">
        <f>C35+C30+C28+C26+C20</f>
        <v>48869.81006687126</v>
      </c>
      <c r="D37" s="46">
        <f>D35+D30+D28+D26+D20</f>
        <v>15779.796066034149</v>
      </c>
      <c r="E37" s="46">
        <f>E35+E30+E28+E26+E20</f>
        <v>226360.5720477</v>
      </c>
      <c r="F37" s="46">
        <f>F35+F30+F28+F26+F20</f>
        <v>291010.1781806054</v>
      </c>
      <c r="K37"/>
      <c r="M37"/>
    </row>
    <row r="38" spans="10:14" ht="12.75">
      <c r="J38"/>
      <c r="K38"/>
      <c r="L38"/>
      <c r="M38"/>
      <c r="N38"/>
    </row>
    <row r="39" spans="1:14" ht="12.75">
      <c r="A39" s="61" t="s">
        <v>325</v>
      </c>
      <c r="B39"/>
      <c r="J39"/>
      <c r="K39"/>
      <c r="L39"/>
      <c r="M39"/>
      <c r="N39"/>
    </row>
    <row r="40" spans="1:13" ht="12.75">
      <c r="A40" s="46" t="s">
        <v>326</v>
      </c>
      <c r="E40" s="46">
        <v>0</v>
      </c>
      <c r="F40" s="46">
        <f>SUM(C40:E40)</f>
        <v>0</v>
      </c>
      <c r="M40"/>
    </row>
    <row r="41" spans="1:13" ht="12.75">
      <c r="A41" s="46" t="s">
        <v>327</v>
      </c>
      <c r="E41" s="46">
        <v>0</v>
      </c>
      <c r="F41" s="46">
        <f>SUM(C41:E41)</f>
        <v>0</v>
      </c>
      <c r="M41"/>
    </row>
    <row r="42" spans="1:13" ht="12.75">
      <c r="A42" s="46" t="s">
        <v>328</v>
      </c>
      <c r="E42" s="46">
        <v>0</v>
      </c>
      <c r="F42" s="46">
        <f>SUM(C42:E42)</f>
        <v>0</v>
      </c>
      <c r="M42"/>
    </row>
    <row r="43" spans="1:13" ht="12.75">
      <c r="A43" s="46" t="s">
        <v>329</v>
      </c>
      <c r="E43" s="46">
        <v>0</v>
      </c>
      <c r="F43" s="46">
        <f>SUM(F40:F42)</f>
        <v>0</v>
      </c>
      <c r="M43"/>
    </row>
    <row r="44" spans="10:14" ht="12.75">
      <c r="J44"/>
      <c r="K44"/>
      <c r="L44"/>
      <c r="M44"/>
      <c r="N44"/>
    </row>
    <row r="45" spans="1:13" ht="12.75">
      <c r="A45" s="61" t="s">
        <v>330</v>
      </c>
      <c r="C45" s="46">
        <f>C37+C43</f>
        <v>48869.81006687126</v>
      </c>
      <c r="D45" s="46">
        <f>D37+D43</f>
        <v>15779.796066034149</v>
      </c>
      <c r="E45" s="46">
        <f>E37+E43</f>
        <v>226360.5720477</v>
      </c>
      <c r="F45" s="46">
        <f>F37+F43</f>
        <v>291010.1781806054</v>
      </c>
      <c r="M45"/>
    </row>
    <row r="46" spans="10:14" ht="12.75">
      <c r="J46"/>
      <c r="K46"/>
      <c r="L46"/>
      <c r="M46"/>
      <c r="N46"/>
    </row>
    <row r="47" spans="10:14" ht="12.75">
      <c r="J47"/>
      <c r="K47"/>
      <c r="L47"/>
      <c r="M47"/>
      <c r="N47"/>
    </row>
    <row r="48" spans="10:14" ht="12.75">
      <c r="J48"/>
      <c r="K48"/>
      <c r="L48"/>
      <c r="M48"/>
      <c r="N48"/>
    </row>
    <row r="49" spans="1:14" ht="12.75">
      <c r="A49" s="72"/>
      <c r="B49" s="72"/>
      <c r="J49"/>
      <c r="K49"/>
      <c r="L49"/>
      <c r="M49"/>
      <c r="N49"/>
    </row>
    <row r="50" spans="2:6" ht="12.75">
      <c r="B50" s="72"/>
      <c r="E50" s="57" t="s">
        <v>286</v>
      </c>
      <c r="F50" s="58">
        <f>F4+1</f>
        <v>2021</v>
      </c>
    </row>
    <row r="51" spans="1:2" ht="12.75">
      <c r="A51" s="56"/>
      <c r="B51" s="56"/>
    </row>
    <row r="52" spans="2:6" ht="12.75">
      <c r="B52" s="59" t="s">
        <v>162</v>
      </c>
      <c r="C52" s="59" t="s">
        <v>163</v>
      </c>
      <c r="D52" s="59" t="s">
        <v>164</v>
      </c>
      <c r="E52" s="59" t="s">
        <v>165</v>
      </c>
      <c r="F52" s="59" t="s">
        <v>166</v>
      </c>
    </row>
    <row r="53" spans="2:6" ht="12.75">
      <c r="B53" s="60" t="s">
        <v>287</v>
      </c>
      <c r="C53" s="59" t="s">
        <v>288</v>
      </c>
      <c r="D53" s="59" t="s">
        <v>288</v>
      </c>
      <c r="E53" s="59" t="s">
        <v>289</v>
      </c>
      <c r="F53" s="59" t="s">
        <v>290</v>
      </c>
    </row>
    <row r="54" spans="2:6" ht="12.75">
      <c r="B54" s="60" t="s">
        <v>291</v>
      </c>
      <c r="C54" s="59" t="s">
        <v>265</v>
      </c>
      <c r="D54" s="59" t="s">
        <v>292</v>
      </c>
      <c r="E54" s="59" t="s">
        <v>293</v>
      </c>
      <c r="F54" s="59" t="s">
        <v>294</v>
      </c>
    </row>
    <row r="55" spans="1:7" ht="12.75">
      <c r="A55" s="61" t="s">
        <v>295</v>
      </c>
      <c r="G55" s="56"/>
    </row>
    <row r="56" spans="9:13" ht="12.75">
      <c r="I56" s="62"/>
      <c r="M56" s="60" t="s">
        <v>153</v>
      </c>
    </row>
    <row r="57" spans="1:13" ht="12.75">
      <c r="A57" s="61" t="s">
        <v>296</v>
      </c>
      <c r="I57" s="63" t="s">
        <v>286</v>
      </c>
      <c r="J57" s="64">
        <f>F50</f>
        <v>2021</v>
      </c>
      <c r="K57" s="60" t="s">
        <v>297</v>
      </c>
      <c r="L57" s="60" t="s">
        <v>298</v>
      </c>
      <c r="M57" s="60" t="s">
        <v>299</v>
      </c>
    </row>
    <row r="58" spans="1:13" ht="12.75">
      <c r="A58" s="61" t="s">
        <v>300</v>
      </c>
      <c r="C58" s="46">
        <f>K61</f>
        <v>42205.70465937286</v>
      </c>
      <c r="D58" s="46">
        <f>K63+K65</f>
        <v>77938.86312980301</v>
      </c>
      <c r="E58" s="46">
        <f>+Depreciation!F6+Depreciation!F7+Depreciation!F12</f>
        <v>143271.2</v>
      </c>
      <c r="F58" s="46">
        <f>SUM(C58:E58)</f>
        <v>263415.76778917585</v>
      </c>
      <c r="H58" s="65">
        <v>1</v>
      </c>
      <c r="I58" s="46" t="s">
        <v>301</v>
      </c>
      <c r="J58" s="66"/>
      <c r="K58" s="67">
        <f>+'equivalent annual costs'!I5</f>
        <v>457141.86114201846</v>
      </c>
      <c r="L58" s="46">
        <f>+'equivalent annual costs'!I11</f>
        <v>133445.52438855515</v>
      </c>
      <c r="M58" s="67">
        <f>SUM(K58:L58)</f>
        <v>590587.3855305735</v>
      </c>
    </row>
    <row r="59" spans="1:13" ht="12" customHeight="1">
      <c r="A59" s="61" t="s">
        <v>302</v>
      </c>
      <c r="B59" s="46">
        <v>268316</v>
      </c>
      <c r="C59" s="46">
        <f>L61-C76-C79</f>
        <v>7209</v>
      </c>
      <c r="D59" s="46">
        <f>L63+L65-D76-D79</f>
        <v>13313</v>
      </c>
      <c r="E59" s="46">
        <f>+Depreciation!F13</f>
        <v>36256.883066666676</v>
      </c>
      <c r="F59" s="46">
        <f aca="true" t="shared" si="1" ref="F59:F65">SUM(C59:E59)</f>
        <v>56778.883066666676</v>
      </c>
      <c r="H59" s="46">
        <v>2</v>
      </c>
      <c r="J59" s="46" t="s">
        <v>303</v>
      </c>
      <c r="K59" s="47">
        <f>K58/M58</f>
        <v>0.7740460977359516</v>
      </c>
      <c r="L59" s="47">
        <f>L58/M58</f>
        <v>0.2259539022640485</v>
      </c>
      <c r="M59" s="9">
        <v>1</v>
      </c>
    </row>
    <row r="60" spans="1:13" ht="12.75">
      <c r="A60" s="61" t="s">
        <v>304</v>
      </c>
      <c r="E60" s="46">
        <v>0</v>
      </c>
      <c r="F60" s="46">
        <f t="shared" si="1"/>
        <v>0</v>
      </c>
      <c r="G60" s="68"/>
      <c r="J60"/>
      <c r="K60"/>
      <c r="M60"/>
    </row>
    <row r="61" spans="1:13" ht="12.75">
      <c r="A61" s="61" t="s">
        <v>305</v>
      </c>
      <c r="E61" s="46">
        <v>0</v>
      </c>
      <c r="F61" s="46">
        <f t="shared" si="1"/>
        <v>0</v>
      </c>
      <c r="G61" s="69"/>
      <c r="H61" s="46">
        <v>3</v>
      </c>
      <c r="I61" s="46" t="s">
        <v>306</v>
      </c>
      <c r="J61"/>
      <c r="K61" s="23">
        <f>M61-L61</f>
        <v>42205.70465937286</v>
      </c>
      <c r="L61" s="46">
        <f>ROUND(M61*L59,0)</f>
        <v>12320</v>
      </c>
      <c r="M61" s="23">
        <f>+'Income Statement Cash Flows'!F37-SUM('cost table'!E88:E92)-SUM('cost table'!E98:E99)</f>
        <v>54525.70465937286</v>
      </c>
    </row>
    <row r="62" spans="1:13" ht="12.75">
      <c r="A62" s="61" t="s">
        <v>307</v>
      </c>
      <c r="E62" s="46">
        <v>0</v>
      </c>
      <c r="F62" s="46">
        <f t="shared" si="1"/>
        <v>0</v>
      </c>
      <c r="G62" s="68"/>
      <c r="J62"/>
      <c r="K62"/>
      <c r="M62"/>
    </row>
    <row r="63" spans="1:13" ht="12.75">
      <c r="A63" s="46" t="s">
        <v>308</v>
      </c>
      <c r="E63" s="46">
        <v>0</v>
      </c>
      <c r="F63" s="46">
        <f t="shared" si="1"/>
        <v>0</v>
      </c>
      <c r="G63" s="68"/>
      <c r="H63" s="46">
        <v>4</v>
      </c>
      <c r="I63" s="46" t="s">
        <v>309</v>
      </c>
      <c r="J63"/>
      <c r="K63" s="23">
        <f>M63-L63</f>
        <v>77938.86312980301</v>
      </c>
      <c r="L63" s="46">
        <f>ROUND(M63*L59,0)</f>
        <v>22751</v>
      </c>
      <c r="M63" s="23">
        <f>+'Income Statement Cash Flows'!F41</f>
        <v>100689.86312980301</v>
      </c>
    </row>
    <row r="64" spans="1:13" ht="12.75">
      <c r="A64" s="61" t="s">
        <v>310</v>
      </c>
      <c r="E64" s="46">
        <v>0</v>
      </c>
      <c r="F64" s="46">
        <f t="shared" si="1"/>
        <v>0</v>
      </c>
      <c r="G64" s="68"/>
      <c r="J64"/>
      <c r="K64" s="246"/>
      <c r="L64" s="246"/>
      <c r="M64" s="246"/>
    </row>
    <row r="65" spans="1:13" ht="12.75">
      <c r="A65" s="61" t="s">
        <v>311</v>
      </c>
      <c r="E65" s="46">
        <v>0</v>
      </c>
      <c r="F65" s="46">
        <f t="shared" si="1"/>
        <v>0</v>
      </c>
      <c r="G65" s="70"/>
      <c r="H65" s="46">
        <v>5</v>
      </c>
      <c r="I65" s="193" t="s">
        <v>592</v>
      </c>
      <c r="J65"/>
      <c r="K65" s="246">
        <f>M65-L65</f>
        <v>0</v>
      </c>
      <c r="L65" s="246">
        <f>ROUND(M65*$L$59,0)</f>
        <v>0</v>
      </c>
      <c r="M65" s="246">
        <f>+'Modeling results'!C31</f>
        <v>0</v>
      </c>
    </row>
    <row r="66" spans="1:13" ht="12.75">
      <c r="A66" s="61" t="s">
        <v>312</v>
      </c>
      <c r="B66" s="46">
        <f>SUM(B58:B65)</f>
        <v>268316</v>
      </c>
      <c r="C66" s="46">
        <f>SUM(C58:C65)</f>
        <v>49414.70465937286</v>
      </c>
      <c r="D66" s="46">
        <f>SUM(D58:D65)</f>
        <v>91251.86312980301</v>
      </c>
      <c r="E66" s="46">
        <f>SUM(E58:E65)</f>
        <v>179528.08306666667</v>
      </c>
      <c r="F66" s="46">
        <f>SUM(F58:F65)</f>
        <v>320194.6508558425</v>
      </c>
      <c r="G66" s="70"/>
      <c r="K66"/>
      <c r="M66"/>
    </row>
    <row r="67" spans="10:14" ht="12.75">
      <c r="J67"/>
      <c r="K67"/>
      <c r="L67"/>
      <c r="M67"/>
      <c r="N67"/>
    </row>
    <row r="68" spans="1:14" ht="12.75">
      <c r="A68" s="61" t="s">
        <v>313</v>
      </c>
      <c r="I68" s="193" t="s">
        <v>593</v>
      </c>
      <c r="J68"/>
      <c r="K68"/>
      <c r="L68"/>
      <c r="M68" s="93">
        <f>+M63/(M63+M65)</f>
        <v>1</v>
      </c>
      <c r="N68"/>
    </row>
    <row r="69" spans="1:13" ht="12.75">
      <c r="A69" s="61" t="s">
        <v>314</v>
      </c>
      <c r="E69" s="46">
        <v>0</v>
      </c>
      <c r="F69" s="46">
        <f>SUM(C69:E69)</f>
        <v>0</v>
      </c>
      <c r="G69" s="71"/>
      <c r="J69"/>
      <c r="K69"/>
      <c r="M69"/>
    </row>
    <row r="70" spans="1:13" ht="12.75">
      <c r="A70" s="61" t="s">
        <v>315</v>
      </c>
      <c r="E70" s="46">
        <v>0</v>
      </c>
      <c r="F70" s="46">
        <f>SUM(C70:E70)</f>
        <v>0</v>
      </c>
      <c r="G70" s="71"/>
      <c r="J70"/>
      <c r="K70"/>
      <c r="M70"/>
    </row>
    <row r="71" spans="1:13" ht="12.75">
      <c r="A71" s="61" t="s">
        <v>316</v>
      </c>
      <c r="E71" s="46">
        <v>0</v>
      </c>
      <c r="F71" s="46">
        <f>SUM(C71:E71)</f>
        <v>0</v>
      </c>
      <c r="J71"/>
      <c r="K71"/>
      <c r="M71"/>
    </row>
    <row r="72" spans="1:13" ht="12.75">
      <c r="A72" s="61" t="s">
        <v>317</v>
      </c>
      <c r="E72" s="46">
        <v>0</v>
      </c>
      <c r="F72" s="46">
        <f>F69+F70+F71</f>
        <v>0</v>
      </c>
      <c r="J72"/>
      <c r="K72"/>
      <c r="M72"/>
    </row>
    <row r="73" spans="10:14" ht="12.75">
      <c r="J73"/>
      <c r="K73"/>
      <c r="L73"/>
      <c r="M73"/>
      <c r="N73"/>
    </row>
    <row r="74" spans="1:14" ht="12.75">
      <c r="A74" s="61" t="s">
        <v>318</v>
      </c>
      <c r="E74" s="46">
        <v>0</v>
      </c>
      <c r="F74" s="46">
        <f>SUM(C74:E74)</f>
        <v>0</v>
      </c>
      <c r="J74"/>
      <c r="K74"/>
      <c r="L74"/>
      <c r="M74"/>
      <c r="N74"/>
    </row>
    <row r="75" spans="10:14" ht="12.75">
      <c r="J75"/>
      <c r="K75"/>
      <c r="L75"/>
      <c r="M75"/>
      <c r="N75"/>
    </row>
    <row r="76" spans="1:13" ht="12.75">
      <c r="A76" s="61" t="s">
        <v>319</v>
      </c>
      <c r="B76" s="46">
        <v>154959</v>
      </c>
      <c r="C76" s="46">
        <f>ROUND($B76/$B$83*$L$61,0)</f>
        <v>4164</v>
      </c>
      <c r="D76" s="46">
        <f>ROUND($B76/$B$83*($L$63+$L$65),0)</f>
        <v>7689</v>
      </c>
      <c r="E76" s="46">
        <f>+Depreciation!F9+Depreciation!F10+Depreciation!F11</f>
        <v>42078.38487</v>
      </c>
      <c r="F76" s="46">
        <f>SUM(C76:E76)</f>
        <v>53931.38487</v>
      </c>
      <c r="K76"/>
      <c r="M76"/>
    </row>
    <row r="77" spans="1:14" ht="12.75">
      <c r="A77" s="61"/>
      <c r="J77"/>
      <c r="K77"/>
      <c r="L77"/>
      <c r="M77"/>
      <c r="N77"/>
    </row>
    <row r="78" spans="1:14" ht="12.75">
      <c r="A78" s="61" t="s">
        <v>320</v>
      </c>
      <c r="J78"/>
      <c r="K78"/>
      <c r="L78"/>
      <c r="M78"/>
      <c r="N78"/>
    </row>
    <row r="79" spans="1:13" ht="12.75">
      <c r="A79" s="61" t="s">
        <v>321</v>
      </c>
      <c r="B79" s="46">
        <v>35241</v>
      </c>
      <c r="C79" s="46">
        <f>ROUND($B79/$B$83*$L$61,0)</f>
        <v>947</v>
      </c>
      <c r="D79" s="46">
        <f>ROUND($B79/$B$83*($L$63+$L$65),0)</f>
        <v>1749</v>
      </c>
      <c r="E79" s="46">
        <f>+Depreciation!F5</f>
        <v>9244.9326017</v>
      </c>
      <c r="F79" s="46">
        <f>SUM(C79:E79)</f>
        <v>11940.9326017</v>
      </c>
      <c r="K79"/>
      <c r="M79"/>
    </row>
    <row r="80" spans="1:13" ht="12.75">
      <c r="A80" s="61" t="s">
        <v>322</v>
      </c>
      <c r="F80" s="46">
        <f>SUM(C80:E80)</f>
        <v>0</v>
      </c>
      <c r="J80"/>
      <c r="K80"/>
      <c r="M80"/>
    </row>
    <row r="81" spans="1:13" ht="12.75">
      <c r="A81" s="61" t="s">
        <v>323</v>
      </c>
      <c r="B81" s="46">
        <f>B79+B80</f>
        <v>35241</v>
      </c>
      <c r="C81" s="46">
        <f>C79+C80</f>
        <v>947</v>
      </c>
      <c r="D81" s="46">
        <f>D79+D80</f>
        <v>1749</v>
      </c>
      <c r="E81" s="46">
        <f>E79+E80</f>
        <v>9244.9326017</v>
      </c>
      <c r="F81" s="46">
        <f>F79+F80</f>
        <v>11940.9326017</v>
      </c>
      <c r="K81"/>
      <c r="M81"/>
    </row>
    <row r="82" spans="10:14" ht="12.75">
      <c r="J82"/>
      <c r="K82"/>
      <c r="L82"/>
      <c r="M82"/>
      <c r="N82"/>
    </row>
    <row r="83" spans="1:13" ht="12.75">
      <c r="A83" s="61" t="s">
        <v>324</v>
      </c>
      <c r="B83" s="46">
        <f>B81+B76+B74+B72+B66</f>
        <v>458516</v>
      </c>
      <c r="C83" s="46">
        <f>C81+C76+C74+C72+C66</f>
        <v>54525.70465937286</v>
      </c>
      <c r="D83" s="46">
        <f>D81+D76+D74+D72+D66</f>
        <v>100689.86312980301</v>
      </c>
      <c r="E83" s="46">
        <f>E81+E76+E74+E72+E66</f>
        <v>230851.40053836667</v>
      </c>
      <c r="F83" s="46">
        <f>F81+F76+F74+F72+F66</f>
        <v>386066.96832754253</v>
      </c>
      <c r="K83"/>
      <c r="M83"/>
    </row>
    <row r="84" spans="10:14" ht="12.75">
      <c r="J84"/>
      <c r="K84"/>
      <c r="L84"/>
      <c r="M84"/>
      <c r="N84"/>
    </row>
    <row r="85" spans="1:14" ht="12.75">
      <c r="A85" s="61" t="s">
        <v>325</v>
      </c>
      <c r="B85"/>
      <c r="J85"/>
      <c r="K85"/>
      <c r="L85"/>
      <c r="M85"/>
      <c r="N85"/>
    </row>
    <row r="86" spans="1:13" ht="12.75">
      <c r="A86" s="46" t="s">
        <v>326</v>
      </c>
      <c r="E86" s="46">
        <v>0</v>
      </c>
      <c r="F86" s="46">
        <f>SUM(C86:E86)</f>
        <v>0</v>
      </c>
      <c r="M86"/>
    </row>
    <row r="87" spans="1:13" ht="12.75">
      <c r="A87" s="46" t="s">
        <v>327</v>
      </c>
      <c r="E87" s="46">
        <v>0</v>
      </c>
      <c r="F87" s="46">
        <f>SUM(C87:E87)</f>
        <v>0</v>
      </c>
      <c r="M87"/>
    </row>
    <row r="88" spans="1:13" ht="12.75">
      <c r="A88" s="46" t="s">
        <v>328</v>
      </c>
      <c r="E88" s="46">
        <v>0</v>
      </c>
      <c r="F88" s="46">
        <f>SUM(C88:E88)</f>
        <v>0</v>
      </c>
      <c r="M88"/>
    </row>
    <row r="89" spans="1:13" ht="12.75">
      <c r="A89" s="46" t="s">
        <v>329</v>
      </c>
      <c r="E89" s="46">
        <v>0</v>
      </c>
      <c r="F89" s="46">
        <f>SUM(F86:F88)</f>
        <v>0</v>
      </c>
      <c r="M89"/>
    </row>
    <row r="90" spans="10:14" ht="12.75">
      <c r="J90"/>
      <c r="K90"/>
      <c r="L90"/>
      <c r="M90"/>
      <c r="N90"/>
    </row>
    <row r="91" spans="1:13" ht="12.75">
      <c r="A91" s="61" t="s">
        <v>330</v>
      </c>
      <c r="C91" s="46">
        <f>C89+C83</f>
        <v>54525.70465937286</v>
      </c>
      <c r="D91" s="46">
        <f>D89+D83</f>
        <v>100689.86312980301</v>
      </c>
      <c r="E91" s="46">
        <f>E89+E83</f>
        <v>230851.40053836667</v>
      </c>
      <c r="F91" s="46">
        <f>F89+F83</f>
        <v>386066.96832754253</v>
      </c>
      <c r="M91"/>
    </row>
    <row r="92" spans="10:14" ht="12.75">
      <c r="J92"/>
      <c r="K92"/>
      <c r="L92"/>
      <c r="M92"/>
      <c r="N92"/>
    </row>
    <row r="93" spans="10:14" ht="12.75">
      <c r="J93"/>
      <c r="K93"/>
      <c r="L93"/>
      <c r="M93"/>
      <c r="N93"/>
    </row>
    <row r="94" spans="10:14" ht="12.75">
      <c r="J94"/>
      <c r="K94"/>
      <c r="L94"/>
      <c r="M94"/>
      <c r="N94"/>
    </row>
    <row r="95" spans="1:14" ht="12.75">
      <c r="A95" s="72"/>
      <c r="B95" s="72"/>
      <c r="J95"/>
      <c r="K95"/>
      <c r="L95"/>
      <c r="M95"/>
      <c r="N95"/>
    </row>
    <row r="96" spans="5:6" ht="12.75">
      <c r="E96" s="57" t="s">
        <v>286</v>
      </c>
      <c r="F96" s="58">
        <f>F50+1</f>
        <v>2022</v>
      </c>
    </row>
    <row r="97" spans="1:2" ht="12.75">
      <c r="A97" s="56"/>
      <c r="B97" s="56"/>
    </row>
    <row r="98" spans="2:6" ht="12.75">
      <c r="B98" s="59" t="s">
        <v>162</v>
      </c>
      <c r="C98" s="59" t="s">
        <v>163</v>
      </c>
      <c r="D98" s="59" t="s">
        <v>164</v>
      </c>
      <c r="E98" s="59" t="s">
        <v>165</v>
      </c>
      <c r="F98" s="59" t="s">
        <v>166</v>
      </c>
    </row>
    <row r="99" spans="2:6" ht="12.75">
      <c r="B99" s="60" t="s">
        <v>287</v>
      </c>
      <c r="C99" s="59" t="s">
        <v>288</v>
      </c>
      <c r="D99" s="59" t="s">
        <v>288</v>
      </c>
      <c r="E99" s="59" t="s">
        <v>289</v>
      </c>
      <c r="F99" s="59" t="s">
        <v>290</v>
      </c>
    </row>
    <row r="100" spans="2:6" ht="12.75">
      <c r="B100" s="60" t="s">
        <v>291</v>
      </c>
      <c r="C100" s="59" t="s">
        <v>265</v>
      </c>
      <c r="D100" s="59" t="s">
        <v>292</v>
      </c>
      <c r="E100" s="59" t="s">
        <v>293</v>
      </c>
      <c r="F100" s="59" t="s">
        <v>294</v>
      </c>
    </row>
    <row r="101" spans="1:7" ht="12.75">
      <c r="A101" s="61" t="s">
        <v>295</v>
      </c>
      <c r="G101" s="56"/>
    </row>
    <row r="102" spans="9:13" ht="12.75">
      <c r="I102" s="62"/>
      <c r="M102" s="60" t="s">
        <v>153</v>
      </c>
    </row>
    <row r="103" spans="1:13" ht="12.75">
      <c r="A103" s="61" t="s">
        <v>296</v>
      </c>
      <c r="I103" s="63" t="s">
        <v>286</v>
      </c>
      <c r="J103" s="64">
        <f>F96</f>
        <v>2022</v>
      </c>
      <c r="K103" s="60" t="s">
        <v>297</v>
      </c>
      <c r="L103" s="60" t="s">
        <v>298</v>
      </c>
      <c r="M103" s="60" t="s">
        <v>299</v>
      </c>
    </row>
    <row r="104" spans="1:13" ht="12.75">
      <c r="A104" s="61" t="s">
        <v>300</v>
      </c>
      <c r="H104" s="65">
        <v>1</v>
      </c>
      <c r="I104" s="46" t="s">
        <v>301</v>
      </c>
      <c r="J104" s="66"/>
      <c r="K104" s="67"/>
      <c r="M104" s="67"/>
    </row>
    <row r="105" spans="1:13" ht="12.75">
      <c r="A105" s="61" t="s">
        <v>302</v>
      </c>
      <c r="H105" s="46">
        <v>2</v>
      </c>
      <c r="J105" s="46" t="s">
        <v>303</v>
      </c>
      <c r="K105" s="47" t="e">
        <f>K104/M104</f>
        <v>#DIV/0!</v>
      </c>
      <c r="L105" s="47" t="e">
        <f>L104/M104</f>
        <v>#DIV/0!</v>
      </c>
      <c r="M105" s="9">
        <v>1</v>
      </c>
    </row>
    <row r="106" spans="1:13" ht="12.75">
      <c r="A106" s="61" t="s">
        <v>304</v>
      </c>
      <c r="G106" s="68"/>
      <c r="J106"/>
      <c r="K106"/>
      <c r="M106"/>
    </row>
    <row r="107" spans="1:13" ht="12.75">
      <c r="A107" s="61" t="s">
        <v>305</v>
      </c>
      <c r="G107" s="69"/>
      <c r="H107" s="46">
        <v>3</v>
      </c>
      <c r="I107" s="46" t="s">
        <v>306</v>
      </c>
      <c r="J107"/>
      <c r="K107" s="23" t="e">
        <f>M107-L107</f>
        <v>#DIV/0!</v>
      </c>
      <c r="L107" s="46" t="e">
        <f>ROUND(M107*L105,0)</f>
        <v>#DIV/0!</v>
      </c>
      <c r="M107" s="23"/>
    </row>
    <row r="108" spans="1:13" ht="12.75">
      <c r="A108" s="61" t="s">
        <v>307</v>
      </c>
      <c r="G108" s="68"/>
      <c r="J108"/>
      <c r="K108"/>
      <c r="M108"/>
    </row>
    <row r="109" spans="1:13" ht="12.75">
      <c r="A109" s="46" t="s">
        <v>308</v>
      </c>
      <c r="G109" s="68"/>
      <c r="H109" s="46">
        <v>4</v>
      </c>
      <c r="I109" s="46" t="s">
        <v>309</v>
      </c>
      <c r="J109"/>
      <c r="K109" s="23" t="e">
        <f>M109-L109</f>
        <v>#DIV/0!</v>
      </c>
      <c r="L109" s="46" t="e">
        <f>ROUND(M109*L105,0)</f>
        <v>#DIV/0!</v>
      </c>
      <c r="M109" s="23"/>
    </row>
    <row r="110" spans="1:13" ht="12.75">
      <c r="A110" s="61" t="s">
        <v>310</v>
      </c>
      <c r="G110" s="68"/>
      <c r="J110"/>
      <c r="K110" s="23"/>
      <c r="M110" s="23"/>
    </row>
    <row r="111" spans="1:13" ht="12.75">
      <c r="A111" s="61" t="s">
        <v>311</v>
      </c>
      <c r="G111" s="70"/>
      <c r="J111"/>
      <c r="K111"/>
      <c r="M111"/>
    </row>
    <row r="112" spans="1:13" ht="12.75">
      <c r="A112" s="61" t="s">
        <v>312</v>
      </c>
      <c r="G112" s="70"/>
      <c r="K112"/>
      <c r="M112"/>
    </row>
    <row r="113" spans="10:14" ht="12.75">
      <c r="J113"/>
      <c r="K113"/>
      <c r="L113"/>
      <c r="M113"/>
      <c r="N113"/>
    </row>
    <row r="114" spans="1:14" ht="12.75">
      <c r="A114" s="61" t="s">
        <v>313</v>
      </c>
      <c r="J114"/>
      <c r="K114"/>
      <c r="L114"/>
      <c r="M114"/>
      <c r="N114"/>
    </row>
    <row r="115" spans="1:13" ht="12.75">
      <c r="A115" s="61" t="s">
        <v>314</v>
      </c>
      <c r="G115" s="71"/>
      <c r="J115"/>
      <c r="K115"/>
      <c r="M115"/>
    </row>
    <row r="116" spans="1:13" ht="12.75">
      <c r="A116" s="61" t="s">
        <v>315</v>
      </c>
      <c r="G116" s="71"/>
      <c r="J116"/>
      <c r="K116"/>
      <c r="M116"/>
    </row>
    <row r="117" spans="1:13" ht="12.75">
      <c r="A117" s="61" t="s">
        <v>316</v>
      </c>
      <c r="J117"/>
      <c r="K117"/>
      <c r="M117"/>
    </row>
    <row r="118" spans="1:13" ht="12.75">
      <c r="A118" s="61" t="s">
        <v>317</v>
      </c>
      <c r="J118"/>
      <c r="K118"/>
      <c r="M118"/>
    </row>
    <row r="119" spans="10:14" ht="12.75">
      <c r="J119"/>
      <c r="K119"/>
      <c r="L119"/>
      <c r="M119"/>
      <c r="N119"/>
    </row>
    <row r="120" spans="1:13" ht="12.75">
      <c r="A120" s="61" t="s">
        <v>318</v>
      </c>
      <c r="J120"/>
      <c r="K120"/>
      <c r="L120"/>
      <c r="M120"/>
    </row>
    <row r="121" spans="10:14" ht="12.75">
      <c r="J121"/>
      <c r="K121"/>
      <c r="L121"/>
      <c r="M121"/>
      <c r="N121"/>
    </row>
    <row r="122" spans="1:13" ht="12.75">
      <c r="A122" s="61" t="s">
        <v>319</v>
      </c>
      <c r="K122"/>
      <c r="M122"/>
    </row>
    <row r="123" spans="1:14" ht="12.75">
      <c r="A123" s="61"/>
      <c r="J123"/>
      <c r="K123"/>
      <c r="L123"/>
      <c r="M123"/>
      <c r="N123"/>
    </row>
    <row r="124" spans="1:14" ht="12.75">
      <c r="A124" s="61" t="s">
        <v>320</v>
      </c>
      <c r="J124"/>
      <c r="K124"/>
      <c r="L124"/>
      <c r="M124"/>
      <c r="N124"/>
    </row>
    <row r="125" spans="1:13" ht="12.75">
      <c r="A125" s="61" t="s">
        <v>321</v>
      </c>
      <c r="K125"/>
      <c r="M125"/>
    </row>
    <row r="126" spans="1:13" ht="12.75">
      <c r="A126" s="61" t="s">
        <v>322</v>
      </c>
      <c r="J126"/>
      <c r="K126"/>
      <c r="M126"/>
    </row>
    <row r="127" spans="1:13" ht="12.75">
      <c r="A127" s="61" t="s">
        <v>323</v>
      </c>
      <c r="K127"/>
      <c r="M127"/>
    </row>
    <row r="128" spans="10:14" ht="12.75">
      <c r="J128"/>
      <c r="K128"/>
      <c r="L128"/>
      <c r="M128"/>
      <c r="N128"/>
    </row>
    <row r="129" spans="1:13" ht="12.75">
      <c r="A129" s="61" t="s">
        <v>324</v>
      </c>
      <c r="K129"/>
      <c r="M129"/>
    </row>
    <row r="130" spans="10:14" ht="12.75">
      <c r="J130"/>
      <c r="K130"/>
      <c r="L130"/>
      <c r="M130"/>
      <c r="N130"/>
    </row>
    <row r="131" spans="1:14" ht="12.75">
      <c r="A131" s="61" t="s">
        <v>325</v>
      </c>
      <c r="J131"/>
      <c r="K131"/>
      <c r="L131"/>
      <c r="M131"/>
      <c r="N131"/>
    </row>
    <row r="132" spans="1:13" ht="12.75">
      <c r="A132" s="46" t="s">
        <v>326</v>
      </c>
      <c r="M132"/>
    </row>
    <row r="133" spans="1:13" ht="12.75">
      <c r="A133" s="46" t="s">
        <v>327</v>
      </c>
      <c r="M133"/>
    </row>
    <row r="134" spans="1:13" ht="12.75">
      <c r="A134" s="46" t="s">
        <v>328</v>
      </c>
      <c r="M134"/>
    </row>
    <row r="135" spans="1:13" ht="12.75">
      <c r="A135" s="46" t="s">
        <v>329</v>
      </c>
      <c r="M135"/>
    </row>
    <row r="136" spans="10:14" ht="12.75">
      <c r="J136"/>
      <c r="K136"/>
      <c r="L136"/>
      <c r="M136"/>
      <c r="N136"/>
    </row>
    <row r="137" spans="1:13" ht="12.75">
      <c r="A137" s="61" t="s">
        <v>330</v>
      </c>
      <c r="M137"/>
    </row>
    <row r="138" spans="10:14" ht="12.75">
      <c r="J138"/>
      <c r="K138"/>
      <c r="L138"/>
      <c r="M138"/>
      <c r="N138"/>
    </row>
    <row r="139" spans="10:14" ht="12.75">
      <c r="J139"/>
      <c r="K139"/>
      <c r="L139"/>
      <c r="M139"/>
      <c r="N139"/>
    </row>
    <row r="140" spans="10:13" ht="12.75">
      <c r="J140"/>
      <c r="K140"/>
      <c r="L140"/>
      <c r="M140"/>
    </row>
    <row r="141" spans="1:14" ht="12.75">
      <c r="A141" s="72"/>
      <c r="B141" s="72"/>
      <c r="J141"/>
      <c r="K141"/>
      <c r="L141"/>
      <c r="M141"/>
      <c r="N141"/>
    </row>
    <row r="142" spans="5:6" ht="12.75">
      <c r="E142" s="57" t="s">
        <v>286</v>
      </c>
      <c r="F142" s="58">
        <f>F96+1</f>
        <v>2023</v>
      </c>
    </row>
    <row r="143" spans="1:2" ht="12.75">
      <c r="A143" s="56"/>
      <c r="B143" s="56"/>
    </row>
    <row r="144" spans="2:6" ht="12.75">
      <c r="B144" s="59" t="s">
        <v>162</v>
      </c>
      <c r="C144" s="59" t="s">
        <v>163</v>
      </c>
      <c r="D144" s="59" t="s">
        <v>164</v>
      </c>
      <c r="E144" s="59" t="s">
        <v>165</v>
      </c>
      <c r="F144" s="59" t="s">
        <v>166</v>
      </c>
    </row>
    <row r="145" spans="2:6" ht="12.75">
      <c r="B145" s="60" t="s">
        <v>287</v>
      </c>
      <c r="C145" s="59" t="s">
        <v>288</v>
      </c>
      <c r="D145" s="59" t="s">
        <v>288</v>
      </c>
      <c r="E145" s="59" t="s">
        <v>289</v>
      </c>
      <c r="F145" s="59" t="s">
        <v>290</v>
      </c>
    </row>
    <row r="146" spans="2:6" ht="12.75">
      <c r="B146" s="60" t="s">
        <v>291</v>
      </c>
      <c r="C146" s="59" t="s">
        <v>265</v>
      </c>
      <c r="D146" s="59" t="s">
        <v>292</v>
      </c>
      <c r="E146" s="59" t="s">
        <v>293</v>
      </c>
      <c r="F146" s="59" t="s">
        <v>294</v>
      </c>
    </row>
    <row r="147" spans="1:7" ht="12.75">
      <c r="A147" s="61" t="s">
        <v>295</v>
      </c>
      <c r="G147" s="56"/>
    </row>
    <row r="148" spans="9:13" ht="12.75">
      <c r="I148" s="62"/>
      <c r="M148" s="60" t="s">
        <v>153</v>
      </c>
    </row>
    <row r="149" spans="1:13" ht="12.75">
      <c r="A149" s="61" t="s">
        <v>296</v>
      </c>
      <c r="I149" s="63" t="s">
        <v>286</v>
      </c>
      <c r="J149" s="64">
        <f>F142</f>
        <v>2023</v>
      </c>
      <c r="K149" s="60" t="s">
        <v>297</v>
      </c>
      <c r="L149" s="60" t="s">
        <v>298</v>
      </c>
      <c r="M149" s="60" t="s">
        <v>299</v>
      </c>
    </row>
    <row r="150" spans="1:13" ht="12.75">
      <c r="A150" s="61" t="s">
        <v>300</v>
      </c>
      <c r="H150" s="65">
        <v>1</v>
      </c>
      <c r="I150" s="46" t="s">
        <v>301</v>
      </c>
      <c r="J150" s="66"/>
      <c r="K150" s="67"/>
      <c r="M150" s="67"/>
    </row>
    <row r="151" spans="1:13" ht="12.75">
      <c r="A151" s="61" t="s">
        <v>302</v>
      </c>
      <c r="H151" s="46">
        <v>2</v>
      </c>
      <c r="J151" s="46" t="s">
        <v>303</v>
      </c>
      <c r="K151" s="47" t="e">
        <f>K150/M150</f>
        <v>#DIV/0!</v>
      </c>
      <c r="L151" s="47" t="e">
        <f>L150/M150</f>
        <v>#DIV/0!</v>
      </c>
      <c r="M151" s="9">
        <v>1</v>
      </c>
    </row>
    <row r="152" spans="1:13" ht="12.75">
      <c r="A152" s="61" t="s">
        <v>304</v>
      </c>
      <c r="G152" s="68"/>
      <c r="J152"/>
      <c r="K152"/>
      <c r="M152"/>
    </row>
    <row r="153" spans="1:13" ht="12.75">
      <c r="A153" s="61" t="s">
        <v>305</v>
      </c>
      <c r="G153" s="69"/>
      <c r="H153" s="46">
        <v>3</v>
      </c>
      <c r="I153" s="46" t="s">
        <v>306</v>
      </c>
      <c r="J153"/>
      <c r="K153" s="23" t="e">
        <f>M153-L153</f>
        <v>#DIV/0!</v>
      </c>
      <c r="L153" s="46" t="e">
        <f>ROUND(M153*L151,0)</f>
        <v>#DIV/0!</v>
      </c>
      <c r="M153" s="23"/>
    </row>
    <row r="154" spans="1:13" ht="12.75">
      <c r="A154" s="61" t="s">
        <v>307</v>
      </c>
      <c r="G154" s="68"/>
      <c r="J154"/>
      <c r="K154"/>
      <c r="M154"/>
    </row>
    <row r="155" spans="1:13" ht="12.75">
      <c r="A155" s="46" t="s">
        <v>308</v>
      </c>
      <c r="G155" s="68"/>
      <c r="H155" s="46">
        <v>4</v>
      </c>
      <c r="I155" s="46" t="s">
        <v>309</v>
      </c>
      <c r="J155"/>
      <c r="K155" s="23" t="e">
        <f>M155-L155</f>
        <v>#DIV/0!</v>
      </c>
      <c r="L155" s="46" t="e">
        <f>ROUND(M155*L151,0)</f>
        <v>#DIV/0!</v>
      </c>
      <c r="M155" s="23"/>
    </row>
    <row r="156" spans="1:13" ht="12.75">
      <c r="A156" s="61" t="s">
        <v>310</v>
      </c>
      <c r="G156" s="68"/>
      <c r="J156"/>
      <c r="K156" s="23"/>
      <c r="M156" s="23"/>
    </row>
    <row r="157" spans="1:13" ht="12.75">
      <c r="A157" s="61" t="s">
        <v>311</v>
      </c>
      <c r="G157" s="70"/>
      <c r="J157"/>
      <c r="K157"/>
      <c r="M157"/>
    </row>
    <row r="158" spans="1:13" ht="12.75">
      <c r="A158" s="61" t="s">
        <v>312</v>
      </c>
      <c r="G158" s="70"/>
      <c r="K158"/>
      <c r="M158"/>
    </row>
    <row r="159" spans="10:14" ht="12.75">
      <c r="J159"/>
      <c r="K159"/>
      <c r="L159"/>
      <c r="M159"/>
      <c r="N159"/>
    </row>
    <row r="160" spans="1:14" ht="12.75">
      <c r="A160" s="61" t="s">
        <v>313</v>
      </c>
      <c r="J160"/>
      <c r="K160"/>
      <c r="L160"/>
      <c r="M160"/>
      <c r="N160"/>
    </row>
    <row r="161" spans="1:13" ht="12.75">
      <c r="A161" s="61" t="s">
        <v>314</v>
      </c>
      <c r="G161" s="71"/>
      <c r="J161"/>
      <c r="K161"/>
      <c r="M161"/>
    </row>
    <row r="162" spans="1:13" ht="12.75">
      <c r="A162" s="61" t="s">
        <v>315</v>
      </c>
      <c r="G162" s="71"/>
      <c r="J162"/>
      <c r="K162"/>
      <c r="M162"/>
    </row>
    <row r="163" spans="1:13" ht="12.75">
      <c r="A163" s="61" t="s">
        <v>316</v>
      </c>
      <c r="J163"/>
      <c r="K163"/>
      <c r="M163"/>
    </row>
    <row r="164" spans="1:13" ht="12.75">
      <c r="A164" s="61" t="s">
        <v>317</v>
      </c>
      <c r="J164"/>
      <c r="K164"/>
      <c r="M164"/>
    </row>
    <row r="165" spans="10:14" ht="12.75">
      <c r="J165"/>
      <c r="K165"/>
      <c r="L165"/>
      <c r="M165"/>
      <c r="N165"/>
    </row>
    <row r="166" spans="1:13" ht="12.75">
      <c r="A166" s="61" t="s">
        <v>318</v>
      </c>
      <c r="J166"/>
      <c r="K166"/>
      <c r="L166"/>
      <c r="M166"/>
    </row>
    <row r="167" spans="10:14" ht="12.75">
      <c r="J167"/>
      <c r="K167"/>
      <c r="L167"/>
      <c r="M167"/>
      <c r="N167"/>
    </row>
    <row r="168" spans="1:13" ht="12.75">
      <c r="A168" s="61" t="s">
        <v>319</v>
      </c>
      <c r="K168"/>
      <c r="M168"/>
    </row>
    <row r="169" spans="1:14" ht="12.75">
      <c r="A169" s="61"/>
      <c r="J169"/>
      <c r="K169"/>
      <c r="L169"/>
      <c r="M169"/>
      <c r="N169"/>
    </row>
    <row r="170" spans="1:14" ht="12.75">
      <c r="A170" s="61" t="s">
        <v>320</v>
      </c>
      <c r="J170"/>
      <c r="K170"/>
      <c r="L170"/>
      <c r="M170"/>
      <c r="N170"/>
    </row>
    <row r="171" spans="1:13" ht="12.75">
      <c r="A171" s="61" t="s">
        <v>321</v>
      </c>
      <c r="K171"/>
      <c r="M171"/>
    </row>
    <row r="172" spans="1:13" ht="12.75">
      <c r="A172" s="61" t="s">
        <v>322</v>
      </c>
      <c r="J172"/>
      <c r="K172"/>
      <c r="M172"/>
    </row>
    <row r="173" spans="1:13" ht="12.75">
      <c r="A173" s="61" t="s">
        <v>323</v>
      </c>
      <c r="K173"/>
      <c r="M173"/>
    </row>
    <row r="174" spans="10:14" ht="12.75">
      <c r="J174"/>
      <c r="K174"/>
      <c r="L174"/>
      <c r="M174"/>
      <c r="N174"/>
    </row>
    <row r="175" spans="1:13" ht="12.75">
      <c r="A175" s="61" t="s">
        <v>324</v>
      </c>
      <c r="K175"/>
      <c r="M175"/>
    </row>
    <row r="176" spans="10:14" ht="12.75">
      <c r="J176"/>
      <c r="K176"/>
      <c r="L176"/>
      <c r="M176"/>
      <c r="N176"/>
    </row>
    <row r="177" spans="1:14" ht="12.75">
      <c r="A177" s="61" t="s">
        <v>325</v>
      </c>
      <c r="J177"/>
      <c r="K177"/>
      <c r="L177"/>
      <c r="M177"/>
      <c r="N177"/>
    </row>
    <row r="178" spans="1:13" ht="12.75">
      <c r="A178" s="46" t="s">
        <v>326</v>
      </c>
      <c r="M178"/>
    </row>
    <row r="179" spans="1:13" ht="12.75">
      <c r="A179" s="46" t="s">
        <v>327</v>
      </c>
      <c r="M179"/>
    </row>
    <row r="180" spans="1:13" ht="12.75">
      <c r="A180" s="46" t="s">
        <v>328</v>
      </c>
      <c r="M180"/>
    </row>
    <row r="181" spans="1:13" ht="12.75">
      <c r="A181" s="46" t="s">
        <v>329</v>
      </c>
      <c r="M181"/>
    </row>
    <row r="182" spans="10:14" ht="12.75">
      <c r="J182"/>
      <c r="K182"/>
      <c r="L182"/>
      <c r="M182"/>
      <c r="N182"/>
    </row>
    <row r="183" spans="1:13" ht="12.75">
      <c r="A183" s="61" t="s">
        <v>330</v>
      </c>
      <c r="M183"/>
    </row>
    <row r="184" spans="10:14" ht="12.75">
      <c r="J184"/>
      <c r="K184"/>
      <c r="L184"/>
      <c r="M184"/>
      <c r="N184"/>
    </row>
    <row r="185" spans="10:14" ht="12.75">
      <c r="J185"/>
      <c r="K185"/>
      <c r="L185"/>
      <c r="M185"/>
      <c r="N185"/>
    </row>
    <row r="186" spans="10:13" ht="12.75">
      <c r="J186"/>
      <c r="K186"/>
      <c r="L186"/>
      <c r="M186"/>
    </row>
    <row r="187" spans="1:14" ht="12.75">
      <c r="A187" s="72"/>
      <c r="B187" s="72"/>
      <c r="J187"/>
      <c r="K187"/>
      <c r="L187"/>
      <c r="M187"/>
      <c r="N187"/>
    </row>
    <row r="188" spans="5:6" ht="12.75">
      <c r="E188" s="57"/>
      <c r="F188" s="58"/>
    </row>
    <row r="189" spans="1:2" ht="12.75">
      <c r="A189" s="56"/>
      <c r="B189" s="56"/>
    </row>
    <row r="190" spans="2:6" ht="12.75">
      <c r="B190" s="59"/>
      <c r="C190" s="59"/>
      <c r="D190" s="59"/>
      <c r="E190" s="59"/>
      <c r="F190" s="59"/>
    </row>
    <row r="191" spans="2:6" ht="12.75">
      <c r="B191" s="60"/>
      <c r="C191" s="59"/>
      <c r="D191" s="59"/>
      <c r="E191" s="59"/>
      <c r="F191" s="59"/>
    </row>
    <row r="192" spans="2:6" ht="12.75">
      <c r="B192" s="60"/>
      <c r="C192" s="59"/>
      <c r="D192" s="59"/>
      <c r="E192" s="59"/>
      <c r="F192" s="59"/>
    </row>
    <row r="193" spans="1:7" ht="12.75">
      <c r="A193" s="61" t="s">
        <v>295</v>
      </c>
      <c r="G193" s="56"/>
    </row>
    <row r="194" spans="9:13" ht="12.75">
      <c r="I194" s="62"/>
      <c r="M194" s="60" t="s">
        <v>153</v>
      </c>
    </row>
    <row r="195" spans="1:13" ht="12.75">
      <c r="A195" s="61" t="s">
        <v>296</v>
      </c>
      <c r="I195" s="63" t="s">
        <v>286</v>
      </c>
      <c r="J195" s="64">
        <f>F188</f>
        <v>0</v>
      </c>
      <c r="K195" s="60" t="s">
        <v>297</v>
      </c>
      <c r="L195" s="60" t="s">
        <v>298</v>
      </c>
      <c r="M195" s="60" t="s">
        <v>299</v>
      </c>
    </row>
    <row r="196" spans="1:13" ht="12.75">
      <c r="A196" s="61" t="s">
        <v>300</v>
      </c>
      <c r="H196" s="65">
        <v>1</v>
      </c>
      <c r="I196" s="46" t="s">
        <v>301</v>
      </c>
      <c r="J196" s="66"/>
      <c r="K196" s="67"/>
      <c r="M196" s="67">
        <f>SUM(K196:L196)</f>
        <v>0</v>
      </c>
    </row>
    <row r="197" spans="1:13" ht="12.75">
      <c r="A197" s="61" t="s">
        <v>302</v>
      </c>
      <c r="H197" s="46">
        <v>2</v>
      </c>
      <c r="J197" s="46" t="s">
        <v>303</v>
      </c>
      <c r="K197" s="47" t="e">
        <f>K196/M196</f>
        <v>#DIV/0!</v>
      </c>
      <c r="L197" s="47" t="e">
        <f>L196/M196</f>
        <v>#DIV/0!</v>
      </c>
      <c r="M197" s="9">
        <v>1</v>
      </c>
    </row>
    <row r="198" spans="1:13" ht="12.75">
      <c r="A198" s="61" t="s">
        <v>304</v>
      </c>
      <c r="G198" s="68"/>
      <c r="J198"/>
      <c r="K198"/>
      <c r="M198"/>
    </row>
    <row r="199" spans="1:13" ht="12.75">
      <c r="A199" s="61" t="s">
        <v>305</v>
      </c>
      <c r="G199" s="69"/>
      <c r="H199" s="46">
        <v>3</v>
      </c>
      <c r="I199" s="46" t="s">
        <v>306</v>
      </c>
      <c r="J199"/>
      <c r="K199" s="23" t="e">
        <f>M199-L199</f>
        <v>#DIV/0!</v>
      </c>
      <c r="L199" s="46" t="e">
        <f>ROUND(M199*L197,0)</f>
        <v>#DIV/0!</v>
      </c>
      <c r="M199" s="23"/>
    </row>
    <row r="200" spans="1:13" ht="12.75">
      <c r="A200" s="61" t="s">
        <v>307</v>
      </c>
      <c r="G200" s="68"/>
      <c r="J200"/>
      <c r="K200"/>
      <c r="M200"/>
    </row>
    <row r="201" spans="1:13" ht="12.75">
      <c r="A201" s="46" t="s">
        <v>308</v>
      </c>
      <c r="G201" s="68"/>
      <c r="H201" s="46">
        <v>4</v>
      </c>
      <c r="I201" s="46" t="s">
        <v>309</v>
      </c>
      <c r="J201"/>
      <c r="K201" s="23" t="e">
        <f>M201-L201</f>
        <v>#DIV/0!</v>
      </c>
      <c r="L201" s="46" t="e">
        <f>ROUND(M201*L197,0)</f>
        <v>#DIV/0!</v>
      </c>
      <c r="M201" s="23"/>
    </row>
    <row r="202" spans="1:13" ht="12.75">
      <c r="A202" s="61" t="s">
        <v>310</v>
      </c>
      <c r="G202" s="68"/>
      <c r="J202"/>
      <c r="K202" s="23"/>
      <c r="M202" s="23"/>
    </row>
    <row r="203" spans="1:13" ht="12.75">
      <c r="A203" s="61" t="s">
        <v>311</v>
      </c>
      <c r="G203" s="70"/>
      <c r="J203"/>
      <c r="K203"/>
      <c r="M203"/>
    </row>
    <row r="204" spans="1:13" ht="12.75">
      <c r="A204" s="61" t="s">
        <v>312</v>
      </c>
      <c r="G204" s="70"/>
      <c r="K204"/>
      <c r="M204"/>
    </row>
    <row r="205" spans="10:14" ht="12.75">
      <c r="J205"/>
      <c r="K205"/>
      <c r="L205"/>
      <c r="M205"/>
      <c r="N205"/>
    </row>
    <row r="206" spans="1:14" ht="12.75">
      <c r="A206" s="61" t="s">
        <v>313</v>
      </c>
      <c r="J206"/>
      <c r="K206"/>
      <c r="L206"/>
      <c r="M206"/>
      <c r="N206"/>
    </row>
    <row r="207" spans="1:13" ht="12.75">
      <c r="A207" s="61" t="s">
        <v>314</v>
      </c>
      <c r="G207" s="71"/>
      <c r="J207"/>
      <c r="K207"/>
      <c r="M207"/>
    </row>
    <row r="208" spans="1:13" ht="12.75">
      <c r="A208" s="61" t="s">
        <v>315</v>
      </c>
      <c r="G208" s="71"/>
      <c r="J208"/>
      <c r="K208"/>
      <c r="M208"/>
    </row>
    <row r="209" spans="1:13" ht="12.75">
      <c r="A209" s="61" t="s">
        <v>316</v>
      </c>
      <c r="J209"/>
      <c r="K209"/>
      <c r="M209"/>
    </row>
    <row r="210" spans="1:13" ht="12.75">
      <c r="A210" s="61" t="s">
        <v>317</v>
      </c>
      <c r="J210"/>
      <c r="K210"/>
      <c r="M210"/>
    </row>
    <row r="211" spans="10:14" ht="12.75">
      <c r="J211"/>
      <c r="K211"/>
      <c r="L211"/>
      <c r="M211"/>
      <c r="N211"/>
    </row>
    <row r="212" spans="1:13" ht="12.75">
      <c r="A212" s="61" t="s">
        <v>318</v>
      </c>
      <c r="J212"/>
      <c r="K212"/>
      <c r="L212"/>
      <c r="M212"/>
    </row>
    <row r="213" spans="10:14" ht="12.75">
      <c r="J213"/>
      <c r="K213"/>
      <c r="L213"/>
      <c r="M213"/>
      <c r="N213"/>
    </row>
    <row r="214" spans="1:13" ht="12.75">
      <c r="A214" s="61" t="s">
        <v>319</v>
      </c>
      <c r="K214"/>
      <c r="M214"/>
    </row>
    <row r="215" spans="1:14" ht="12.75">
      <c r="A215" s="61"/>
      <c r="J215"/>
      <c r="K215"/>
      <c r="L215"/>
      <c r="M215"/>
      <c r="N215"/>
    </row>
    <row r="216" spans="1:14" ht="12.75">
      <c r="A216" s="61" t="s">
        <v>320</v>
      </c>
      <c r="J216"/>
      <c r="K216"/>
      <c r="L216"/>
      <c r="M216"/>
      <c r="N216"/>
    </row>
    <row r="217" spans="1:14" ht="12.75">
      <c r="A217" s="61" t="s">
        <v>321</v>
      </c>
      <c r="K217"/>
      <c r="M217"/>
      <c r="N217"/>
    </row>
    <row r="218" spans="1:13" ht="12.75">
      <c r="A218" s="61" t="s">
        <v>322</v>
      </c>
      <c r="J218"/>
      <c r="K218"/>
      <c r="M218"/>
    </row>
    <row r="219" spans="1:13" ht="12.75">
      <c r="A219" s="61" t="s">
        <v>323</v>
      </c>
      <c r="K219"/>
      <c r="M219"/>
    </row>
    <row r="220" spans="10:13" ht="12.75">
      <c r="J220"/>
      <c r="K220"/>
      <c r="L220"/>
      <c r="M220"/>
    </row>
    <row r="221" spans="1:14" ht="12.75">
      <c r="A221" s="61" t="s">
        <v>324</v>
      </c>
      <c r="K221"/>
      <c r="M221"/>
      <c r="N221"/>
    </row>
    <row r="222" spans="10:13" ht="12.75">
      <c r="J222"/>
      <c r="K222"/>
      <c r="L222"/>
      <c r="M222"/>
    </row>
    <row r="223" spans="1:14" ht="12.75">
      <c r="A223" s="61" t="s">
        <v>325</v>
      </c>
      <c r="J223"/>
      <c r="K223"/>
      <c r="L223"/>
      <c r="M223"/>
      <c r="N223"/>
    </row>
    <row r="224" spans="1:14" ht="12.75">
      <c r="A224" s="46" t="s">
        <v>326</v>
      </c>
      <c r="M224"/>
      <c r="N224"/>
    </row>
    <row r="225" spans="1:13" ht="12.75">
      <c r="A225" s="46" t="s">
        <v>327</v>
      </c>
      <c r="M225"/>
    </row>
    <row r="226" spans="1:13" ht="12.75">
      <c r="A226" s="46" t="s">
        <v>328</v>
      </c>
      <c r="M226"/>
    </row>
    <row r="227" spans="1:13" ht="12.75">
      <c r="A227" s="46" t="s">
        <v>329</v>
      </c>
      <c r="M227"/>
    </row>
    <row r="228" spans="10:13" ht="12.75">
      <c r="J228"/>
      <c r="K228"/>
      <c r="L228"/>
      <c r="M228"/>
    </row>
    <row r="229" spans="1:14" ht="12.75">
      <c r="A229" s="61" t="s">
        <v>330</v>
      </c>
      <c r="M229"/>
      <c r="N229"/>
    </row>
    <row r="230" spans="1:13" ht="12.75">
      <c r="A230" s="61"/>
      <c r="M230"/>
    </row>
    <row r="231" spans="10:14" ht="12.75">
      <c r="J231"/>
      <c r="K231"/>
      <c r="L231"/>
      <c r="M231"/>
      <c r="N231"/>
    </row>
    <row r="232" spans="10:14" ht="12.75">
      <c r="J232"/>
      <c r="K232"/>
      <c r="L232"/>
      <c r="M232"/>
      <c r="N232"/>
    </row>
    <row r="233" spans="10:13" ht="12.75">
      <c r="J233"/>
      <c r="K233"/>
      <c r="L233"/>
      <c r="M233"/>
    </row>
    <row r="234" spans="1:14" ht="12.75">
      <c r="A234" s="72"/>
      <c r="B234" s="72"/>
      <c r="E234" s="57" t="s">
        <v>286</v>
      </c>
      <c r="F234" s="58">
        <f>F188+1</f>
        <v>1</v>
      </c>
      <c r="J234"/>
      <c r="K234"/>
      <c r="L234"/>
      <c r="M234"/>
      <c r="N234"/>
    </row>
    <row r="235" spans="1:2" ht="12.75">
      <c r="A235" s="56"/>
      <c r="B235" s="56"/>
    </row>
    <row r="236" spans="2:6" ht="12.75">
      <c r="B236" s="59" t="s">
        <v>162</v>
      </c>
      <c r="C236" s="59" t="s">
        <v>163</v>
      </c>
      <c r="D236" s="59" t="s">
        <v>164</v>
      </c>
      <c r="E236" s="59" t="s">
        <v>165</v>
      </c>
      <c r="F236" s="59" t="s">
        <v>166</v>
      </c>
    </row>
    <row r="237" spans="2:6" ht="12.75">
      <c r="B237" s="60" t="s">
        <v>287</v>
      </c>
      <c r="C237" s="59" t="s">
        <v>288</v>
      </c>
      <c r="D237" s="59" t="s">
        <v>288</v>
      </c>
      <c r="E237" s="59" t="s">
        <v>289</v>
      </c>
      <c r="F237" s="59" t="s">
        <v>290</v>
      </c>
    </row>
    <row r="238" spans="2:6" ht="12.75">
      <c r="B238" s="60" t="s">
        <v>291</v>
      </c>
      <c r="C238" s="59" t="s">
        <v>265</v>
      </c>
      <c r="D238" s="59" t="s">
        <v>292</v>
      </c>
      <c r="E238" s="59" t="s">
        <v>293</v>
      </c>
      <c r="F238" s="59" t="s">
        <v>294</v>
      </c>
    </row>
    <row r="239" spans="1:7" ht="12.75">
      <c r="A239" s="61" t="s">
        <v>295</v>
      </c>
      <c r="G239" s="56"/>
    </row>
    <row r="240" spans="9:13" ht="12.75">
      <c r="I240" s="62"/>
      <c r="M240" s="60" t="s">
        <v>153</v>
      </c>
    </row>
    <row r="241" spans="1:13" ht="12.75">
      <c r="A241" s="61" t="s">
        <v>296</v>
      </c>
      <c r="I241" s="63" t="s">
        <v>286</v>
      </c>
      <c r="J241" s="64">
        <f>F234</f>
        <v>1</v>
      </c>
      <c r="K241" s="60" t="s">
        <v>297</v>
      </c>
      <c r="L241" s="60" t="s">
        <v>298</v>
      </c>
      <c r="M241" s="60" t="s">
        <v>299</v>
      </c>
    </row>
    <row r="242" spans="1:13" ht="12.75">
      <c r="A242" s="61" t="s">
        <v>300</v>
      </c>
      <c r="H242" s="65">
        <v>1</v>
      </c>
      <c r="I242" s="46" t="s">
        <v>301</v>
      </c>
      <c r="J242" s="66"/>
      <c r="K242" s="67"/>
      <c r="M242" s="67"/>
    </row>
    <row r="243" spans="1:13" ht="12.75">
      <c r="A243" s="61" t="s">
        <v>302</v>
      </c>
      <c r="H243" s="46">
        <v>2</v>
      </c>
      <c r="J243" s="46" t="s">
        <v>303</v>
      </c>
      <c r="K243" s="47" t="e">
        <f>K242/M242</f>
        <v>#DIV/0!</v>
      </c>
      <c r="L243" s="47" t="e">
        <f>L242/M242</f>
        <v>#DIV/0!</v>
      </c>
      <c r="M243" s="9">
        <v>1</v>
      </c>
    </row>
    <row r="244" spans="1:13" ht="12.75">
      <c r="A244" s="61" t="s">
        <v>304</v>
      </c>
      <c r="G244" s="68"/>
      <c r="J244"/>
      <c r="K244"/>
      <c r="M244"/>
    </row>
    <row r="245" spans="1:13" ht="12.75">
      <c r="A245" s="61" t="s">
        <v>305</v>
      </c>
      <c r="G245" s="69"/>
      <c r="H245" s="46">
        <v>3</v>
      </c>
      <c r="I245" s="46" t="s">
        <v>306</v>
      </c>
      <c r="J245"/>
      <c r="K245" s="23" t="e">
        <f>M245-L245</f>
        <v>#DIV/0!</v>
      </c>
      <c r="L245" s="46" t="e">
        <f>ROUND(M245*L243,0)</f>
        <v>#DIV/0!</v>
      </c>
      <c r="M245" s="23"/>
    </row>
    <row r="246" spans="1:13" ht="12.75">
      <c r="A246" s="61" t="s">
        <v>307</v>
      </c>
      <c r="G246" s="68"/>
      <c r="J246"/>
      <c r="K246"/>
      <c r="M246"/>
    </row>
    <row r="247" spans="1:13" ht="12.75">
      <c r="A247" s="46" t="s">
        <v>308</v>
      </c>
      <c r="G247" s="68"/>
      <c r="H247" s="46">
        <v>4</v>
      </c>
      <c r="I247" s="46" t="s">
        <v>309</v>
      </c>
      <c r="J247"/>
      <c r="K247" s="23" t="e">
        <f>M247-L247</f>
        <v>#DIV/0!</v>
      </c>
      <c r="L247" s="46" t="e">
        <f>ROUND(M247*L243,0)</f>
        <v>#DIV/0!</v>
      </c>
      <c r="M247" s="23"/>
    </row>
    <row r="248" spans="1:13" ht="12.75">
      <c r="A248" s="61" t="s">
        <v>310</v>
      </c>
      <c r="G248" s="68"/>
      <c r="J248"/>
      <c r="K248" s="23"/>
      <c r="M248" s="23"/>
    </row>
    <row r="249" spans="1:13" ht="12.75">
      <c r="A249" s="61" t="s">
        <v>311</v>
      </c>
      <c r="G249" s="70"/>
      <c r="J249"/>
      <c r="K249"/>
      <c r="M249"/>
    </row>
    <row r="250" spans="1:13" ht="12.75">
      <c r="A250" s="61" t="s">
        <v>312</v>
      </c>
      <c r="G250" s="70"/>
      <c r="K250"/>
      <c r="M250"/>
    </row>
    <row r="251" spans="10:13" ht="12.75">
      <c r="J251"/>
      <c r="K251"/>
      <c r="L251"/>
      <c r="M251"/>
    </row>
    <row r="252" spans="1:14" ht="12.75">
      <c r="A252" s="61" t="s">
        <v>313</v>
      </c>
      <c r="J252"/>
      <c r="K252"/>
      <c r="L252"/>
      <c r="M252"/>
      <c r="N252"/>
    </row>
    <row r="253" spans="1:14" ht="12.75">
      <c r="A253" s="61" t="s">
        <v>314</v>
      </c>
      <c r="G253" s="71"/>
      <c r="J253"/>
      <c r="K253"/>
      <c r="M253"/>
      <c r="N253"/>
    </row>
    <row r="254" spans="1:13" ht="12.75">
      <c r="A254" s="61" t="s">
        <v>315</v>
      </c>
      <c r="G254" s="71"/>
      <c r="J254"/>
      <c r="K254"/>
      <c r="M254"/>
    </row>
    <row r="255" spans="1:13" ht="12.75">
      <c r="A255" s="61" t="s">
        <v>316</v>
      </c>
      <c r="J255"/>
      <c r="K255"/>
      <c r="M255"/>
    </row>
    <row r="256" spans="1:13" ht="12.75">
      <c r="A256" s="61" t="s">
        <v>317</v>
      </c>
      <c r="J256"/>
      <c r="K256"/>
      <c r="M256"/>
    </row>
    <row r="257" spans="10:13" ht="12.75">
      <c r="J257"/>
      <c r="K257"/>
      <c r="L257"/>
      <c r="M257"/>
    </row>
    <row r="258" spans="1:14" ht="12.75">
      <c r="A258" s="61" t="s">
        <v>318</v>
      </c>
      <c r="J258"/>
      <c r="K258"/>
      <c r="L258"/>
      <c r="M258"/>
      <c r="N258"/>
    </row>
    <row r="259" spans="10:13" ht="12.75">
      <c r="J259"/>
      <c r="K259"/>
      <c r="L259"/>
      <c r="M259"/>
    </row>
    <row r="260" spans="1:14" ht="12.75">
      <c r="A260" s="61" t="s">
        <v>319</v>
      </c>
      <c r="K260"/>
      <c r="M260"/>
      <c r="N260"/>
    </row>
    <row r="261" spans="1:13" ht="12.75">
      <c r="A261" s="61"/>
      <c r="J261"/>
      <c r="K261"/>
      <c r="L261"/>
      <c r="M261"/>
    </row>
    <row r="262" spans="1:14" ht="12.75">
      <c r="A262" s="61" t="s">
        <v>320</v>
      </c>
      <c r="J262"/>
      <c r="K262"/>
      <c r="L262"/>
      <c r="M262"/>
      <c r="N262"/>
    </row>
    <row r="263" spans="1:14" ht="12.75">
      <c r="A263" s="61" t="s">
        <v>321</v>
      </c>
      <c r="K263"/>
      <c r="M263"/>
      <c r="N263"/>
    </row>
    <row r="264" spans="1:14" ht="12.75">
      <c r="A264" s="61" t="s">
        <v>322</v>
      </c>
      <c r="J264"/>
      <c r="K264"/>
      <c r="M264"/>
      <c r="N264"/>
    </row>
    <row r="265" spans="1:13" ht="12.75">
      <c r="A265" s="61" t="s">
        <v>323</v>
      </c>
      <c r="K265"/>
      <c r="M265"/>
    </row>
    <row r="266" spans="10:13" ht="12.75">
      <c r="J266"/>
      <c r="K266"/>
      <c r="L266"/>
      <c r="M266"/>
    </row>
    <row r="267" spans="1:13" ht="12.75">
      <c r="A267" s="61" t="s">
        <v>324</v>
      </c>
      <c r="K267"/>
      <c r="M267"/>
    </row>
    <row r="268" spans="10:14" ht="12.75">
      <c r="J268"/>
      <c r="K268"/>
      <c r="L268"/>
      <c r="M268"/>
      <c r="N268"/>
    </row>
    <row r="269" spans="1:13" ht="12.75">
      <c r="A269" s="61" t="s">
        <v>325</v>
      </c>
      <c r="J269"/>
      <c r="K269"/>
      <c r="L269"/>
      <c r="M269"/>
    </row>
    <row r="270" spans="1:14" ht="12.75">
      <c r="A270" s="46" t="s">
        <v>326</v>
      </c>
      <c r="M270"/>
      <c r="N270"/>
    </row>
    <row r="271" spans="1:14" ht="12.75">
      <c r="A271" s="46" t="s">
        <v>327</v>
      </c>
      <c r="M271"/>
      <c r="N271"/>
    </row>
    <row r="272" spans="1:13" ht="12.75">
      <c r="A272" s="46" t="s">
        <v>328</v>
      </c>
      <c r="M272"/>
    </row>
    <row r="273" spans="1:13" ht="12.75">
      <c r="A273" s="46" t="s">
        <v>329</v>
      </c>
      <c r="M273"/>
    </row>
    <row r="274" spans="10:13" ht="12.75">
      <c r="J274"/>
      <c r="K274"/>
      <c r="L274"/>
      <c r="M274"/>
    </row>
    <row r="275" spans="1:13" ht="12.75">
      <c r="A275" s="61" t="s">
        <v>330</v>
      </c>
      <c r="M275"/>
    </row>
    <row r="276" spans="10:14" ht="12.75">
      <c r="J276"/>
      <c r="K276"/>
      <c r="L276"/>
      <c r="M276"/>
      <c r="N276"/>
    </row>
    <row r="277" spans="1:13" ht="12.75">
      <c r="A277" s="61"/>
      <c r="M277"/>
    </row>
    <row r="278" spans="10:14" ht="12.75">
      <c r="J278"/>
      <c r="K278"/>
      <c r="L278"/>
      <c r="M278"/>
      <c r="N278"/>
    </row>
    <row r="279" spans="10:14" ht="12.75">
      <c r="J279"/>
      <c r="K279"/>
      <c r="L279"/>
      <c r="M279"/>
      <c r="N279"/>
    </row>
    <row r="280" spans="10:13" ht="12.75">
      <c r="J280"/>
      <c r="K280"/>
      <c r="L280"/>
      <c r="M280"/>
    </row>
    <row r="281" spans="1:14" ht="12.75">
      <c r="A281" s="72"/>
      <c r="B281" s="72"/>
      <c r="J281"/>
      <c r="K281"/>
      <c r="L281"/>
      <c r="M281"/>
      <c r="N281"/>
    </row>
  </sheetData>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7"/>
  <sheetViews>
    <sheetView zoomScale="80" zoomScaleNormal="80" workbookViewId="0" topLeftCell="A1">
      <selection activeCell="L12" sqref="L12"/>
    </sheetView>
  </sheetViews>
  <sheetFormatPr defaultColWidth="9.140625" defaultRowHeight="12.75"/>
  <cols>
    <col min="1" max="1" width="4.00390625" style="0" customWidth="1"/>
    <col min="2" max="2" width="36.421875" style="0" customWidth="1"/>
    <col min="3" max="3" width="6.57421875" style="0" customWidth="1"/>
    <col min="4" max="4" width="13.421875" style="0" bestFit="1" customWidth="1"/>
    <col min="5" max="5" width="10.57421875" style="0" customWidth="1"/>
    <col min="6" max="6" width="11.00390625" style="0" customWidth="1"/>
    <col min="7" max="7" width="13.421875" style="0" bestFit="1" customWidth="1"/>
    <col min="8" max="8" width="9.140625" style="0" customWidth="1"/>
    <col min="9" max="9" width="11.57421875" style="0" customWidth="1"/>
    <col min="10" max="10" width="9.140625" style="0" customWidth="1"/>
    <col min="11" max="11" width="9.421875" style="0" customWidth="1"/>
    <col min="12" max="12" width="10.8515625" style="0" customWidth="1"/>
    <col min="13" max="14" width="9.140625" style="0" customWidth="1"/>
    <col min="244" max="244" width="4.00390625" style="0" customWidth="1"/>
    <col min="245" max="245" width="36.421875" style="0" customWidth="1"/>
    <col min="246" max="246" width="6.57421875" style="0" customWidth="1"/>
    <col min="247" max="247" width="11.7109375" style="0" customWidth="1"/>
    <col min="248" max="248" width="10.57421875" style="0" customWidth="1"/>
    <col min="249" max="249" width="11.00390625" style="0" customWidth="1"/>
    <col min="250" max="250" width="10.28125" style="0" customWidth="1"/>
    <col min="251" max="252" width="9.140625" style="0" customWidth="1"/>
    <col min="254" max="254" width="9.421875" style="0" customWidth="1"/>
    <col min="256" max="256" width="10.8515625" style="0" customWidth="1"/>
    <col min="259" max="259" width="10.00390625" style="0" customWidth="1"/>
    <col min="262" max="262" width="10.57421875" style="0" customWidth="1"/>
    <col min="265" max="265" width="10.7109375" style="0" customWidth="1"/>
    <col min="267" max="267" width="11.28125" style="0" customWidth="1"/>
    <col min="268" max="268" width="10.8515625" style="0" customWidth="1"/>
    <col min="500" max="500" width="4.00390625" style="0" customWidth="1"/>
    <col min="501" max="501" width="36.421875" style="0" customWidth="1"/>
    <col min="502" max="502" width="6.57421875" style="0" customWidth="1"/>
    <col min="503" max="503" width="11.7109375" style="0" customWidth="1"/>
    <col min="504" max="504" width="10.57421875" style="0" customWidth="1"/>
    <col min="505" max="505" width="11.00390625" style="0" customWidth="1"/>
    <col min="506" max="506" width="10.28125" style="0" customWidth="1"/>
    <col min="507" max="508" width="9.140625" style="0" customWidth="1"/>
    <col min="510" max="510" width="9.421875" style="0" customWidth="1"/>
    <col min="512" max="512" width="10.8515625" style="0" customWidth="1"/>
    <col min="515" max="515" width="10.00390625" style="0" customWidth="1"/>
    <col min="518" max="518" width="10.57421875" style="0" customWidth="1"/>
    <col min="521" max="521" width="10.7109375" style="0" customWidth="1"/>
    <col min="523" max="523" width="11.28125" style="0" customWidth="1"/>
    <col min="524" max="524" width="10.8515625" style="0" customWidth="1"/>
    <col min="756" max="756" width="4.00390625" style="0" customWidth="1"/>
    <col min="757" max="757" width="36.421875" style="0" customWidth="1"/>
    <col min="758" max="758" width="6.57421875" style="0" customWidth="1"/>
    <col min="759" max="759" width="11.7109375" style="0" customWidth="1"/>
    <col min="760" max="760" width="10.57421875" style="0" customWidth="1"/>
    <col min="761" max="761" width="11.00390625" style="0" customWidth="1"/>
    <col min="762" max="762" width="10.28125" style="0" customWidth="1"/>
    <col min="763" max="764" width="9.140625" style="0" customWidth="1"/>
    <col min="766" max="766" width="9.421875" style="0" customWidth="1"/>
    <col min="768" max="768" width="10.8515625" style="0" customWidth="1"/>
    <col min="771" max="771" width="10.00390625" style="0" customWidth="1"/>
    <col min="774" max="774" width="10.57421875" style="0" customWidth="1"/>
    <col min="777" max="777" width="10.7109375" style="0" customWidth="1"/>
    <col min="779" max="779" width="11.28125" style="0" customWidth="1"/>
    <col min="780" max="780" width="10.8515625" style="0" customWidth="1"/>
    <col min="1012" max="1012" width="4.00390625" style="0" customWidth="1"/>
    <col min="1013" max="1013" width="36.421875" style="0" customWidth="1"/>
    <col min="1014" max="1014" width="6.57421875" style="0" customWidth="1"/>
    <col min="1015" max="1015" width="11.7109375" style="0" customWidth="1"/>
    <col min="1016" max="1016" width="10.57421875" style="0" customWidth="1"/>
    <col min="1017" max="1017" width="11.00390625" style="0" customWidth="1"/>
    <col min="1018" max="1018" width="10.28125" style="0" customWidth="1"/>
    <col min="1019" max="1020" width="9.140625" style="0" customWidth="1"/>
    <col min="1022" max="1022" width="9.421875" style="0" customWidth="1"/>
    <col min="1024" max="1024" width="10.8515625" style="0" customWidth="1"/>
    <col min="1027" max="1027" width="10.00390625" style="0" customWidth="1"/>
    <col min="1030" max="1030" width="10.57421875" style="0" customWidth="1"/>
    <col min="1033" max="1033" width="10.7109375" style="0" customWidth="1"/>
    <col min="1035" max="1035" width="11.28125" style="0" customWidth="1"/>
    <col min="1036" max="1036" width="10.8515625" style="0" customWidth="1"/>
    <col min="1268" max="1268" width="4.00390625" style="0" customWidth="1"/>
    <col min="1269" max="1269" width="36.421875" style="0" customWidth="1"/>
    <col min="1270" max="1270" width="6.57421875" style="0" customWidth="1"/>
    <col min="1271" max="1271" width="11.7109375" style="0" customWidth="1"/>
    <col min="1272" max="1272" width="10.57421875" style="0" customWidth="1"/>
    <col min="1273" max="1273" width="11.00390625" style="0" customWidth="1"/>
    <col min="1274" max="1274" width="10.28125" style="0" customWidth="1"/>
    <col min="1275" max="1276" width="9.140625" style="0" customWidth="1"/>
    <col min="1278" max="1278" width="9.421875" style="0" customWidth="1"/>
    <col min="1280" max="1280" width="10.8515625" style="0" customWidth="1"/>
    <col min="1283" max="1283" width="10.00390625" style="0" customWidth="1"/>
    <col min="1286" max="1286" width="10.57421875" style="0" customWidth="1"/>
    <col min="1289" max="1289" width="10.7109375" style="0" customWidth="1"/>
    <col min="1291" max="1291" width="11.28125" style="0" customWidth="1"/>
    <col min="1292" max="1292" width="10.8515625" style="0" customWidth="1"/>
    <col min="1524" max="1524" width="4.00390625" style="0" customWidth="1"/>
    <col min="1525" max="1525" width="36.421875" style="0" customWidth="1"/>
    <col min="1526" max="1526" width="6.57421875" style="0" customWidth="1"/>
    <col min="1527" max="1527" width="11.7109375" style="0" customWidth="1"/>
    <col min="1528" max="1528" width="10.57421875" style="0" customWidth="1"/>
    <col min="1529" max="1529" width="11.00390625" style="0" customWidth="1"/>
    <col min="1530" max="1530" width="10.28125" style="0" customWidth="1"/>
    <col min="1531" max="1532" width="9.140625" style="0" customWidth="1"/>
    <col min="1534" max="1534" width="9.421875" style="0" customWidth="1"/>
    <col min="1536" max="1536" width="10.8515625" style="0" customWidth="1"/>
    <col min="1539" max="1539" width="10.00390625" style="0" customWidth="1"/>
    <col min="1542" max="1542" width="10.57421875" style="0" customWidth="1"/>
    <col min="1545" max="1545" width="10.7109375" style="0" customWidth="1"/>
    <col min="1547" max="1547" width="11.28125" style="0" customWidth="1"/>
    <col min="1548" max="1548" width="10.8515625" style="0" customWidth="1"/>
    <col min="1780" max="1780" width="4.00390625" style="0" customWidth="1"/>
    <col min="1781" max="1781" width="36.421875" style="0" customWidth="1"/>
    <col min="1782" max="1782" width="6.57421875" style="0" customWidth="1"/>
    <col min="1783" max="1783" width="11.7109375" style="0" customWidth="1"/>
    <col min="1784" max="1784" width="10.57421875" style="0" customWidth="1"/>
    <col min="1785" max="1785" width="11.00390625" style="0" customWidth="1"/>
    <col min="1786" max="1786" width="10.28125" style="0" customWidth="1"/>
    <col min="1787" max="1788" width="9.140625" style="0" customWidth="1"/>
    <col min="1790" max="1790" width="9.421875" style="0" customWidth="1"/>
    <col min="1792" max="1792" width="10.8515625" style="0" customWidth="1"/>
    <col min="1795" max="1795" width="10.00390625" style="0" customWidth="1"/>
    <col min="1798" max="1798" width="10.57421875" style="0" customWidth="1"/>
    <col min="1801" max="1801" width="10.7109375" style="0" customWidth="1"/>
    <col min="1803" max="1803" width="11.28125" style="0" customWidth="1"/>
    <col min="1804" max="1804" width="10.8515625" style="0" customWidth="1"/>
    <col min="2036" max="2036" width="4.00390625" style="0" customWidth="1"/>
    <col min="2037" max="2037" width="36.421875" style="0" customWidth="1"/>
    <col min="2038" max="2038" width="6.57421875" style="0" customWidth="1"/>
    <col min="2039" max="2039" width="11.7109375" style="0" customWidth="1"/>
    <col min="2040" max="2040" width="10.57421875" style="0" customWidth="1"/>
    <col min="2041" max="2041" width="11.00390625" style="0" customWidth="1"/>
    <col min="2042" max="2042" width="10.28125" style="0" customWidth="1"/>
    <col min="2043" max="2044" width="9.140625" style="0" customWidth="1"/>
    <col min="2046" max="2046" width="9.421875" style="0" customWidth="1"/>
    <col min="2048" max="2048" width="10.8515625" style="0" customWidth="1"/>
    <col min="2051" max="2051" width="10.00390625" style="0" customWidth="1"/>
    <col min="2054" max="2054" width="10.57421875" style="0" customWidth="1"/>
    <col min="2057" max="2057" width="10.7109375" style="0" customWidth="1"/>
    <col min="2059" max="2059" width="11.28125" style="0" customWidth="1"/>
    <col min="2060" max="2060" width="10.8515625" style="0" customWidth="1"/>
    <col min="2292" max="2292" width="4.00390625" style="0" customWidth="1"/>
    <col min="2293" max="2293" width="36.421875" style="0" customWidth="1"/>
    <col min="2294" max="2294" width="6.57421875" style="0" customWidth="1"/>
    <col min="2295" max="2295" width="11.7109375" style="0" customWidth="1"/>
    <col min="2296" max="2296" width="10.57421875" style="0" customWidth="1"/>
    <col min="2297" max="2297" width="11.00390625" style="0" customWidth="1"/>
    <col min="2298" max="2298" width="10.28125" style="0" customWidth="1"/>
    <col min="2299" max="2300" width="9.140625" style="0" customWidth="1"/>
    <col min="2302" max="2302" width="9.421875" style="0" customWidth="1"/>
    <col min="2304" max="2304" width="10.8515625" style="0" customWidth="1"/>
    <col min="2307" max="2307" width="10.00390625" style="0" customWidth="1"/>
    <col min="2310" max="2310" width="10.57421875" style="0" customWidth="1"/>
    <col min="2313" max="2313" width="10.7109375" style="0" customWidth="1"/>
    <col min="2315" max="2315" width="11.28125" style="0" customWidth="1"/>
    <col min="2316" max="2316" width="10.8515625" style="0" customWidth="1"/>
    <col min="2548" max="2548" width="4.00390625" style="0" customWidth="1"/>
    <col min="2549" max="2549" width="36.421875" style="0" customWidth="1"/>
    <col min="2550" max="2550" width="6.57421875" style="0" customWidth="1"/>
    <col min="2551" max="2551" width="11.7109375" style="0" customWidth="1"/>
    <col min="2552" max="2552" width="10.57421875" style="0" customWidth="1"/>
    <col min="2553" max="2553" width="11.00390625" style="0" customWidth="1"/>
    <col min="2554" max="2554" width="10.28125" style="0" customWidth="1"/>
    <col min="2555" max="2556" width="9.140625" style="0" customWidth="1"/>
    <col min="2558" max="2558" width="9.421875" style="0" customWidth="1"/>
    <col min="2560" max="2560" width="10.8515625" style="0" customWidth="1"/>
    <col min="2563" max="2563" width="10.00390625" style="0" customWidth="1"/>
    <col min="2566" max="2566" width="10.57421875" style="0" customWidth="1"/>
    <col min="2569" max="2569" width="10.7109375" style="0" customWidth="1"/>
    <col min="2571" max="2571" width="11.28125" style="0" customWidth="1"/>
    <col min="2572" max="2572" width="10.8515625" style="0" customWidth="1"/>
    <col min="2804" max="2804" width="4.00390625" style="0" customWidth="1"/>
    <col min="2805" max="2805" width="36.421875" style="0" customWidth="1"/>
    <col min="2806" max="2806" width="6.57421875" style="0" customWidth="1"/>
    <col min="2807" max="2807" width="11.7109375" style="0" customWidth="1"/>
    <col min="2808" max="2808" width="10.57421875" style="0" customWidth="1"/>
    <col min="2809" max="2809" width="11.00390625" style="0" customWidth="1"/>
    <col min="2810" max="2810" width="10.28125" style="0" customWidth="1"/>
    <col min="2811" max="2812" width="9.140625" style="0" customWidth="1"/>
    <col min="2814" max="2814" width="9.421875" style="0" customWidth="1"/>
    <col min="2816" max="2816" width="10.8515625" style="0" customWidth="1"/>
    <col min="2819" max="2819" width="10.00390625" style="0" customWidth="1"/>
    <col min="2822" max="2822" width="10.57421875" style="0" customWidth="1"/>
    <col min="2825" max="2825" width="10.7109375" style="0" customWidth="1"/>
    <col min="2827" max="2827" width="11.28125" style="0" customWidth="1"/>
    <col min="2828" max="2828" width="10.8515625" style="0" customWidth="1"/>
    <col min="3060" max="3060" width="4.00390625" style="0" customWidth="1"/>
    <col min="3061" max="3061" width="36.421875" style="0" customWidth="1"/>
    <col min="3062" max="3062" width="6.57421875" style="0" customWidth="1"/>
    <col min="3063" max="3063" width="11.7109375" style="0" customWidth="1"/>
    <col min="3064" max="3064" width="10.57421875" style="0" customWidth="1"/>
    <col min="3065" max="3065" width="11.00390625" style="0" customWidth="1"/>
    <col min="3066" max="3066" width="10.28125" style="0" customWidth="1"/>
    <col min="3067" max="3068" width="9.140625" style="0" customWidth="1"/>
    <col min="3070" max="3070" width="9.421875" style="0" customWidth="1"/>
    <col min="3072" max="3072" width="10.8515625" style="0" customWidth="1"/>
    <col min="3075" max="3075" width="10.00390625" style="0" customWidth="1"/>
    <col min="3078" max="3078" width="10.57421875" style="0" customWidth="1"/>
    <col min="3081" max="3081" width="10.7109375" style="0" customWidth="1"/>
    <col min="3083" max="3083" width="11.28125" style="0" customWidth="1"/>
    <col min="3084" max="3084" width="10.8515625" style="0" customWidth="1"/>
    <col min="3316" max="3316" width="4.00390625" style="0" customWidth="1"/>
    <col min="3317" max="3317" width="36.421875" style="0" customWidth="1"/>
    <col min="3318" max="3318" width="6.57421875" style="0" customWidth="1"/>
    <col min="3319" max="3319" width="11.7109375" style="0" customWidth="1"/>
    <col min="3320" max="3320" width="10.57421875" style="0" customWidth="1"/>
    <col min="3321" max="3321" width="11.00390625" style="0" customWidth="1"/>
    <col min="3322" max="3322" width="10.28125" style="0" customWidth="1"/>
    <col min="3323" max="3324" width="9.140625" style="0" customWidth="1"/>
    <col min="3326" max="3326" width="9.421875" style="0" customWidth="1"/>
    <col min="3328" max="3328" width="10.8515625" style="0" customWidth="1"/>
    <col min="3331" max="3331" width="10.00390625" style="0" customWidth="1"/>
    <col min="3334" max="3334" width="10.57421875" style="0" customWidth="1"/>
    <col min="3337" max="3337" width="10.7109375" style="0" customWidth="1"/>
    <col min="3339" max="3339" width="11.28125" style="0" customWidth="1"/>
    <col min="3340" max="3340" width="10.8515625" style="0" customWidth="1"/>
    <col min="3572" max="3572" width="4.00390625" style="0" customWidth="1"/>
    <col min="3573" max="3573" width="36.421875" style="0" customWidth="1"/>
    <col min="3574" max="3574" width="6.57421875" style="0" customWidth="1"/>
    <col min="3575" max="3575" width="11.7109375" style="0" customWidth="1"/>
    <col min="3576" max="3576" width="10.57421875" style="0" customWidth="1"/>
    <col min="3577" max="3577" width="11.00390625" style="0" customWidth="1"/>
    <col min="3578" max="3578" width="10.28125" style="0" customWidth="1"/>
    <col min="3579" max="3580" width="9.140625" style="0" customWidth="1"/>
    <col min="3582" max="3582" width="9.421875" style="0" customWidth="1"/>
    <col min="3584" max="3584" width="10.8515625" style="0" customWidth="1"/>
    <col min="3587" max="3587" width="10.00390625" style="0" customWidth="1"/>
    <col min="3590" max="3590" width="10.57421875" style="0" customWidth="1"/>
    <col min="3593" max="3593" width="10.7109375" style="0" customWidth="1"/>
    <col min="3595" max="3595" width="11.28125" style="0" customWidth="1"/>
    <col min="3596" max="3596" width="10.8515625" style="0" customWidth="1"/>
    <col min="3828" max="3828" width="4.00390625" style="0" customWidth="1"/>
    <col min="3829" max="3829" width="36.421875" style="0" customWidth="1"/>
    <col min="3830" max="3830" width="6.57421875" style="0" customWidth="1"/>
    <col min="3831" max="3831" width="11.7109375" style="0" customWidth="1"/>
    <col min="3832" max="3832" width="10.57421875" style="0" customWidth="1"/>
    <col min="3833" max="3833" width="11.00390625" style="0" customWidth="1"/>
    <col min="3834" max="3834" width="10.28125" style="0" customWidth="1"/>
    <col min="3835" max="3836" width="9.140625" style="0" customWidth="1"/>
    <col min="3838" max="3838" width="9.421875" style="0" customWidth="1"/>
    <col min="3840" max="3840" width="10.8515625" style="0" customWidth="1"/>
    <col min="3843" max="3843" width="10.00390625" style="0" customWidth="1"/>
    <col min="3846" max="3846" width="10.57421875" style="0" customWidth="1"/>
    <col min="3849" max="3849" width="10.7109375" style="0" customWidth="1"/>
    <col min="3851" max="3851" width="11.28125" style="0" customWidth="1"/>
    <col min="3852" max="3852" width="10.8515625" style="0" customWidth="1"/>
    <col min="4084" max="4084" width="4.00390625" style="0" customWidth="1"/>
    <col min="4085" max="4085" width="36.421875" style="0" customWidth="1"/>
    <col min="4086" max="4086" width="6.57421875" style="0" customWidth="1"/>
    <col min="4087" max="4087" width="11.7109375" style="0" customWidth="1"/>
    <col min="4088" max="4088" width="10.57421875" style="0" customWidth="1"/>
    <col min="4089" max="4089" width="11.00390625" style="0" customWidth="1"/>
    <col min="4090" max="4090" width="10.28125" style="0" customWidth="1"/>
    <col min="4091" max="4092" width="9.140625" style="0" customWidth="1"/>
    <col min="4094" max="4094" width="9.421875" style="0" customWidth="1"/>
    <col min="4096" max="4096" width="10.8515625" style="0" customWidth="1"/>
    <col min="4099" max="4099" width="10.00390625" style="0" customWidth="1"/>
    <col min="4102" max="4102" width="10.57421875" style="0" customWidth="1"/>
    <col min="4105" max="4105" width="10.7109375" style="0" customWidth="1"/>
    <col min="4107" max="4107" width="11.28125" style="0" customWidth="1"/>
    <col min="4108" max="4108" width="10.8515625" style="0" customWidth="1"/>
    <col min="4340" max="4340" width="4.00390625" style="0" customWidth="1"/>
    <col min="4341" max="4341" width="36.421875" style="0" customWidth="1"/>
    <col min="4342" max="4342" width="6.57421875" style="0" customWidth="1"/>
    <col min="4343" max="4343" width="11.7109375" style="0" customWidth="1"/>
    <col min="4344" max="4344" width="10.57421875" style="0" customWidth="1"/>
    <col min="4345" max="4345" width="11.00390625" style="0" customWidth="1"/>
    <col min="4346" max="4346" width="10.28125" style="0" customWidth="1"/>
    <col min="4347" max="4348" width="9.140625" style="0" customWidth="1"/>
    <col min="4350" max="4350" width="9.421875" style="0" customWidth="1"/>
    <col min="4352" max="4352" width="10.8515625" style="0" customWidth="1"/>
    <col min="4355" max="4355" width="10.00390625" style="0" customWidth="1"/>
    <col min="4358" max="4358" width="10.57421875" style="0" customWidth="1"/>
    <col min="4361" max="4361" width="10.7109375" style="0" customWidth="1"/>
    <col min="4363" max="4363" width="11.28125" style="0" customWidth="1"/>
    <col min="4364" max="4364" width="10.8515625" style="0" customWidth="1"/>
    <col min="4596" max="4596" width="4.00390625" style="0" customWidth="1"/>
    <col min="4597" max="4597" width="36.421875" style="0" customWidth="1"/>
    <col min="4598" max="4598" width="6.57421875" style="0" customWidth="1"/>
    <col min="4599" max="4599" width="11.7109375" style="0" customWidth="1"/>
    <col min="4600" max="4600" width="10.57421875" style="0" customWidth="1"/>
    <col min="4601" max="4601" width="11.00390625" style="0" customWidth="1"/>
    <col min="4602" max="4602" width="10.28125" style="0" customWidth="1"/>
    <col min="4603" max="4604" width="9.140625" style="0" customWidth="1"/>
    <col min="4606" max="4606" width="9.421875" style="0" customWidth="1"/>
    <col min="4608" max="4608" width="10.8515625" style="0" customWidth="1"/>
    <col min="4611" max="4611" width="10.00390625" style="0" customWidth="1"/>
    <col min="4614" max="4614" width="10.57421875" style="0" customWidth="1"/>
    <col min="4617" max="4617" width="10.7109375" style="0" customWidth="1"/>
    <col min="4619" max="4619" width="11.28125" style="0" customWidth="1"/>
    <col min="4620" max="4620" width="10.8515625" style="0" customWidth="1"/>
    <col min="4852" max="4852" width="4.00390625" style="0" customWidth="1"/>
    <col min="4853" max="4853" width="36.421875" style="0" customWidth="1"/>
    <col min="4854" max="4854" width="6.57421875" style="0" customWidth="1"/>
    <col min="4855" max="4855" width="11.7109375" style="0" customWidth="1"/>
    <col min="4856" max="4856" width="10.57421875" style="0" customWidth="1"/>
    <col min="4857" max="4857" width="11.00390625" style="0" customWidth="1"/>
    <col min="4858" max="4858" width="10.28125" style="0" customWidth="1"/>
    <col min="4859" max="4860" width="9.140625" style="0" customWidth="1"/>
    <col min="4862" max="4862" width="9.421875" style="0" customWidth="1"/>
    <col min="4864" max="4864" width="10.8515625" style="0" customWidth="1"/>
    <col min="4867" max="4867" width="10.00390625" style="0" customWidth="1"/>
    <col min="4870" max="4870" width="10.57421875" style="0" customWidth="1"/>
    <col min="4873" max="4873" width="10.7109375" style="0" customWidth="1"/>
    <col min="4875" max="4875" width="11.28125" style="0" customWidth="1"/>
    <col min="4876" max="4876" width="10.8515625" style="0" customWidth="1"/>
    <col min="5108" max="5108" width="4.00390625" style="0" customWidth="1"/>
    <col min="5109" max="5109" width="36.421875" style="0" customWidth="1"/>
    <col min="5110" max="5110" width="6.57421875" style="0" customWidth="1"/>
    <col min="5111" max="5111" width="11.7109375" style="0" customWidth="1"/>
    <col min="5112" max="5112" width="10.57421875" style="0" customWidth="1"/>
    <col min="5113" max="5113" width="11.00390625" style="0" customWidth="1"/>
    <col min="5114" max="5114" width="10.28125" style="0" customWidth="1"/>
    <col min="5115" max="5116" width="9.140625" style="0" customWidth="1"/>
    <col min="5118" max="5118" width="9.421875" style="0" customWidth="1"/>
    <col min="5120" max="5120" width="10.8515625" style="0" customWidth="1"/>
    <col min="5123" max="5123" width="10.00390625" style="0" customWidth="1"/>
    <col min="5126" max="5126" width="10.57421875" style="0" customWidth="1"/>
    <col min="5129" max="5129" width="10.7109375" style="0" customWidth="1"/>
    <col min="5131" max="5131" width="11.28125" style="0" customWidth="1"/>
    <col min="5132" max="5132" width="10.8515625" style="0" customWidth="1"/>
    <col min="5364" max="5364" width="4.00390625" style="0" customWidth="1"/>
    <col min="5365" max="5365" width="36.421875" style="0" customWidth="1"/>
    <col min="5366" max="5366" width="6.57421875" style="0" customWidth="1"/>
    <col min="5367" max="5367" width="11.7109375" style="0" customWidth="1"/>
    <col min="5368" max="5368" width="10.57421875" style="0" customWidth="1"/>
    <col min="5369" max="5369" width="11.00390625" style="0" customWidth="1"/>
    <col min="5370" max="5370" width="10.28125" style="0" customWidth="1"/>
    <col min="5371" max="5372" width="9.140625" style="0" customWidth="1"/>
    <col min="5374" max="5374" width="9.421875" style="0" customWidth="1"/>
    <col min="5376" max="5376" width="10.8515625" style="0" customWidth="1"/>
    <col min="5379" max="5379" width="10.00390625" style="0" customWidth="1"/>
    <col min="5382" max="5382" width="10.57421875" style="0" customWidth="1"/>
    <col min="5385" max="5385" width="10.7109375" style="0" customWidth="1"/>
    <col min="5387" max="5387" width="11.28125" style="0" customWidth="1"/>
    <col min="5388" max="5388" width="10.8515625" style="0" customWidth="1"/>
    <col min="5620" max="5620" width="4.00390625" style="0" customWidth="1"/>
    <col min="5621" max="5621" width="36.421875" style="0" customWidth="1"/>
    <col min="5622" max="5622" width="6.57421875" style="0" customWidth="1"/>
    <col min="5623" max="5623" width="11.7109375" style="0" customWidth="1"/>
    <col min="5624" max="5624" width="10.57421875" style="0" customWidth="1"/>
    <col min="5625" max="5625" width="11.00390625" style="0" customWidth="1"/>
    <col min="5626" max="5626" width="10.28125" style="0" customWidth="1"/>
    <col min="5627" max="5628" width="9.140625" style="0" customWidth="1"/>
    <col min="5630" max="5630" width="9.421875" style="0" customWidth="1"/>
    <col min="5632" max="5632" width="10.8515625" style="0" customWidth="1"/>
    <col min="5635" max="5635" width="10.00390625" style="0" customWidth="1"/>
    <col min="5638" max="5638" width="10.57421875" style="0" customWidth="1"/>
    <col min="5641" max="5641" width="10.7109375" style="0" customWidth="1"/>
    <col min="5643" max="5643" width="11.28125" style="0" customWidth="1"/>
    <col min="5644" max="5644" width="10.8515625" style="0" customWidth="1"/>
    <col min="5876" max="5876" width="4.00390625" style="0" customWidth="1"/>
    <col min="5877" max="5877" width="36.421875" style="0" customWidth="1"/>
    <col min="5878" max="5878" width="6.57421875" style="0" customWidth="1"/>
    <col min="5879" max="5879" width="11.7109375" style="0" customWidth="1"/>
    <col min="5880" max="5880" width="10.57421875" style="0" customWidth="1"/>
    <col min="5881" max="5881" width="11.00390625" style="0" customWidth="1"/>
    <col min="5882" max="5882" width="10.28125" style="0" customWidth="1"/>
    <col min="5883" max="5884" width="9.140625" style="0" customWidth="1"/>
    <col min="5886" max="5886" width="9.421875" style="0" customWidth="1"/>
    <col min="5888" max="5888" width="10.8515625" style="0" customWidth="1"/>
    <col min="5891" max="5891" width="10.00390625" style="0" customWidth="1"/>
    <col min="5894" max="5894" width="10.57421875" style="0" customWidth="1"/>
    <col min="5897" max="5897" width="10.7109375" style="0" customWidth="1"/>
    <col min="5899" max="5899" width="11.28125" style="0" customWidth="1"/>
    <col min="5900" max="5900" width="10.8515625" style="0" customWidth="1"/>
    <col min="6132" max="6132" width="4.00390625" style="0" customWidth="1"/>
    <col min="6133" max="6133" width="36.421875" style="0" customWidth="1"/>
    <col min="6134" max="6134" width="6.57421875" style="0" customWidth="1"/>
    <col min="6135" max="6135" width="11.7109375" style="0" customWidth="1"/>
    <col min="6136" max="6136" width="10.57421875" style="0" customWidth="1"/>
    <col min="6137" max="6137" width="11.00390625" style="0" customWidth="1"/>
    <col min="6138" max="6138" width="10.28125" style="0" customWidth="1"/>
    <col min="6139" max="6140" width="9.140625" style="0" customWidth="1"/>
    <col min="6142" max="6142" width="9.421875" style="0" customWidth="1"/>
    <col min="6144" max="6144" width="10.8515625" style="0" customWidth="1"/>
    <col min="6147" max="6147" width="10.00390625" style="0" customWidth="1"/>
    <col min="6150" max="6150" width="10.57421875" style="0" customWidth="1"/>
    <col min="6153" max="6153" width="10.7109375" style="0" customWidth="1"/>
    <col min="6155" max="6155" width="11.28125" style="0" customWidth="1"/>
    <col min="6156" max="6156" width="10.8515625" style="0" customWidth="1"/>
    <col min="6388" max="6388" width="4.00390625" style="0" customWidth="1"/>
    <col min="6389" max="6389" width="36.421875" style="0" customWidth="1"/>
    <col min="6390" max="6390" width="6.57421875" style="0" customWidth="1"/>
    <col min="6391" max="6391" width="11.7109375" style="0" customWidth="1"/>
    <col min="6392" max="6392" width="10.57421875" style="0" customWidth="1"/>
    <col min="6393" max="6393" width="11.00390625" style="0" customWidth="1"/>
    <col min="6394" max="6394" width="10.28125" style="0" customWidth="1"/>
    <col min="6395" max="6396" width="9.140625" style="0" customWidth="1"/>
    <col min="6398" max="6398" width="9.421875" style="0" customWidth="1"/>
    <col min="6400" max="6400" width="10.8515625" style="0" customWidth="1"/>
    <col min="6403" max="6403" width="10.00390625" style="0" customWidth="1"/>
    <col min="6406" max="6406" width="10.57421875" style="0" customWidth="1"/>
    <col min="6409" max="6409" width="10.7109375" style="0" customWidth="1"/>
    <col min="6411" max="6411" width="11.28125" style="0" customWidth="1"/>
    <col min="6412" max="6412" width="10.8515625" style="0" customWidth="1"/>
    <col min="6644" max="6644" width="4.00390625" style="0" customWidth="1"/>
    <col min="6645" max="6645" width="36.421875" style="0" customWidth="1"/>
    <col min="6646" max="6646" width="6.57421875" style="0" customWidth="1"/>
    <col min="6647" max="6647" width="11.7109375" style="0" customWidth="1"/>
    <col min="6648" max="6648" width="10.57421875" style="0" customWidth="1"/>
    <col min="6649" max="6649" width="11.00390625" style="0" customWidth="1"/>
    <col min="6650" max="6650" width="10.28125" style="0" customWidth="1"/>
    <col min="6651" max="6652" width="9.140625" style="0" customWidth="1"/>
    <col min="6654" max="6654" width="9.421875" style="0" customWidth="1"/>
    <col min="6656" max="6656" width="10.8515625" style="0" customWidth="1"/>
    <col min="6659" max="6659" width="10.00390625" style="0" customWidth="1"/>
    <col min="6662" max="6662" width="10.57421875" style="0" customWidth="1"/>
    <col min="6665" max="6665" width="10.7109375" style="0" customWidth="1"/>
    <col min="6667" max="6667" width="11.28125" style="0" customWidth="1"/>
    <col min="6668" max="6668" width="10.8515625" style="0" customWidth="1"/>
    <col min="6900" max="6900" width="4.00390625" style="0" customWidth="1"/>
    <col min="6901" max="6901" width="36.421875" style="0" customWidth="1"/>
    <col min="6902" max="6902" width="6.57421875" style="0" customWidth="1"/>
    <col min="6903" max="6903" width="11.7109375" style="0" customWidth="1"/>
    <col min="6904" max="6904" width="10.57421875" style="0" customWidth="1"/>
    <col min="6905" max="6905" width="11.00390625" style="0" customWidth="1"/>
    <col min="6906" max="6906" width="10.28125" style="0" customWidth="1"/>
    <col min="6907" max="6908" width="9.140625" style="0" customWidth="1"/>
    <col min="6910" max="6910" width="9.421875" style="0" customWidth="1"/>
    <col min="6912" max="6912" width="10.8515625" style="0" customWidth="1"/>
    <col min="6915" max="6915" width="10.00390625" style="0" customWidth="1"/>
    <col min="6918" max="6918" width="10.57421875" style="0" customWidth="1"/>
    <col min="6921" max="6921" width="10.7109375" style="0" customWidth="1"/>
    <col min="6923" max="6923" width="11.28125" style="0" customWidth="1"/>
    <col min="6924" max="6924" width="10.8515625" style="0" customWidth="1"/>
    <col min="7156" max="7156" width="4.00390625" style="0" customWidth="1"/>
    <col min="7157" max="7157" width="36.421875" style="0" customWidth="1"/>
    <col min="7158" max="7158" width="6.57421875" style="0" customWidth="1"/>
    <col min="7159" max="7159" width="11.7109375" style="0" customWidth="1"/>
    <col min="7160" max="7160" width="10.57421875" style="0" customWidth="1"/>
    <col min="7161" max="7161" width="11.00390625" style="0" customWidth="1"/>
    <col min="7162" max="7162" width="10.28125" style="0" customWidth="1"/>
    <col min="7163" max="7164" width="9.140625" style="0" customWidth="1"/>
    <col min="7166" max="7166" width="9.421875" style="0" customWidth="1"/>
    <col min="7168" max="7168" width="10.8515625" style="0" customWidth="1"/>
    <col min="7171" max="7171" width="10.00390625" style="0" customWidth="1"/>
    <col min="7174" max="7174" width="10.57421875" style="0" customWidth="1"/>
    <col min="7177" max="7177" width="10.7109375" style="0" customWidth="1"/>
    <col min="7179" max="7179" width="11.28125" style="0" customWidth="1"/>
    <col min="7180" max="7180" width="10.8515625" style="0" customWidth="1"/>
    <col min="7412" max="7412" width="4.00390625" style="0" customWidth="1"/>
    <col min="7413" max="7413" width="36.421875" style="0" customWidth="1"/>
    <col min="7414" max="7414" width="6.57421875" style="0" customWidth="1"/>
    <col min="7415" max="7415" width="11.7109375" style="0" customWidth="1"/>
    <col min="7416" max="7416" width="10.57421875" style="0" customWidth="1"/>
    <col min="7417" max="7417" width="11.00390625" style="0" customWidth="1"/>
    <col min="7418" max="7418" width="10.28125" style="0" customWidth="1"/>
    <col min="7419" max="7420" width="9.140625" style="0" customWidth="1"/>
    <col min="7422" max="7422" width="9.421875" style="0" customWidth="1"/>
    <col min="7424" max="7424" width="10.8515625" style="0" customWidth="1"/>
    <col min="7427" max="7427" width="10.00390625" style="0" customWidth="1"/>
    <col min="7430" max="7430" width="10.57421875" style="0" customWidth="1"/>
    <col min="7433" max="7433" width="10.7109375" style="0" customWidth="1"/>
    <col min="7435" max="7435" width="11.28125" style="0" customWidth="1"/>
    <col min="7436" max="7436" width="10.8515625" style="0" customWidth="1"/>
    <col min="7668" max="7668" width="4.00390625" style="0" customWidth="1"/>
    <col min="7669" max="7669" width="36.421875" style="0" customWidth="1"/>
    <col min="7670" max="7670" width="6.57421875" style="0" customWidth="1"/>
    <col min="7671" max="7671" width="11.7109375" style="0" customWidth="1"/>
    <col min="7672" max="7672" width="10.57421875" style="0" customWidth="1"/>
    <col min="7673" max="7673" width="11.00390625" style="0" customWidth="1"/>
    <col min="7674" max="7674" width="10.28125" style="0" customWidth="1"/>
    <col min="7675" max="7676" width="9.140625" style="0" customWidth="1"/>
    <col min="7678" max="7678" width="9.421875" style="0" customWidth="1"/>
    <col min="7680" max="7680" width="10.8515625" style="0" customWidth="1"/>
    <col min="7683" max="7683" width="10.00390625" style="0" customWidth="1"/>
    <col min="7686" max="7686" width="10.57421875" style="0" customWidth="1"/>
    <col min="7689" max="7689" width="10.7109375" style="0" customWidth="1"/>
    <col min="7691" max="7691" width="11.28125" style="0" customWidth="1"/>
    <col min="7692" max="7692" width="10.8515625" style="0" customWidth="1"/>
    <col min="7924" max="7924" width="4.00390625" style="0" customWidth="1"/>
    <col min="7925" max="7925" width="36.421875" style="0" customWidth="1"/>
    <col min="7926" max="7926" width="6.57421875" style="0" customWidth="1"/>
    <col min="7927" max="7927" width="11.7109375" style="0" customWidth="1"/>
    <col min="7928" max="7928" width="10.57421875" style="0" customWidth="1"/>
    <col min="7929" max="7929" width="11.00390625" style="0" customWidth="1"/>
    <col min="7930" max="7930" width="10.28125" style="0" customWidth="1"/>
    <col min="7931" max="7932" width="9.140625" style="0" customWidth="1"/>
    <col min="7934" max="7934" width="9.421875" style="0" customWidth="1"/>
    <col min="7936" max="7936" width="10.8515625" style="0" customWidth="1"/>
    <col min="7939" max="7939" width="10.00390625" style="0" customWidth="1"/>
    <col min="7942" max="7942" width="10.57421875" style="0" customWidth="1"/>
    <col min="7945" max="7945" width="10.7109375" style="0" customWidth="1"/>
    <col min="7947" max="7947" width="11.28125" style="0" customWidth="1"/>
    <col min="7948" max="7948" width="10.8515625" style="0" customWidth="1"/>
    <col min="8180" max="8180" width="4.00390625" style="0" customWidth="1"/>
    <col min="8181" max="8181" width="36.421875" style="0" customWidth="1"/>
    <col min="8182" max="8182" width="6.57421875" style="0" customWidth="1"/>
    <col min="8183" max="8183" width="11.7109375" style="0" customWidth="1"/>
    <col min="8184" max="8184" width="10.57421875" style="0" customWidth="1"/>
    <col min="8185" max="8185" width="11.00390625" style="0" customWidth="1"/>
    <col min="8186" max="8186" width="10.28125" style="0" customWidth="1"/>
    <col min="8187" max="8188" width="9.140625" style="0" customWidth="1"/>
    <col min="8190" max="8190" width="9.421875" style="0" customWidth="1"/>
    <col min="8192" max="8192" width="10.8515625" style="0" customWidth="1"/>
    <col min="8195" max="8195" width="10.00390625" style="0" customWidth="1"/>
    <col min="8198" max="8198" width="10.57421875" style="0" customWidth="1"/>
    <col min="8201" max="8201" width="10.7109375" style="0" customWidth="1"/>
    <col min="8203" max="8203" width="11.28125" style="0" customWidth="1"/>
    <col min="8204" max="8204" width="10.8515625" style="0" customWidth="1"/>
    <col min="8436" max="8436" width="4.00390625" style="0" customWidth="1"/>
    <col min="8437" max="8437" width="36.421875" style="0" customWidth="1"/>
    <col min="8438" max="8438" width="6.57421875" style="0" customWidth="1"/>
    <col min="8439" max="8439" width="11.7109375" style="0" customWidth="1"/>
    <col min="8440" max="8440" width="10.57421875" style="0" customWidth="1"/>
    <col min="8441" max="8441" width="11.00390625" style="0" customWidth="1"/>
    <col min="8442" max="8442" width="10.28125" style="0" customWidth="1"/>
    <col min="8443" max="8444" width="9.140625" style="0" customWidth="1"/>
    <col min="8446" max="8446" width="9.421875" style="0" customWidth="1"/>
    <col min="8448" max="8448" width="10.8515625" style="0" customWidth="1"/>
    <col min="8451" max="8451" width="10.00390625" style="0" customWidth="1"/>
    <col min="8454" max="8454" width="10.57421875" style="0" customWidth="1"/>
    <col min="8457" max="8457" width="10.7109375" style="0" customWidth="1"/>
    <col min="8459" max="8459" width="11.28125" style="0" customWidth="1"/>
    <col min="8460" max="8460" width="10.8515625" style="0" customWidth="1"/>
    <col min="8692" max="8692" width="4.00390625" style="0" customWidth="1"/>
    <col min="8693" max="8693" width="36.421875" style="0" customWidth="1"/>
    <col min="8694" max="8694" width="6.57421875" style="0" customWidth="1"/>
    <col min="8695" max="8695" width="11.7109375" style="0" customWidth="1"/>
    <col min="8696" max="8696" width="10.57421875" style="0" customWidth="1"/>
    <col min="8697" max="8697" width="11.00390625" style="0" customWidth="1"/>
    <col min="8698" max="8698" width="10.28125" style="0" customWidth="1"/>
    <col min="8699" max="8700" width="9.140625" style="0" customWidth="1"/>
    <col min="8702" max="8702" width="9.421875" style="0" customWidth="1"/>
    <col min="8704" max="8704" width="10.8515625" style="0" customWidth="1"/>
    <col min="8707" max="8707" width="10.00390625" style="0" customWidth="1"/>
    <col min="8710" max="8710" width="10.57421875" style="0" customWidth="1"/>
    <col min="8713" max="8713" width="10.7109375" style="0" customWidth="1"/>
    <col min="8715" max="8715" width="11.28125" style="0" customWidth="1"/>
    <col min="8716" max="8716" width="10.8515625" style="0" customWidth="1"/>
    <col min="8948" max="8948" width="4.00390625" style="0" customWidth="1"/>
    <col min="8949" max="8949" width="36.421875" style="0" customWidth="1"/>
    <col min="8950" max="8950" width="6.57421875" style="0" customWidth="1"/>
    <col min="8951" max="8951" width="11.7109375" style="0" customWidth="1"/>
    <col min="8952" max="8952" width="10.57421875" style="0" customWidth="1"/>
    <col min="8953" max="8953" width="11.00390625" style="0" customWidth="1"/>
    <col min="8954" max="8954" width="10.28125" style="0" customWidth="1"/>
    <col min="8955" max="8956" width="9.140625" style="0" customWidth="1"/>
    <col min="8958" max="8958" width="9.421875" style="0" customWidth="1"/>
    <col min="8960" max="8960" width="10.8515625" style="0" customWidth="1"/>
    <col min="8963" max="8963" width="10.00390625" style="0" customWidth="1"/>
    <col min="8966" max="8966" width="10.57421875" style="0" customWidth="1"/>
    <col min="8969" max="8969" width="10.7109375" style="0" customWidth="1"/>
    <col min="8971" max="8971" width="11.28125" style="0" customWidth="1"/>
    <col min="8972" max="8972" width="10.8515625" style="0" customWidth="1"/>
    <col min="9204" max="9204" width="4.00390625" style="0" customWidth="1"/>
    <col min="9205" max="9205" width="36.421875" style="0" customWidth="1"/>
    <col min="9206" max="9206" width="6.57421875" style="0" customWidth="1"/>
    <col min="9207" max="9207" width="11.7109375" style="0" customWidth="1"/>
    <col min="9208" max="9208" width="10.57421875" style="0" customWidth="1"/>
    <col min="9209" max="9209" width="11.00390625" style="0" customWidth="1"/>
    <col min="9210" max="9210" width="10.28125" style="0" customWidth="1"/>
    <col min="9211" max="9212" width="9.140625" style="0" customWidth="1"/>
    <col min="9214" max="9214" width="9.421875" style="0" customWidth="1"/>
    <col min="9216" max="9216" width="10.8515625" style="0" customWidth="1"/>
    <col min="9219" max="9219" width="10.00390625" style="0" customWidth="1"/>
    <col min="9222" max="9222" width="10.57421875" style="0" customWidth="1"/>
    <col min="9225" max="9225" width="10.7109375" style="0" customWidth="1"/>
    <col min="9227" max="9227" width="11.28125" style="0" customWidth="1"/>
    <col min="9228" max="9228" width="10.8515625" style="0" customWidth="1"/>
    <col min="9460" max="9460" width="4.00390625" style="0" customWidth="1"/>
    <col min="9461" max="9461" width="36.421875" style="0" customWidth="1"/>
    <col min="9462" max="9462" width="6.57421875" style="0" customWidth="1"/>
    <col min="9463" max="9463" width="11.7109375" style="0" customWidth="1"/>
    <col min="9464" max="9464" width="10.57421875" style="0" customWidth="1"/>
    <col min="9465" max="9465" width="11.00390625" style="0" customWidth="1"/>
    <col min="9466" max="9466" width="10.28125" style="0" customWidth="1"/>
    <col min="9467" max="9468" width="9.140625" style="0" customWidth="1"/>
    <col min="9470" max="9470" width="9.421875" style="0" customWidth="1"/>
    <col min="9472" max="9472" width="10.8515625" style="0" customWidth="1"/>
    <col min="9475" max="9475" width="10.00390625" style="0" customWidth="1"/>
    <col min="9478" max="9478" width="10.57421875" style="0" customWidth="1"/>
    <col min="9481" max="9481" width="10.7109375" style="0" customWidth="1"/>
    <col min="9483" max="9483" width="11.28125" style="0" customWidth="1"/>
    <col min="9484" max="9484" width="10.8515625" style="0" customWidth="1"/>
    <col min="9716" max="9716" width="4.00390625" style="0" customWidth="1"/>
    <col min="9717" max="9717" width="36.421875" style="0" customWidth="1"/>
    <col min="9718" max="9718" width="6.57421875" style="0" customWidth="1"/>
    <col min="9719" max="9719" width="11.7109375" style="0" customWidth="1"/>
    <col min="9720" max="9720" width="10.57421875" style="0" customWidth="1"/>
    <col min="9721" max="9721" width="11.00390625" style="0" customWidth="1"/>
    <col min="9722" max="9722" width="10.28125" style="0" customWidth="1"/>
    <col min="9723" max="9724" width="9.140625" style="0" customWidth="1"/>
    <col min="9726" max="9726" width="9.421875" style="0" customWidth="1"/>
    <col min="9728" max="9728" width="10.8515625" style="0" customWidth="1"/>
    <col min="9731" max="9731" width="10.00390625" style="0" customWidth="1"/>
    <col min="9734" max="9734" width="10.57421875" style="0" customWidth="1"/>
    <col min="9737" max="9737" width="10.7109375" style="0" customWidth="1"/>
    <col min="9739" max="9739" width="11.28125" style="0" customWidth="1"/>
    <col min="9740" max="9740" width="10.8515625" style="0" customWidth="1"/>
    <col min="9972" max="9972" width="4.00390625" style="0" customWidth="1"/>
    <col min="9973" max="9973" width="36.421875" style="0" customWidth="1"/>
    <col min="9974" max="9974" width="6.57421875" style="0" customWidth="1"/>
    <col min="9975" max="9975" width="11.7109375" style="0" customWidth="1"/>
    <col min="9976" max="9976" width="10.57421875" style="0" customWidth="1"/>
    <col min="9977" max="9977" width="11.00390625" style="0" customWidth="1"/>
    <col min="9978" max="9978" width="10.28125" style="0" customWidth="1"/>
    <col min="9979" max="9980" width="9.140625" style="0" customWidth="1"/>
    <col min="9982" max="9982" width="9.421875" style="0" customWidth="1"/>
    <col min="9984" max="9984" width="10.8515625" style="0" customWidth="1"/>
    <col min="9987" max="9987" width="10.00390625" style="0" customWidth="1"/>
    <col min="9990" max="9990" width="10.57421875" style="0" customWidth="1"/>
    <col min="9993" max="9993" width="10.7109375" style="0" customWidth="1"/>
    <col min="9995" max="9995" width="11.28125" style="0" customWidth="1"/>
    <col min="9996" max="9996" width="10.8515625" style="0" customWidth="1"/>
    <col min="10228" max="10228" width="4.00390625" style="0" customWidth="1"/>
    <col min="10229" max="10229" width="36.421875" style="0" customWidth="1"/>
    <col min="10230" max="10230" width="6.57421875" style="0" customWidth="1"/>
    <col min="10231" max="10231" width="11.7109375" style="0" customWidth="1"/>
    <col min="10232" max="10232" width="10.57421875" style="0" customWidth="1"/>
    <col min="10233" max="10233" width="11.00390625" style="0" customWidth="1"/>
    <col min="10234" max="10234" width="10.28125" style="0" customWidth="1"/>
    <col min="10235" max="10236" width="9.140625" style="0" customWidth="1"/>
    <col min="10238" max="10238" width="9.421875" style="0" customWidth="1"/>
    <col min="10240" max="10240" width="10.8515625" style="0" customWidth="1"/>
    <col min="10243" max="10243" width="10.00390625" style="0" customWidth="1"/>
    <col min="10246" max="10246" width="10.57421875" style="0" customWidth="1"/>
    <col min="10249" max="10249" width="10.7109375" style="0" customWidth="1"/>
    <col min="10251" max="10251" width="11.28125" style="0" customWidth="1"/>
    <col min="10252" max="10252" width="10.8515625" style="0" customWidth="1"/>
    <col min="10484" max="10484" width="4.00390625" style="0" customWidth="1"/>
    <col min="10485" max="10485" width="36.421875" style="0" customWidth="1"/>
    <col min="10486" max="10486" width="6.57421875" style="0" customWidth="1"/>
    <col min="10487" max="10487" width="11.7109375" style="0" customWidth="1"/>
    <col min="10488" max="10488" width="10.57421875" style="0" customWidth="1"/>
    <col min="10489" max="10489" width="11.00390625" style="0" customWidth="1"/>
    <col min="10490" max="10490" width="10.28125" style="0" customWidth="1"/>
    <col min="10491" max="10492" width="9.140625" style="0" customWidth="1"/>
    <col min="10494" max="10494" width="9.421875" style="0" customWidth="1"/>
    <col min="10496" max="10496" width="10.8515625" style="0" customWidth="1"/>
    <col min="10499" max="10499" width="10.00390625" style="0" customWidth="1"/>
    <col min="10502" max="10502" width="10.57421875" style="0" customWidth="1"/>
    <col min="10505" max="10505" width="10.7109375" style="0" customWidth="1"/>
    <col min="10507" max="10507" width="11.28125" style="0" customWidth="1"/>
    <col min="10508" max="10508" width="10.8515625" style="0" customWidth="1"/>
    <col min="10740" max="10740" width="4.00390625" style="0" customWidth="1"/>
    <col min="10741" max="10741" width="36.421875" style="0" customWidth="1"/>
    <col min="10742" max="10742" width="6.57421875" style="0" customWidth="1"/>
    <col min="10743" max="10743" width="11.7109375" style="0" customWidth="1"/>
    <col min="10744" max="10744" width="10.57421875" style="0" customWidth="1"/>
    <col min="10745" max="10745" width="11.00390625" style="0" customWidth="1"/>
    <col min="10746" max="10746" width="10.28125" style="0" customWidth="1"/>
    <col min="10747" max="10748" width="9.140625" style="0" customWidth="1"/>
    <col min="10750" max="10750" width="9.421875" style="0" customWidth="1"/>
    <col min="10752" max="10752" width="10.8515625" style="0" customWidth="1"/>
    <col min="10755" max="10755" width="10.00390625" style="0" customWidth="1"/>
    <col min="10758" max="10758" width="10.57421875" style="0" customWidth="1"/>
    <col min="10761" max="10761" width="10.7109375" style="0" customWidth="1"/>
    <col min="10763" max="10763" width="11.28125" style="0" customWidth="1"/>
    <col min="10764" max="10764" width="10.8515625" style="0" customWidth="1"/>
    <col min="10996" max="10996" width="4.00390625" style="0" customWidth="1"/>
    <col min="10997" max="10997" width="36.421875" style="0" customWidth="1"/>
    <col min="10998" max="10998" width="6.57421875" style="0" customWidth="1"/>
    <col min="10999" max="10999" width="11.7109375" style="0" customWidth="1"/>
    <col min="11000" max="11000" width="10.57421875" style="0" customWidth="1"/>
    <col min="11001" max="11001" width="11.00390625" style="0" customWidth="1"/>
    <col min="11002" max="11002" width="10.28125" style="0" customWidth="1"/>
    <col min="11003" max="11004" width="9.140625" style="0" customWidth="1"/>
    <col min="11006" max="11006" width="9.421875" style="0" customWidth="1"/>
    <col min="11008" max="11008" width="10.8515625" style="0" customWidth="1"/>
    <col min="11011" max="11011" width="10.00390625" style="0" customWidth="1"/>
    <col min="11014" max="11014" width="10.57421875" style="0" customWidth="1"/>
    <col min="11017" max="11017" width="10.7109375" style="0" customWidth="1"/>
    <col min="11019" max="11019" width="11.28125" style="0" customWidth="1"/>
    <col min="11020" max="11020" width="10.8515625" style="0" customWidth="1"/>
    <col min="11252" max="11252" width="4.00390625" style="0" customWidth="1"/>
    <col min="11253" max="11253" width="36.421875" style="0" customWidth="1"/>
    <col min="11254" max="11254" width="6.57421875" style="0" customWidth="1"/>
    <col min="11255" max="11255" width="11.7109375" style="0" customWidth="1"/>
    <col min="11256" max="11256" width="10.57421875" style="0" customWidth="1"/>
    <col min="11257" max="11257" width="11.00390625" style="0" customWidth="1"/>
    <col min="11258" max="11258" width="10.28125" style="0" customWidth="1"/>
    <col min="11259" max="11260" width="9.140625" style="0" customWidth="1"/>
    <col min="11262" max="11262" width="9.421875" style="0" customWidth="1"/>
    <col min="11264" max="11264" width="10.8515625" style="0" customWidth="1"/>
    <col min="11267" max="11267" width="10.00390625" style="0" customWidth="1"/>
    <col min="11270" max="11270" width="10.57421875" style="0" customWidth="1"/>
    <col min="11273" max="11273" width="10.7109375" style="0" customWidth="1"/>
    <col min="11275" max="11275" width="11.28125" style="0" customWidth="1"/>
    <col min="11276" max="11276" width="10.8515625" style="0" customWidth="1"/>
    <col min="11508" max="11508" width="4.00390625" style="0" customWidth="1"/>
    <col min="11509" max="11509" width="36.421875" style="0" customWidth="1"/>
    <col min="11510" max="11510" width="6.57421875" style="0" customWidth="1"/>
    <col min="11511" max="11511" width="11.7109375" style="0" customWidth="1"/>
    <col min="11512" max="11512" width="10.57421875" style="0" customWidth="1"/>
    <col min="11513" max="11513" width="11.00390625" style="0" customWidth="1"/>
    <col min="11514" max="11514" width="10.28125" style="0" customWidth="1"/>
    <col min="11515" max="11516" width="9.140625" style="0" customWidth="1"/>
    <col min="11518" max="11518" width="9.421875" style="0" customWidth="1"/>
    <col min="11520" max="11520" width="10.8515625" style="0" customWidth="1"/>
    <col min="11523" max="11523" width="10.00390625" style="0" customWidth="1"/>
    <col min="11526" max="11526" width="10.57421875" style="0" customWidth="1"/>
    <col min="11529" max="11529" width="10.7109375" style="0" customWidth="1"/>
    <col min="11531" max="11531" width="11.28125" style="0" customWidth="1"/>
    <col min="11532" max="11532" width="10.8515625" style="0" customWidth="1"/>
    <col min="11764" max="11764" width="4.00390625" style="0" customWidth="1"/>
    <col min="11765" max="11765" width="36.421875" style="0" customWidth="1"/>
    <col min="11766" max="11766" width="6.57421875" style="0" customWidth="1"/>
    <col min="11767" max="11767" width="11.7109375" style="0" customWidth="1"/>
    <col min="11768" max="11768" width="10.57421875" style="0" customWidth="1"/>
    <col min="11769" max="11769" width="11.00390625" style="0" customWidth="1"/>
    <col min="11770" max="11770" width="10.28125" style="0" customWidth="1"/>
    <col min="11771" max="11772" width="9.140625" style="0" customWidth="1"/>
    <col min="11774" max="11774" width="9.421875" style="0" customWidth="1"/>
    <col min="11776" max="11776" width="10.8515625" style="0" customWidth="1"/>
    <col min="11779" max="11779" width="10.00390625" style="0" customWidth="1"/>
    <col min="11782" max="11782" width="10.57421875" style="0" customWidth="1"/>
    <col min="11785" max="11785" width="10.7109375" style="0" customWidth="1"/>
    <col min="11787" max="11787" width="11.28125" style="0" customWidth="1"/>
    <col min="11788" max="11788" width="10.8515625" style="0" customWidth="1"/>
    <col min="12020" max="12020" width="4.00390625" style="0" customWidth="1"/>
    <col min="12021" max="12021" width="36.421875" style="0" customWidth="1"/>
    <col min="12022" max="12022" width="6.57421875" style="0" customWidth="1"/>
    <col min="12023" max="12023" width="11.7109375" style="0" customWidth="1"/>
    <col min="12024" max="12024" width="10.57421875" style="0" customWidth="1"/>
    <col min="12025" max="12025" width="11.00390625" style="0" customWidth="1"/>
    <col min="12026" max="12026" width="10.28125" style="0" customWidth="1"/>
    <col min="12027" max="12028" width="9.140625" style="0" customWidth="1"/>
    <col min="12030" max="12030" width="9.421875" style="0" customWidth="1"/>
    <col min="12032" max="12032" width="10.8515625" style="0" customWidth="1"/>
    <col min="12035" max="12035" width="10.00390625" style="0" customWidth="1"/>
    <col min="12038" max="12038" width="10.57421875" style="0" customWidth="1"/>
    <col min="12041" max="12041" width="10.7109375" style="0" customWidth="1"/>
    <col min="12043" max="12043" width="11.28125" style="0" customWidth="1"/>
    <col min="12044" max="12044" width="10.8515625" style="0" customWidth="1"/>
    <col min="12276" max="12276" width="4.00390625" style="0" customWidth="1"/>
    <col min="12277" max="12277" width="36.421875" style="0" customWidth="1"/>
    <col min="12278" max="12278" width="6.57421875" style="0" customWidth="1"/>
    <col min="12279" max="12279" width="11.7109375" style="0" customWidth="1"/>
    <col min="12280" max="12280" width="10.57421875" style="0" customWidth="1"/>
    <col min="12281" max="12281" width="11.00390625" style="0" customWidth="1"/>
    <col min="12282" max="12282" width="10.28125" style="0" customWidth="1"/>
    <col min="12283" max="12284" width="9.140625" style="0" customWidth="1"/>
    <col min="12286" max="12286" width="9.421875" style="0" customWidth="1"/>
    <col min="12288" max="12288" width="10.8515625" style="0" customWidth="1"/>
    <col min="12291" max="12291" width="10.00390625" style="0" customWidth="1"/>
    <col min="12294" max="12294" width="10.57421875" style="0" customWidth="1"/>
    <col min="12297" max="12297" width="10.7109375" style="0" customWidth="1"/>
    <col min="12299" max="12299" width="11.28125" style="0" customWidth="1"/>
    <col min="12300" max="12300" width="10.8515625" style="0" customWidth="1"/>
    <col min="12532" max="12532" width="4.00390625" style="0" customWidth="1"/>
    <col min="12533" max="12533" width="36.421875" style="0" customWidth="1"/>
    <col min="12534" max="12534" width="6.57421875" style="0" customWidth="1"/>
    <col min="12535" max="12535" width="11.7109375" style="0" customWidth="1"/>
    <col min="12536" max="12536" width="10.57421875" style="0" customWidth="1"/>
    <col min="12537" max="12537" width="11.00390625" style="0" customWidth="1"/>
    <col min="12538" max="12538" width="10.28125" style="0" customWidth="1"/>
    <col min="12539" max="12540" width="9.140625" style="0" customWidth="1"/>
    <col min="12542" max="12542" width="9.421875" style="0" customWidth="1"/>
    <col min="12544" max="12544" width="10.8515625" style="0" customWidth="1"/>
    <col min="12547" max="12547" width="10.00390625" style="0" customWidth="1"/>
    <col min="12550" max="12550" width="10.57421875" style="0" customWidth="1"/>
    <col min="12553" max="12553" width="10.7109375" style="0" customWidth="1"/>
    <col min="12555" max="12555" width="11.28125" style="0" customWidth="1"/>
    <col min="12556" max="12556" width="10.8515625" style="0" customWidth="1"/>
    <col min="12788" max="12788" width="4.00390625" style="0" customWidth="1"/>
    <col min="12789" max="12789" width="36.421875" style="0" customWidth="1"/>
    <col min="12790" max="12790" width="6.57421875" style="0" customWidth="1"/>
    <col min="12791" max="12791" width="11.7109375" style="0" customWidth="1"/>
    <col min="12792" max="12792" width="10.57421875" style="0" customWidth="1"/>
    <col min="12793" max="12793" width="11.00390625" style="0" customWidth="1"/>
    <col min="12794" max="12794" width="10.28125" style="0" customWidth="1"/>
    <col min="12795" max="12796" width="9.140625" style="0" customWidth="1"/>
    <col min="12798" max="12798" width="9.421875" style="0" customWidth="1"/>
    <col min="12800" max="12800" width="10.8515625" style="0" customWidth="1"/>
    <col min="12803" max="12803" width="10.00390625" style="0" customWidth="1"/>
    <col min="12806" max="12806" width="10.57421875" style="0" customWidth="1"/>
    <col min="12809" max="12809" width="10.7109375" style="0" customWidth="1"/>
    <col min="12811" max="12811" width="11.28125" style="0" customWidth="1"/>
    <col min="12812" max="12812" width="10.8515625" style="0" customWidth="1"/>
    <col min="13044" max="13044" width="4.00390625" style="0" customWidth="1"/>
    <col min="13045" max="13045" width="36.421875" style="0" customWidth="1"/>
    <col min="13046" max="13046" width="6.57421875" style="0" customWidth="1"/>
    <col min="13047" max="13047" width="11.7109375" style="0" customWidth="1"/>
    <col min="13048" max="13048" width="10.57421875" style="0" customWidth="1"/>
    <col min="13049" max="13049" width="11.00390625" style="0" customWidth="1"/>
    <col min="13050" max="13050" width="10.28125" style="0" customWidth="1"/>
    <col min="13051" max="13052" width="9.140625" style="0" customWidth="1"/>
    <col min="13054" max="13054" width="9.421875" style="0" customWidth="1"/>
    <col min="13056" max="13056" width="10.8515625" style="0" customWidth="1"/>
    <col min="13059" max="13059" width="10.00390625" style="0" customWidth="1"/>
    <col min="13062" max="13062" width="10.57421875" style="0" customWidth="1"/>
    <col min="13065" max="13065" width="10.7109375" style="0" customWidth="1"/>
    <col min="13067" max="13067" width="11.28125" style="0" customWidth="1"/>
    <col min="13068" max="13068" width="10.8515625" style="0" customWidth="1"/>
    <col min="13300" max="13300" width="4.00390625" style="0" customWidth="1"/>
    <col min="13301" max="13301" width="36.421875" style="0" customWidth="1"/>
    <col min="13302" max="13302" width="6.57421875" style="0" customWidth="1"/>
    <col min="13303" max="13303" width="11.7109375" style="0" customWidth="1"/>
    <col min="13304" max="13304" width="10.57421875" style="0" customWidth="1"/>
    <col min="13305" max="13305" width="11.00390625" style="0" customWidth="1"/>
    <col min="13306" max="13306" width="10.28125" style="0" customWidth="1"/>
    <col min="13307" max="13308" width="9.140625" style="0" customWidth="1"/>
    <col min="13310" max="13310" width="9.421875" style="0" customWidth="1"/>
    <col min="13312" max="13312" width="10.8515625" style="0" customWidth="1"/>
    <col min="13315" max="13315" width="10.00390625" style="0" customWidth="1"/>
    <col min="13318" max="13318" width="10.57421875" style="0" customWidth="1"/>
    <col min="13321" max="13321" width="10.7109375" style="0" customWidth="1"/>
    <col min="13323" max="13323" width="11.28125" style="0" customWidth="1"/>
    <col min="13324" max="13324" width="10.8515625" style="0" customWidth="1"/>
    <col min="13556" max="13556" width="4.00390625" style="0" customWidth="1"/>
    <col min="13557" max="13557" width="36.421875" style="0" customWidth="1"/>
    <col min="13558" max="13558" width="6.57421875" style="0" customWidth="1"/>
    <col min="13559" max="13559" width="11.7109375" style="0" customWidth="1"/>
    <col min="13560" max="13560" width="10.57421875" style="0" customWidth="1"/>
    <col min="13561" max="13561" width="11.00390625" style="0" customWidth="1"/>
    <col min="13562" max="13562" width="10.28125" style="0" customWidth="1"/>
    <col min="13563" max="13564" width="9.140625" style="0" customWidth="1"/>
    <col min="13566" max="13566" width="9.421875" style="0" customWidth="1"/>
    <col min="13568" max="13568" width="10.8515625" style="0" customWidth="1"/>
    <col min="13571" max="13571" width="10.00390625" style="0" customWidth="1"/>
    <col min="13574" max="13574" width="10.57421875" style="0" customWidth="1"/>
    <col min="13577" max="13577" width="10.7109375" style="0" customWidth="1"/>
    <col min="13579" max="13579" width="11.28125" style="0" customWidth="1"/>
    <col min="13580" max="13580" width="10.8515625" style="0" customWidth="1"/>
    <col min="13812" max="13812" width="4.00390625" style="0" customWidth="1"/>
    <col min="13813" max="13813" width="36.421875" style="0" customWidth="1"/>
    <col min="13814" max="13814" width="6.57421875" style="0" customWidth="1"/>
    <col min="13815" max="13815" width="11.7109375" style="0" customWidth="1"/>
    <col min="13816" max="13816" width="10.57421875" style="0" customWidth="1"/>
    <col min="13817" max="13817" width="11.00390625" style="0" customWidth="1"/>
    <col min="13818" max="13818" width="10.28125" style="0" customWidth="1"/>
    <col min="13819" max="13820" width="9.140625" style="0" customWidth="1"/>
    <col min="13822" max="13822" width="9.421875" style="0" customWidth="1"/>
    <col min="13824" max="13824" width="10.8515625" style="0" customWidth="1"/>
    <col min="13827" max="13827" width="10.00390625" style="0" customWidth="1"/>
    <col min="13830" max="13830" width="10.57421875" style="0" customWidth="1"/>
    <col min="13833" max="13833" width="10.7109375" style="0" customWidth="1"/>
    <col min="13835" max="13835" width="11.28125" style="0" customWidth="1"/>
    <col min="13836" max="13836" width="10.8515625" style="0" customWidth="1"/>
    <col min="14068" max="14068" width="4.00390625" style="0" customWidth="1"/>
    <col min="14069" max="14069" width="36.421875" style="0" customWidth="1"/>
    <col min="14070" max="14070" width="6.57421875" style="0" customWidth="1"/>
    <col min="14071" max="14071" width="11.7109375" style="0" customWidth="1"/>
    <col min="14072" max="14072" width="10.57421875" style="0" customWidth="1"/>
    <col min="14073" max="14073" width="11.00390625" style="0" customWidth="1"/>
    <col min="14074" max="14074" width="10.28125" style="0" customWidth="1"/>
    <col min="14075" max="14076" width="9.140625" style="0" customWidth="1"/>
    <col min="14078" max="14078" width="9.421875" style="0" customWidth="1"/>
    <col min="14080" max="14080" width="10.8515625" style="0" customWidth="1"/>
    <col min="14083" max="14083" width="10.00390625" style="0" customWidth="1"/>
    <col min="14086" max="14086" width="10.57421875" style="0" customWidth="1"/>
    <col min="14089" max="14089" width="10.7109375" style="0" customWidth="1"/>
    <col min="14091" max="14091" width="11.28125" style="0" customWidth="1"/>
    <col min="14092" max="14092" width="10.8515625" style="0" customWidth="1"/>
    <col min="14324" max="14324" width="4.00390625" style="0" customWidth="1"/>
    <col min="14325" max="14325" width="36.421875" style="0" customWidth="1"/>
    <col min="14326" max="14326" width="6.57421875" style="0" customWidth="1"/>
    <col min="14327" max="14327" width="11.7109375" style="0" customWidth="1"/>
    <col min="14328" max="14328" width="10.57421875" style="0" customWidth="1"/>
    <col min="14329" max="14329" width="11.00390625" style="0" customWidth="1"/>
    <col min="14330" max="14330" width="10.28125" style="0" customWidth="1"/>
    <col min="14331" max="14332" width="9.140625" style="0" customWidth="1"/>
    <col min="14334" max="14334" width="9.421875" style="0" customWidth="1"/>
    <col min="14336" max="14336" width="10.8515625" style="0" customWidth="1"/>
    <col min="14339" max="14339" width="10.00390625" style="0" customWidth="1"/>
    <col min="14342" max="14342" width="10.57421875" style="0" customWidth="1"/>
    <col min="14345" max="14345" width="10.7109375" style="0" customWidth="1"/>
    <col min="14347" max="14347" width="11.28125" style="0" customWidth="1"/>
    <col min="14348" max="14348" width="10.8515625" style="0" customWidth="1"/>
    <col min="14580" max="14580" width="4.00390625" style="0" customWidth="1"/>
    <col min="14581" max="14581" width="36.421875" style="0" customWidth="1"/>
    <col min="14582" max="14582" width="6.57421875" style="0" customWidth="1"/>
    <col min="14583" max="14583" width="11.7109375" style="0" customWidth="1"/>
    <col min="14584" max="14584" width="10.57421875" style="0" customWidth="1"/>
    <col min="14585" max="14585" width="11.00390625" style="0" customWidth="1"/>
    <col min="14586" max="14586" width="10.28125" style="0" customWidth="1"/>
    <col min="14587" max="14588" width="9.140625" style="0" customWidth="1"/>
    <col min="14590" max="14590" width="9.421875" style="0" customWidth="1"/>
    <col min="14592" max="14592" width="10.8515625" style="0" customWidth="1"/>
    <col min="14595" max="14595" width="10.00390625" style="0" customWidth="1"/>
    <col min="14598" max="14598" width="10.57421875" style="0" customWidth="1"/>
    <col min="14601" max="14601" width="10.7109375" style="0" customWidth="1"/>
    <col min="14603" max="14603" width="11.28125" style="0" customWidth="1"/>
    <col min="14604" max="14604" width="10.8515625" style="0" customWidth="1"/>
    <col min="14836" max="14836" width="4.00390625" style="0" customWidth="1"/>
    <col min="14837" max="14837" width="36.421875" style="0" customWidth="1"/>
    <col min="14838" max="14838" width="6.57421875" style="0" customWidth="1"/>
    <col min="14839" max="14839" width="11.7109375" style="0" customWidth="1"/>
    <col min="14840" max="14840" width="10.57421875" style="0" customWidth="1"/>
    <col min="14841" max="14841" width="11.00390625" style="0" customWidth="1"/>
    <col min="14842" max="14842" width="10.28125" style="0" customWidth="1"/>
    <col min="14843" max="14844" width="9.140625" style="0" customWidth="1"/>
    <col min="14846" max="14846" width="9.421875" style="0" customWidth="1"/>
    <col min="14848" max="14848" width="10.8515625" style="0" customWidth="1"/>
    <col min="14851" max="14851" width="10.00390625" style="0" customWidth="1"/>
    <col min="14854" max="14854" width="10.57421875" style="0" customWidth="1"/>
    <col min="14857" max="14857" width="10.7109375" style="0" customWidth="1"/>
    <col min="14859" max="14859" width="11.28125" style="0" customWidth="1"/>
    <col min="14860" max="14860" width="10.8515625" style="0" customWidth="1"/>
    <col min="15092" max="15092" width="4.00390625" style="0" customWidth="1"/>
    <col min="15093" max="15093" width="36.421875" style="0" customWidth="1"/>
    <col min="15094" max="15094" width="6.57421875" style="0" customWidth="1"/>
    <col min="15095" max="15095" width="11.7109375" style="0" customWidth="1"/>
    <col min="15096" max="15096" width="10.57421875" style="0" customWidth="1"/>
    <col min="15097" max="15097" width="11.00390625" style="0" customWidth="1"/>
    <col min="15098" max="15098" width="10.28125" style="0" customWidth="1"/>
    <col min="15099" max="15100" width="9.140625" style="0" customWidth="1"/>
    <col min="15102" max="15102" width="9.421875" style="0" customWidth="1"/>
    <col min="15104" max="15104" width="10.8515625" style="0" customWidth="1"/>
    <col min="15107" max="15107" width="10.00390625" style="0" customWidth="1"/>
    <col min="15110" max="15110" width="10.57421875" style="0" customWidth="1"/>
    <col min="15113" max="15113" width="10.7109375" style="0" customWidth="1"/>
    <col min="15115" max="15115" width="11.28125" style="0" customWidth="1"/>
    <col min="15116" max="15116" width="10.8515625" style="0" customWidth="1"/>
    <col min="15348" max="15348" width="4.00390625" style="0" customWidth="1"/>
    <col min="15349" max="15349" width="36.421875" style="0" customWidth="1"/>
    <col min="15350" max="15350" width="6.57421875" style="0" customWidth="1"/>
    <col min="15351" max="15351" width="11.7109375" style="0" customWidth="1"/>
    <col min="15352" max="15352" width="10.57421875" style="0" customWidth="1"/>
    <col min="15353" max="15353" width="11.00390625" style="0" customWidth="1"/>
    <col min="15354" max="15354" width="10.28125" style="0" customWidth="1"/>
    <col min="15355" max="15356" width="9.140625" style="0" customWidth="1"/>
    <col min="15358" max="15358" width="9.421875" style="0" customWidth="1"/>
    <col min="15360" max="15360" width="10.8515625" style="0" customWidth="1"/>
    <col min="15363" max="15363" width="10.00390625" style="0" customWidth="1"/>
    <col min="15366" max="15366" width="10.57421875" style="0" customWidth="1"/>
    <col min="15369" max="15369" width="10.7109375" style="0" customWidth="1"/>
    <col min="15371" max="15371" width="11.28125" style="0" customWidth="1"/>
    <col min="15372" max="15372" width="10.8515625" style="0" customWidth="1"/>
    <col min="15604" max="15604" width="4.00390625" style="0" customWidth="1"/>
    <col min="15605" max="15605" width="36.421875" style="0" customWidth="1"/>
    <col min="15606" max="15606" width="6.57421875" style="0" customWidth="1"/>
    <col min="15607" max="15607" width="11.7109375" style="0" customWidth="1"/>
    <col min="15608" max="15608" width="10.57421875" style="0" customWidth="1"/>
    <col min="15609" max="15609" width="11.00390625" style="0" customWidth="1"/>
    <col min="15610" max="15610" width="10.28125" style="0" customWidth="1"/>
    <col min="15611" max="15612" width="9.140625" style="0" customWidth="1"/>
    <col min="15614" max="15614" width="9.421875" style="0" customWidth="1"/>
    <col min="15616" max="15616" width="10.8515625" style="0" customWidth="1"/>
    <col min="15619" max="15619" width="10.00390625" style="0" customWidth="1"/>
    <col min="15622" max="15622" width="10.57421875" style="0" customWidth="1"/>
    <col min="15625" max="15625" width="10.7109375" style="0" customWidth="1"/>
    <col min="15627" max="15627" width="11.28125" style="0" customWidth="1"/>
    <col min="15628" max="15628" width="10.8515625" style="0" customWidth="1"/>
    <col min="15860" max="15860" width="4.00390625" style="0" customWidth="1"/>
    <col min="15861" max="15861" width="36.421875" style="0" customWidth="1"/>
    <col min="15862" max="15862" width="6.57421875" style="0" customWidth="1"/>
    <col min="15863" max="15863" width="11.7109375" style="0" customWidth="1"/>
    <col min="15864" max="15864" width="10.57421875" style="0" customWidth="1"/>
    <col min="15865" max="15865" width="11.00390625" style="0" customWidth="1"/>
    <col min="15866" max="15866" width="10.28125" style="0" customWidth="1"/>
    <col min="15867" max="15868" width="9.140625" style="0" customWidth="1"/>
    <col min="15870" max="15870" width="9.421875" style="0" customWidth="1"/>
    <col min="15872" max="15872" width="10.8515625" style="0" customWidth="1"/>
    <col min="15875" max="15875" width="10.00390625" style="0" customWidth="1"/>
    <col min="15878" max="15878" width="10.57421875" style="0" customWidth="1"/>
    <col min="15881" max="15881" width="10.7109375" style="0" customWidth="1"/>
    <col min="15883" max="15883" width="11.28125" style="0" customWidth="1"/>
    <col min="15884" max="15884" width="10.8515625" style="0" customWidth="1"/>
    <col min="16116" max="16116" width="4.00390625" style="0" customWidth="1"/>
    <col min="16117" max="16117" width="36.421875" style="0" customWidth="1"/>
    <col min="16118" max="16118" width="6.57421875" style="0" customWidth="1"/>
    <col min="16119" max="16119" width="11.7109375" style="0" customWidth="1"/>
    <col min="16120" max="16120" width="10.57421875" style="0" customWidth="1"/>
    <col min="16121" max="16121" width="11.00390625" style="0" customWidth="1"/>
    <col min="16122" max="16122" width="10.28125" style="0" customWidth="1"/>
    <col min="16123" max="16124" width="9.140625" style="0" customWidth="1"/>
    <col min="16126" max="16126" width="9.421875" style="0" customWidth="1"/>
    <col min="16128" max="16128" width="10.8515625" style="0" customWidth="1"/>
    <col min="16131" max="16131" width="10.00390625" style="0" customWidth="1"/>
    <col min="16134" max="16134" width="10.57421875" style="0" customWidth="1"/>
    <col min="16137" max="16137" width="10.7109375" style="0" customWidth="1"/>
    <col min="16139" max="16139" width="11.28125" style="0" customWidth="1"/>
    <col min="16140" max="16140" width="10.8515625" style="0" customWidth="1"/>
  </cols>
  <sheetData>
    <row r="1" spans="1:27" ht="12.75">
      <c r="A1" s="22" t="s">
        <v>254</v>
      </c>
      <c r="C1" s="12" t="s">
        <v>162</v>
      </c>
      <c r="D1" s="12" t="s">
        <v>163</v>
      </c>
      <c r="E1" s="12" t="s">
        <v>164</v>
      </c>
      <c r="F1" s="12" t="s">
        <v>165</v>
      </c>
      <c r="G1" s="12" t="s">
        <v>166</v>
      </c>
      <c r="H1" s="12" t="s">
        <v>167</v>
      </c>
      <c r="I1" s="12" t="s">
        <v>255</v>
      </c>
      <c r="J1" s="12"/>
      <c r="K1" s="12"/>
      <c r="L1" s="12"/>
      <c r="M1" s="12"/>
      <c r="N1" s="12"/>
      <c r="O1" s="12"/>
      <c r="P1" s="12"/>
      <c r="Q1" s="12"/>
      <c r="R1" s="12"/>
      <c r="S1" s="12"/>
      <c r="T1" s="12"/>
      <c r="U1" s="12"/>
      <c r="V1" s="12"/>
      <c r="W1" s="12"/>
      <c r="X1" s="12"/>
      <c r="Y1" s="12"/>
      <c r="Z1" s="12"/>
      <c r="AA1" s="12"/>
    </row>
    <row r="2" spans="2:27" ht="12.75">
      <c r="B2" s="12" t="s">
        <v>161</v>
      </c>
      <c r="D2" s="12" t="s">
        <v>261</v>
      </c>
      <c r="E2" s="12" t="s">
        <v>262</v>
      </c>
      <c r="F2" s="12">
        <v>2020</v>
      </c>
      <c r="G2" s="12" t="s">
        <v>261</v>
      </c>
      <c r="H2" s="12" t="s">
        <v>262</v>
      </c>
      <c r="I2" s="12">
        <v>2021</v>
      </c>
      <c r="J2" s="12"/>
      <c r="K2" s="12"/>
      <c r="O2" s="12"/>
      <c r="P2" s="12"/>
      <c r="Q2" s="12"/>
      <c r="R2" s="12"/>
      <c r="S2" s="12"/>
      <c r="T2" s="12"/>
      <c r="U2" s="12"/>
      <c r="V2" s="12"/>
      <c r="W2" s="12"/>
      <c r="X2" s="12"/>
      <c r="Y2" s="12"/>
      <c r="Z2" s="12"/>
      <c r="AA2" s="12"/>
    </row>
    <row r="3" spans="3:27" ht="12.75">
      <c r="C3" s="12" t="s">
        <v>263</v>
      </c>
      <c r="D3" s="12" t="s">
        <v>264</v>
      </c>
      <c r="E3" s="12" t="s">
        <v>265</v>
      </c>
      <c r="F3" s="12" t="s">
        <v>266</v>
      </c>
      <c r="G3" s="12" t="s">
        <v>264</v>
      </c>
      <c r="H3" s="12" t="s">
        <v>265</v>
      </c>
      <c r="I3" s="12" t="s">
        <v>266</v>
      </c>
      <c r="J3" s="12"/>
      <c r="K3" s="12"/>
      <c r="O3" s="12"/>
      <c r="P3" s="12"/>
      <c r="Q3" s="12"/>
      <c r="R3" s="12"/>
      <c r="S3" s="12"/>
      <c r="T3" s="12"/>
      <c r="U3" s="12"/>
      <c r="V3" s="12"/>
      <c r="W3" s="12"/>
      <c r="X3" s="12"/>
      <c r="Y3" s="12"/>
      <c r="Z3" s="12"/>
      <c r="AA3" s="12"/>
    </row>
    <row r="4" spans="3:27" ht="12.75">
      <c r="C4" s="12" t="s">
        <v>267</v>
      </c>
      <c r="D4" s="44">
        <v>44104</v>
      </c>
      <c r="E4" s="12" t="s">
        <v>268</v>
      </c>
      <c r="F4" s="12" t="s">
        <v>269</v>
      </c>
      <c r="G4" s="44">
        <v>44469</v>
      </c>
      <c r="H4" s="12" t="s">
        <v>268</v>
      </c>
      <c r="I4" s="12" t="s">
        <v>269</v>
      </c>
      <c r="J4" s="44"/>
      <c r="K4" s="12"/>
      <c r="O4" s="44"/>
      <c r="P4" s="12"/>
      <c r="Q4" s="12"/>
      <c r="R4" s="12"/>
      <c r="S4" s="12"/>
      <c r="T4" s="12"/>
      <c r="U4" s="12"/>
      <c r="V4" s="12"/>
      <c r="W4" s="12"/>
      <c r="X4" s="12"/>
      <c r="Y4" s="12"/>
      <c r="Z4" s="12"/>
      <c r="AA4" s="12"/>
    </row>
    <row r="5" spans="1:17" ht="12.75">
      <c r="A5">
        <v>1</v>
      </c>
      <c r="B5" t="s">
        <v>270</v>
      </c>
      <c r="C5" s="45">
        <v>50</v>
      </c>
      <c r="D5" s="118">
        <v>10630288.791861545</v>
      </c>
      <c r="E5" s="253">
        <v>0.0302</v>
      </c>
      <c r="F5" s="156">
        <f>PMT(E5,$C5,D5,0,0)*-1</f>
        <v>414721.7697217024</v>
      </c>
      <c r="G5" s="156">
        <v>10920688.441861544</v>
      </c>
      <c r="H5" s="253">
        <v>0.03399</v>
      </c>
      <c r="I5" s="118">
        <f>PMT(H5,$C5,G5,0,0)*-1</f>
        <v>457141.86114201846</v>
      </c>
      <c r="J5" s="46"/>
      <c r="K5" s="47"/>
      <c r="O5" s="46"/>
      <c r="P5" s="47"/>
      <c r="Q5" s="48"/>
    </row>
    <row r="6" spans="3:17" ht="12.75">
      <c r="C6" s="45"/>
      <c r="D6" s="118"/>
      <c r="E6" s="253"/>
      <c r="F6" s="156"/>
      <c r="G6" s="156"/>
      <c r="H6" s="253"/>
      <c r="I6" s="118"/>
      <c r="J6" s="46"/>
      <c r="K6" s="47"/>
      <c r="L6" s="46"/>
      <c r="M6" s="47"/>
      <c r="N6" s="48"/>
      <c r="O6" s="46"/>
      <c r="P6" s="47"/>
      <c r="Q6" s="48"/>
    </row>
    <row r="7" spans="3:17" ht="12.75">
      <c r="C7" s="45"/>
      <c r="D7" s="118"/>
      <c r="E7" s="253"/>
      <c r="F7" s="156"/>
      <c r="G7" s="156"/>
      <c r="H7" s="253"/>
      <c r="I7" s="118"/>
      <c r="J7" s="46"/>
      <c r="K7" s="47"/>
      <c r="L7" s="46"/>
      <c r="M7" s="47"/>
      <c r="N7" s="48"/>
      <c r="O7" s="46"/>
      <c r="P7" s="47"/>
      <c r="Q7" s="48"/>
    </row>
    <row r="8" spans="1:17" ht="12.75">
      <c r="A8">
        <v>2</v>
      </c>
      <c r="B8" t="s">
        <v>271</v>
      </c>
      <c r="C8">
        <v>15</v>
      </c>
      <c r="D8" s="119">
        <v>531103.246</v>
      </c>
      <c r="E8" s="253">
        <v>0.03557</v>
      </c>
      <c r="F8" s="157">
        <f>PMT(E8,$C8,D8,0,0)*-1</f>
        <v>46300.20371346629</v>
      </c>
      <c r="G8" s="157">
        <v>544622.492</v>
      </c>
      <c r="H8" s="253">
        <v>0.03564</v>
      </c>
      <c r="I8" s="119">
        <f>PMT(H8,$C8,G8,0,0)*-1</f>
        <v>47502.37011520529</v>
      </c>
      <c r="J8" s="7"/>
      <c r="K8" s="47"/>
      <c r="L8" s="7"/>
      <c r="M8" s="47"/>
      <c r="N8" s="48"/>
      <c r="O8" s="7"/>
      <c r="P8" s="47"/>
      <c r="Q8" s="48"/>
    </row>
    <row r="9" spans="1:17" ht="12.75">
      <c r="A9">
        <v>3</v>
      </c>
      <c r="B9" t="s">
        <v>272</v>
      </c>
      <c r="C9" s="45">
        <f>C20</f>
        <v>18.293142686709025</v>
      </c>
      <c r="D9" s="119">
        <v>190585.05400000003</v>
      </c>
      <c r="E9" s="253">
        <v>0.016688</v>
      </c>
      <c r="F9" s="157">
        <f>PMT(E9,$C9,D9,0,0)*-1</f>
        <v>12175.44110794794</v>
      </c>
      <c r="G9" s="157">
        <v>199105.05400000003</v>
      </c>
      <c r="H9" s="253">
        <v>0.016283</v>
      </c>
      <c r="I9" s="119">
        <f>PMT(H9,F20,G9,0,0)*-1</f>
        <v>11034.802610918232</v>
      </c>
      <c r="J9" s="7"/>
      <c r="K9" s="47"/>
      <c r="L9" s="7"/>
      <c r="M9" s="47"/>
      <c r="N9" s="48"/>
      <c r="O9" s="7"/>
      <c r="P9" s="47"/>
      <c r="Q9" s="48"/>
    </row>
    <row r="10" spans="1:17" ht="12.75">
      <c r="A10">
        <v>4</v>
      </c>
      <c r="B10" t="s">
        <v>273</v>
      </c>
      <c r="C10" s="45">
        <f>C25</f>
        <v>44.17976060343498</v>
      </c>
      <c r="D10" s="118">
        <v>1859764</v>
      </c>
      <c r="E10" s="253">
        <v>0.02879</v>
      </c>
      <c r="F10" s="156">
        <f>PMT(E10,$C10,D10,0,0)*-1</f>
        <v>74923.50151836518</v>
      </c>
      <c r="G10" s="156">
        <v>1859764</v>
      </c>
      <c r="H10" s="253">
        <v>0.02879</v>
      </c>
      <c r="I10" s="118">
        <f>PMT(H10,F25,G10,0,0)*-1</f>
        <v>74908.35166243164</v>
      </c>
      <c r="J10" s="15"/>
      <c r="K10" s="47"/>
      <c r="L10" s="15"/>
      <c r="M10" s="47"/>
      <c r="N10" s="48"/>
      <c r="Q10" s="48"/>
    </row>
    <row r="11" spans="4:14" ht="12.75">
      <c r="D11" s="118"/>
      <c r="F11" s="118">
        <f>SUM(F8:F10)</f>
        <v>133399.14633977943</v>
      </c>
      <c r="G11" s="118"/>
      <c r="H11" s="8"/>
      <c r="I11" s="118">
        <f>SUM(I8:I10)</f>
        <v>133445.52438855515</v>
      </c>
      <c r="N11" s="48"/>
    </row>
    <row r="12" spans="4:9" ht="12.75">
      <c r="D12" s="118"/>
      <c r="F12" s="118"/>
      <c r="G12" s="118"/>
      <c r="I12" s="118"/>
    </row>
    <row r="13" spans="4:9" ht="12.75">
      <c r="D13" s="118"/>
      <c r="F13" s="118"/>
      <c r="G13" s="118"/>
      <c r="I13" s="118"/>
    </row>
    <row r="14" spans="3:9" ht="12.75">
      <c r="C14" t="s">
        <v>618</v>
      </c>
      <c r="D14" s="290" t="s">
        <v>261</v>
      </c>
      <c r="E14" s="22" t="s">
        <v>619</v>
      </c>
      <c r="F14" t="s">
        <v>618</v>
      </c>
      <c r="G14" s="290" t="s">
        <v>261</v>
      </c>
      <c r="H14" s="22" t="s">
        <v>619</v>
      </c>
      <c r="I14" s="118"/>
    </row>
    <row r="15" spans="3:11" ht="12.75">
      <c r="C15" s="290" t="s">
        <v>263</v>
      </c>
      <c r="D15" s="290" t="s">
        <v>264</v>
      </c>
      <c r="E15" s="22" t="s">
        <v>620</v>
      </c>
      <c r="F15" s="290" t="s">
        <v>263</v>
      </c>
      <c r="G15" s="290" t="s">
        <v>264</v>
      </c>
      <c r="H15" s="22" t="s">
        <v>620</v>
      </c>
      <c r="I15" s="118"/>
      <c r="J15" s="12"/>
      <c r="K15" s="12"/>
    </row>
    <row r="16" spans="2:9" ht="12.75">
      <c r="B16" s="22" t="s">
        <v>274</v>
      </c>
      <c r="C16" s="290" t="s">
        <v>267</v>
      </c>
      <c r="D16" s="44">
        <v>44104</v>
      </c>
      <c r="E16" s="22" t="s">
        <v>546</v>
      </c>
      <c r="F16" s="290" t="s">
        <v>267</v>
      </c>
      <c r="G16" s="44">
        <v>44469</v>
      </c>
      <c r="H16" s="22" t="s">
        <v>546</v>
      </c>
      <c r="I16" s="118"/>
    </row>
    <row r="17" spans="2:15" ht="12.75">
      <c r="B17" s="50" t="s">
        <v>275</v>
      </c>
      <c r="F17" s="119"/>
      <c r="G17" s="119"/>
      <c r="I17" s="119"/>
      <c r="J17" s="7"/>
      <c r="L17" s="7"/>
      <c r="O17" s="7"/>
    </row>
    <row r="18" spans="2:15" ht="12.75">
      <c r="B18" s="50" t="s">
        <v>276</v>
      </c>
      <c r="C18" s="51"/>
      <c r="D18" s="119"/>
      <c r="F18" s="119"/>
      <c r="G18" s="119"/>
      <c r="I18" s="119"/>
      <c r="J18" s="7"/>
      <c r="L18" s="7"/>
      <c r="O18" s="7"/>
    </row>
    <row r="19" spans="2:15" ht="12.75">
      <c r="B19" s="50" t="s">
        <v>277</v>
      </c>
      <c r="C19" s="51"/>
      <c r="D19" s="119"/>
      <c r="F19" s="119"/>
      <c r="G19" s="119"/>
      <c r="I19" s="119"/>
      <c r="J19" s="7"/>
      <c r="L19" s="7"/>
      <c r="O19" s="7"/>
    </row>
    <row r="20" spans="2:15" ht="12.75">
      <c r="B20" s="50" t="s">
        <v>278</v>
      </c>
      <c r="C20" s="158">
        <f>D20/E20</f>
        <v>18.293142686709025</v>
      </c>
      <c r="D20" s="119">
        <f>+D9</f>
        <v>190585.05400000003</v>
      </c>
      <c r="E20" s="23">
        <f>+Depreciation!E5</f>
        <v>10418.3877677</v>
      </c>
      <c r="F20" s="158">
        <f>G20/H20</f>
        <v>21.536669068132277</v>
      </c>
      <c r="G20" s="119">
        <f>+G9</f>
        <v>199105.05400000003</v>
      </c>
      <c r="H20" s="23">
        <f>+Depreciation!F5</f>
        <v>9244.9326017</v>
      </c>
      <c r="I20" s="126"/>
      <c r="J20" s="7"/>
      <c r="K20" s="23"/>
      <c r="L20" s="7"/>
      <c r="M20" s="23"/>
      <c r="N20" s="45"/>
      <c r="O20" s="15"/>
    </row>
    <row r="21" spans="2:9" ht="12.75">
      <c r="B21" s="52" t="s">
        <v>279</v>
      </c>
      <c r="C21" s="158"/>
      <c r="D21" s="118"/>
      <c r="F21" s="158"/>
      <c r="G21" s="118"/>
      <c r="I21" s="118"/>
    </row>
    <row r="22" spans="2:15" ht="12.75">
      <c r="B22" s="50" t="s">
        <v>280</v>
      </c>
      <c r="C22" s="159"/>
      <c r="D22" s="119"/>
      <c r="F22" s="158"/>
      <c r="G22" s="119"/>
      <c r="I22" s="119"/>
      <c r="J22" s="7"/>
      <c r="L22" s="7"/>
      <c r="O22" s="7"/>
    </row>
    <row r="23" spans="2:15" ht="12.75">
      <c r="B23" s="50" t="s">
        <v>281</v>
      </c>
      <c r="C23" s="159"/>
      <c r="D23" s="119"/>
      <c r="F23" s="158"/>
      <c r="G23" s="119"/>
      <c r="I23" s="119"/>
      <c r="J23" s="7"/>
      <c r="L23" s="7"/>
      <c r="O23" s="7"/>
    </row>
    <row r="24" spans="2:15" ht="12.75">
      <c r="B24" s="50" t="s">
        <v>282</v>
      </c>
      <c r="C24" s="159"/>
      <c r="D24" s="119"/>
      <c r="F24" s="158"/>
      <c r="G24" s="119"/>
      <c r="I24" s="119"/>
      <c r="J24" s="7"/>
      <c r="L24" s="7"/>
      <c r="O24" s="7"/>
    </row>
    <row r="25" spans="2:15" ht="12.75">
      <c r="B25" s="50" t="s">
        <v>283</v>
      </c>
      <c r="C25" s="158">
        <f>D25/E25</f>
        <v>44.17976060343498</v>
      </c>
      <c r="D25" s="118">
        <f>+D10</f>
        <v>1859764</v>
      </c>
      <c r="E25" s="23">
        <f>+Depreciation!E9+Depreciation!E10+Depreciation!E11</f>
        <v>42095.38428</v>
      </c>
      <c r="F25" s="158">
        <f>G25/H25</f>
        <v>44.19760895637247</v>
      </c>
      <c r="G25" s="118">
        <f>+G10</f>
        <v>1859764</v>
      </c>
      <c r="H25" s="23">
        <f>+Depreciation!F9+Depreciation!F10+Depreciation!F11</f>
        <v>42078.38487</v>
      </c>
      <c r="I25" s="118"/>
      <c r="J25" s="15"/>
      <c r="K25" s="23"/>
      <c r="L25" s="15"/>
      <c r="M25" s="23"/>
      <c r="N25" s="45"/>
      <c r="O25" s="15"/>
    </row>
    <row r="27" spans="4:16" ht="12.75">
      <c r="D27" s="15"/>
      <c r="E27" s="21"/>
      <c r="G27" s="15"/>
      <c r="H27" s="21"/>
      <c r="J27" s="15"/>
      <c r="K27" s="21"/>
      <c r="L27" s="15"/>
      <c r="M27" s="21"/>
      <c r="O27" s="15"/>
      <c r="P27" s="21"/>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AK155"/>
  <sheetViews>
    <sheetView zoomScale="85" zoomScaleNormal="85" workbookViewId="0" topLeftCell="A132">
      <selection activeCell="G151" sqref="G151"/>
    </sheetView>
  </sheetViews>
  <sheetFormatPr defaultColWidth="11.00390625" defaultRowHeight="12.75"/>
  <cols>
    <col min="1" max="1" width="7.57421875" style="165" customWidth="1"/>
    <col min="2" max="2" width="15.57421875" style="166" customWidth="1"/>
    <col min="3" max="3" width="16.421875" style="166" customWidth="1"/>
    <col min="4" max="4" width="16.00390625" style="166" customWidth="1"/>
    <col min="5" max="5" width="18.7109375" style="166" customWidth="1"/>
    <col min="6" max="6" width="19.00390625" style="166" customWidth="1"/>
    <col min="7" max="7" width="17.421875" style="166" customWidth="1"/>
    <col min="8" max="8" width="16.28125" style="166" customWidth="1"/>
    <col min="9" max="9" width="14.140625" style="166" customWidth="1"/>
    <col min="10" max="10" width="15.8515625" style="166" customWidth="1"/>
    <col min="11" max="11" width="19.140625" style="166" bestFit="1" customWidth="1"/>
    <col min="12" max="12" width="19.421875" style="181" customWidth="1"/>
    <col min="13" max="13" width="15.57421875" style="181" customWidth="1"/>
    <col min="14" max="14" width="14.140625" style="181" customWidth="1"/>
    <col min="15" max="15" width="11.00390625" style="181" customWidth="1"/>
    <col min="16" max="17" width="25.00390625" style="181" customWidth="1"/>
    <col min="18" max="18" width="1.8515625" style="166" customWidth="1"/>
    <col min="19" max="19" width="17.8515625" style="166" customWidth="1"/>
    <col min="20" max="20" width="1.8515625" style="166" customWidth="1"/>
    <col min="21" max="21" width="19.00390625" style="166" customWidth="1"/>
    <col min="22" max="22" width="1.8515625" style="166" customWidth="1"/>
    <col min="23" max="23" width="16.7109375" style="166" customWidth="1"/>
    <col min="24" max="24" width="1.8515625" style="166" customWidth="1"/>
    <col min="25" max="25" width="16.7109375" style="166" customWidth="1"/>
    <col min="26" max="26" width="1.8515625" style="166" customWidth="1"/>
    <col min="27" max="27" width="16.7109375" style="166" customWidth="1"/>
    <col min="28" max="28" width="1.8515625" style="166" customWidth="1"/>
    <col min="29" max="29" width="16.7109375" style="166" customWidth="1"/>
    <col min="30" max="30" width="1.8515625" style="166" customWidth="1"/>
    <col min="31" max="31" width="17.8515625" style="166" customWidth="1"/>
    <col min="32" max="32" width="5.28125" style="166" customWidth="1"/>
    <col min="33" max="33" width="16.7109375" style="166" customWidth="1"/>
    <col min="34" max="34" width="5.28125" style="166" customWidth="1"/>
    <col min="35" max="35" width="14.421875" style="166" customWidth="1"/>
    <col min="36" max="36" width="1.8515625" style="166" customWidth="1"/>
    <col min="37" max="37" width="16.7109375" style="166" customWidth="1"/>
    <col min="38" max="247" width="11.00390625" style="166" customWidth="1"/>
    <col min="248" max="248" width="7.57421875" style="166" customWidth="1"/>
    <col min="249" max="249" width="15.57421875" style="166" customWidth="1"/>
    <col min="250" max="250" width="20.140625" style="166" customWidth="1"/>
    <col min="251" max="251" width="2.28125" style="166" customWidth="1"/>
    <col min="252" max="252" width="17.421875" style="166" customWidth="1"/>
    <col min="253" max="253" width="1.8515625" style="166" customWidth="1"/>
    <col min="254" max="254" width="18.7109375" style="166" customWidth="1"/>
    <col min="255" max="255" width="1.8515625" style="166" customWidth="1"/>
    <col min="256" max="256" width="23.00390625" style="166" customWidth="1"/>
    <col min="257" max="257" width="1.8515625" style="166" customWidth="1"/>
    <col min="258" max="258" width="17.421875" style="166" customWidth="1"/>
    <col min="259" max="259" width="3.00390625" style="166" customWidth="1"/>
    <col min="260" max="260" width="16.28125" style="166" customWidth="1"/>
    <col min="261" max="261" width="3.00390625" style="166" customWidth="1"/>
    <col min="262" max="262" width="14.140625" style="166" customWidth="1"/>
    <col min="263" max="263" width="2.00390625" style="166" customWidth="1"/>
    <col min="264" max="264" width="15.8515625" style="166" customWidth="1"/>
    <col min="265" max="265" width="3.140625" style="166" customWidth="1"/>
    <col min="266" max="266" width="17.8515625" style="166" customWidth="1"/>
    <col min="267" max="267" width="2.57421875" style="166" customWidth="1"/>
    <col min="268" max="268" width="15.57421875" style="166" customWidth="1"/>
    <col min="269" max="269" width="1.8515625" style="166" customWidth="1"/>
    <col min="270" max="270" width="14.140625" style="166" customWidth="1"/>
    <col min="271" max="271" width="11.00390625" style="166" customWidth="1"/>
    <col min="272" max="273" width="25.00390625" style="166" customWidth="1"/>
    <col min="274" max="274" width="1.8515625" style="166" customWidth="1"/>
    <col min="275" max="275" width="17.8515625" style="166" customWidth="1"/>
    <col min="276" max="276" width="1.8515625" style="166" customWidth="1"/>
    <col min="277" max="277" width="19.00390625" style="166" customWidth="1"/>
    <col min="278" max="278" width="1.8515625" style="166" customWidth="1"/>
    <col min="279" max="279" width="16.7109375" style="166" customWidth="1"/>
    <col min="280" max="280" width="1.8515625" style="166" customWidth="1"/>
    <col min="281" max="281" width="16.7109375" style="166" customWidth="1"/>
    <col min="282" max="282" width="1.8515625" style="166" customWidth="1"/>
    <col min="283" max="283" width="16.7109375" style="166" customWidth="1"/>
    <col min="284" max="284" width="1.8515625" style="166" customWidth="1"/>
    <col min="285" max="285" width="16.7109375" style="166" customWidth="1"/>
    <col min="286" max="286" width="1.8515625" style="166" customWidth="1"/>
    <col min="287" max="287" width="17.8515625" style="166" customWidth="1"/>
    <col min="288" max="288" width="5.28125" style="166" customWidth="1"/>
    <col min="289" max="289" width="16.7109375" style="166" customWidth="1"/>
    <col min="290" max="290" width="5.28125" style="166" customWidth="1"/>
    <col min="291" max="291" width="14.421875" style="166" customWidth="1"/>
    <col min="292" max="292" width="1.8515625" style="166" customWidth="1"/>
    <col min="293" max="293" width="16.7109375" style="166" customWidth="1"/>
    <col min="294" max="503" width="11.00390625" style="166" customWidth="1"/>
    <col min="504" max="504" width="7.57421875" style="166" customWidth="1"/>
    <col min="505" max="505" width="15.57421875" style="166" customWidth="1"/>
    <col min="506" max="506" width="20.140625" style="166" customWidth="1"/>
    <col min="507" max="507" width="2.28125" style="166" customWidth="1"/>
    <col min="508" max="508" width="17.421875" style="166" customWidth="1"/>
    <col min="509" max="509" width="1.8515625" style="166" customWidth="1"/>
    <col min="510" max="510" width="18.7109375" style="166" customWidth="1"/>
    <col min="511" max="511" width="1.8515625" style="166" customWidth="1"/>
    <col min="512" max="512" width="23.00390625" style="166" customWidth="1"/>
    <col min="513" max="513" width="1.8515625" style="166" customWidth="1"/>
    <col min="514" max="514" width="17.421875" style="166" customWidth="1"/>
    <col min="515" max="515" width="3.00390625" style="166" customWidth="1"/>
    <col min="516" max="516" width="16.28125" style="166" customWidth="1"/>
    <col min="517" max="517" width="3.00390625" style="166" customWidth="1"/>
    <col min="518" max="518" width="14.140625" style="166" customWidth="1"/>
    <col min="519" max="519" width="2.00390625" style="166" customWidth="1"/>
    <col min="520" max="520" width="15.8515625" style="166" customWidth="1"/>
    <col min="521" max="521" width="3.140625" style="166" customWidth="1"/>
    <col min="522" max="522" width="17.8515625" style="166" customWidth="1"/>
    <col min="523" max="523" width="2.57421875" style="166" customWidth="1"/>
    <col min="524" max="524" width="15.57421875" style="166" customWidth="1"/>
    <col min="525" max="525" width="1.8515625" style="166" customWidth="1"/>
    <col min="526" max="526" width="14.140625" style="166" customWidth="1"/>
    <col min="527" max="527" width="11.00390625" style="166" customWidth="1"/>
    <col min="528" max="529" width="25.00390625" style="166" customWidth="1"/>
    <col min="530" max="530" width="1.8515625" style="166" customWidth="1"/>
    <col min="531" max="531" width="17.8515625" style="166" customWidth="1"/>
    <col min="532" max="532" width="1.8515625" style="166" customWidth="1"/>
    <col min="533" max="533" width="19.00390625" style="166" customWidth="1"/>
    <col min="534" max="534" width="1.8515625" style="166" customWidth="1"/>
    <col min="535" max="535" width="16.7109375" style="166" customWidth="1"/>
    <col min="536" max="536" width="1.8515625" style="166" customWidth="1"/>
    <col min="537" max="537" width="16.7109375" style="166" customWidth="1"/>
    <col min="538" max="538" width="1.8515625" style="166" customWidth="1"/>
    <col min="539" max="539" width="16.7109375" style="166" customWidth="1"/>
    <col min="540" max="540" width="1.8515625" style="166" customWidth="1"/>
    <col min="541" max="541" width="16.7109375" style="166" customWidth="1"/>
    <col min="542" max="542" width="1.8515625" style="166" customWidth="1"/>
    <col min="543" max="543" width="17.8515625" style="166" customWidth="1"/>
    <col min="544" max="544" width="5.28125" style="166" customWidth="1"/>
    <col min="545" max="545" width="16.7109375" style="166" customWidth="1"/>
    <col min="546" max="546" width="5.28125" style="166" customWidth="1"/>
    <col min="547" max="547" width="14.421875" style="166" customWidth="1"/>
    <col min="548" max="548" width="1.8515625" style="166" customWidth="1"/>
    <col min="549" max="549" width="16.7109375" style="166" customWidth="1"/>
    <col min="550" max="759" width="11.00390625" style="166" customWidth="1"/>
    <col min="760" max="760" width="7.57421875" style="166" customWidth="1"/>
    <col min="761" max="761" width="15.57421875" style="166" customWidth="1"/>
    <col min="762" max="762" width="20.140625" style="166" customWidth="1"/>
    <col min="763" max="763" width="2.28125" style="166" customWidth="1"/>
    <col min="764" max="764" width="17.421875" style="166" customWidth="1"/>
    <col min="765" max="765" width="1.8515625" style="166" customWidth="1"/>
    <col min="766" max="766" width="18.7109375" style="166" customWidth="1"/>
    <col min="767" max="767" width="1.8515625" style="166" customWidth="1"/>
    <col min="768" max="768" width="23.00390625" style="166" customWidth="1"/>
    <col min="769" max="769" width="1.8515625" style="166" customWidth="1"/>
    <col min="770" max="770" width="17.421875" style="166" customWidth="1"/>
    <col min="771" max="771" width="3.00390625" style="166" customWidth="1"/>
    <col min="772" max="772" width="16.28125" style="166" customWidth="1"/>
    <col min="773" max="773" width="3.00390625" style="166" customWidth="1"/>
    <col min="774" max="774" width="14.140625" style="166" customWidth="1"/>
    <col min="775" max="775" width="2.00390625" style="166" customWidth="1"/>
    <col min="776" max="776" width="15.8515625" style="166" customWidth="1"/>
    <col min="777" max="777" width="3.140625" style="166" customWidth="1"/>
    <col min="778" max="778" width="17.8515625" style="166" customWidth="1"/>
    <col min="779" max="779" width="2.57421875" style="166" customWidth="1"/>
    <col min="780" max="780" width="15.57421875" style="166" customWidth="1"/>
    <col min="781" max="781" width="1.8515625" style="166" customWidth="1"/>
    <col min="782" max="782" width="14.140625" style="166" customWidth="1"/>
    <col min="783" max="783" width="11.00390625" style="166" customWidth="1"/>
    <col min="784" max="785" width="25.00390625" style="166" customWidth="1"/>
    <col min="786" max="786" width="1.8515625" style="166" customWidth="1"/>
    <col min="787" max="787" width="17.8515625" style="166" customWidth="1"/>
    <col min="788" max="788" width="1.8515625" style="166" customWidth="1"/>
    <col min="789" max="789" width="19.00390625" style="166" customWidth="1"/>
    <col min="790" max="790" width="1.8515625" style="166" customWidth="1"/>
    <col min="791" max="791" width="16.7109375" style="166" customWidth="1"/>
    <col min="792" max="792" width="1.8515625" style="166" customWidth="1"/>
    <col min="793" max="793" width="16.7109375" style="166" customWidth="1"/>
    <col min="794" max="794" width="1.8515625" style="166" customWidth="1"/>
    <col min="795" max="795" width="16.7109375" style="166" customWidth="1"/>
    <col min="796" max="796" width="1.8515625" style="166" customWidth="1"/>
    <col min="797" max="797" width="16.7109375" style="166" customWidth="1"/>
    <col min="798" max="798" width="1.8515625" style="166" customWidth="1"/>
    <col min="799" max="799" width="17.8515625" style="166" customWidth="1"/>
    <col min="800" max="800" width="5.28125" style="166" customWidth="1"/>
    <col min="801" max="801" width="16.7109375" style="166" customWidth="1"/>
    <col min="802" max="802" width="5.28125" style="166" customWidth="1"/>
    <col min="803" max="803" width="14.421875" style="166" customWidth="1"/>
    <col min="804" max="804" width="1.8515625" style="166" customWidth="1"/>
    <col min="805" max="805" width="16.7109375" style="166" customWidth="1"/>
    <col min="806" max="1015" width="11.00390625" style="166" customWidth="1"/>
    <col min="1016" max="1016" width="7.57421875" style="166" customWidth="1"/>
    <col min="1017" max="1017" width="15.57421875" style="166" customWidth="1"/>
    <col min="1018" max="1018" width="20.140625" style="166" customWidth="1"/>
    <col min="1019" max="1019" width="2.28125" style="166" customWidth="1"/>
    <col min="1020" max="1020" width="17.421875" style="166" customWidth="1"/>
    <col min="1021" max="1021" width="1.8515625" style="166" customWidth="1"/>
    <col min="1022" max="1022" width="18.7109375" style="166" customWidth="1"/>
    <col min="1023" max="1023" width="1.8515625" style="166" customWidth="1"/>
    <col min="1024" max="1024" width="23.00390625" style="166" customWidth="1"/>
    <col min="1025" max="1025" width="1.8515625" style="166" customWidth="1"/>
    <col min="1026" max="1026" width="17.421875" style="166" customWidth="1"/>
    <col min="1027" max="1027" width="3.00390625" style="166" customWidth="1"/>
    <col min="1028" max="1028" width="16.28125" style="166" customWidth="1"/>
    <col min="1029" max="1029" width="3.00390625" style="166" customWidth="1"/>
    <col min="1030" max="1030" width="14.140625" style="166" customWidth="1"/>
    <col min="1031" max="1031" width="2.00390625" style="166" customWidth="1"/>
    <col min="1032" max="1032" width="15.8515625" style="166" customWidth="1"/>
    <col min="1033" max="1033" width="3.140625" style="166" customWidth="1"/>
    <col min="1034" max="1034" width="17.8515625" style="166" customWidth="1"/>
    <col min="1035" max="1035" width="2.57421875" style="166" customWidth="1"/>
    <col min="1036" max="1036" width="15.57421875" style="166" customWidth="1"/>
    <col min="1037" max="1037" width="1.8515625" style="166" customWidth="1"/>
    <col min="1038" max="1038" width="14.140625" style="166" customWidth="1"/>
    <col min="1039" max="1039" width="11.00390625" style="166" customWidth="1"/>
    <col min="1040" max="1041" width="25.00390625" style="166" customWidth="1"/>
    <col min="1042" max="1042" width="1.8515625" style="166" customWidth="1"/>
    <col min="1043" max="1043" width="17.8515625" style="166" customWidth="1"/>
    <col min="1044" max="1044" width="1.8515625" style="166" customWidth="1"/>
    <col min="1045" max="1045" width="19.00390625" style="166" customWidth="1"/>
    <col min="1046" max="1046" width="1.8515625" style="166" customWidth="1"/>
    <col min="1047" max="1047" width="16.7109375" style="166" customWidth="1"/>
    <col min="1048" max="1048" width="1.8515625" style="166" customWidth="1"/>
    <col min="1049" max="1049" width="16.7109375" style="166" customWidth="1"/>
    <col min="1050" max="1050" width="1.8515625" style="166" customWidth="1"/>
    <col min="1051" max="1051" width="16.7109375" style="166" customWidth="1"/>
    <col min="1052" max="1052" width="1.8515625" style="166" customWidth="1"/>
    <col min="1053" max="1053" width="16.7109375" style="166" customWidth="1"/>
    <col min="1054" max="1054" width="1.8515625" style="166" customWidth="1"/>
    <col min="1055" max="1055" width="17.8515625" style="166" customWidth="1"/>
    <col min="1056" max="1056" width="5.28125" style="166" customWidth="1"/>
    <col min="1057" max="1057" width="16.7109375" style="166" customWidth="1"/>
    <col min="1058" max="1058" width="5.28125" style="166" customWidth="1"/>
    <col min="1059" max="1059" width="14.421875" style="166" customWidth="1"/>
    <col min="1060" max="1060" width="1.8515625" style="166" customWidth="1"/>
    <col min="1061" max="1061" width="16.7109375" style="166" customWidth="1"/>
    <col min="1062" max="1271" width="11.00390625" style="166" customWidth="1"/>
    <col min="1272" max="1272" width="7.57421875" style="166" customWidth="1"/>
    <col min="1273" max="1273" width="15.57421875" style="166" customWidth="1"/>
    <col min="1274" max="1274" width="20.140625" style="166" customWidth="1"/>
    <col min="1275" max="1275" width="2.28125" style="166" customWidth="1"/>
    <col min="1276" max="1276" width="17.421875" style="166" customWidth="1"/>
    <col min="1277" max="1277" width="1.8515625" style="166" customWidth="1"/>
    <col min="1278" max="1278" width="18.7109375" style="166" customWidth="1"/>
    <col min="1279" max="1279" width="1.8515625" style="166" customWidth="1"/>
    <col min="1280" max="1280" width="23.00390625" style="166" customWidth="1"/>
    <col min="1281" max="1281" width="1.8515625" style="166" customWidth="1"/>
    <col min="1282" max="1282" width="17.421875" style="166" customWidth="1"/>
    <col min="1283" max="1283" width="3.00390625" style="166" customWidth="1"/>
    <col min="1284" max="1284" width="16.28125" style="166" customWidth="1"/>
    <col min="1285" max="1285" width="3.00390625" style="166" customWidth="1"/>
    <col min="1286" max="1286" width="14.140625" style="166" customWidth="1"/>
    <col min="1287" max="1287" width="2.00390625" style="166" customWidth="1"/>
    <col min="1288" max="1288" width="15.8515625" style="166" customWidth="1"/>
    <col min="1289" max="1289" width="3.140625" style="166" customWidth="1"/>
    <col min="1290" max="1290" width="17.8515625" style="166" customWidth="1"/>
    <col min="1291" max="1291" width="2.57421875" style="166" customWidth="1"/>
    <col min="1292" max="1292" width="15.57421875" style="166" customWidth="1"/>
    <col min="1293" max="1293" width="1.8515625" style="166" customWidth="1"/>
    <col min="1294" max="1294" width="14.140625" style="166" customWidth="1"/>
    <col min="1295" max="1295" width="11.00390625" style="166" customWidth="1"/>
    <col min="1296" max="1297" width="25.00390625" style="166" customWidth="1"/>
    <col min="1298" max="1298" width="1.8515625" style="166" customWidth="1"/>
    <col min="1299" max="1299" width="17.8515625" style="166" customWidth="1"/>
    <col min="1300" max="1300" width="1.8515625" style="166" customWidth="1"/>
    <col min="1301" max="1301" width="19.00390625" style="166" customWidth="1"/>
    <col min="1302" max="1302" width="1.8515625" style="166" customWidth="1"/>
    <col min="1303" max="1303" width="16.7109375" style="166" customWidth="1"/>
    <col min="1304" max="1304" width="1.8515625" style="166" customWidth="1"/>
    <col min="1305" max="1305" width="16.7109375" style="166" customWidth="1"/>
    <col min="1306" max="1306" width="1.8515625" style="166" customWidth="1"/>
    <col min="1307" max="1307" width="16.7109375" style="166" customWidth="1"/>
    <col min="1308" max="1308" width="1.8515625" style="166" customWidth="1"/>
    <col min="1309" max="1309" width="16.7109375" style="166" customWidth="1"/>
    <col min="1310" max="1310" width="1.8515625" style="166" customWidth="1"/>
    <col min="1311" max="1311" width="17.8515625" style="166" customWidth="1"/>
    <col min="1312" max="1312" width="5.28125" style="166" customWidth="1"/>
    <col min="1313" max="1313" width="16.7109375" style="166" customWidth="1"/>
    <col min="1314" max="1314" width="5.28125" style="166" customWidth="1"/>
    <col min="1315" max="1315" width="14.421875" style="166" customWidth="1"/>
    <col min="1316" max="1316" width="1.8515625" style="166" customWidth="1"/>
    <col min="1317" max="1317" width="16.7109375" style="166" customWidth="1"/>
    <col min="1318" max="1527" width="11.00390625" style="166" customWidth="1"/>
    <col min="1528" max="1528" width="7.57421875" style="166" customWidth="1"/>
    <col min="1529" max="1529" width="15.57421875" style="166" customWidth="1"/>
    <col min="1530" max="1530" width="20.140625" style="166" customWidth="1"/>
    <col min="1531" max="1531" width="2.28125" style="166" customWidth="1"/>
    <col min="1532" max="1532" width="17.421875" style="166" customWidth="1"/>
    <col min="1533" max="1533" width="1.8515625" style="166" customWidth="1"/>
    <col min="1534" max="1534" width="18.7109375" style="166" customWidth="1"/>
    <col min="1535" max="1535" width="1.8515625" style="166" customWidth="1"/>
    <col min="1536" max="1536" width="23.00390625" style="166" customWidth="1"/>
    <col min="1537" max="1537" width="1.8515625" style="166" customWidth="1"/>
    <col min="1538" max="1538" width="17.421875" style="166" customWidth="1"/>
    <col min="1539" max="1539" width="3.00390625" style="166" customWidth="1"/>
    <col min="1540" max="1540" width="16.28125" style="166" customWidth="1"/>
    <col min="1541" max="1541" width="3.00390625" style="166" customWidth="1"/>
    <col min="1542" max="1542" width="14.140625" style="166" customWidth="1"/>
    <col min="1543" max="1543" width="2.00390625" style="166" customWidth="1"/>
    <col min="1544" max="1544" width="15.8515625" style="166" customWidth="1"/>
    <col min="1545" max="1545" width="3.140625" style="166" customWidth="1"/>
    <col min="1546" max="1546" width="17.8515625" style="166" customWidth="1"/>
    <col min="1547" max="1547" width="2.57421875" style="166" customWidth="1"/>
    <col min="1548" max="1548" width="15.57421875" style="166" customWidth="1"/>
    <col min="1549" max="1549" width="1.8515625" style="166" customWidth="1"/>
    <col min="1550" max="1550" width="14.140625" style="166" customWidth="1"/>
    <col min="1551" max="1551" width="11.00390625" style="166" customWidth="1"/>
    <col min="1552" max="1553" width="25.00390625" style="166" customWidth="1"/>
    <col min="1554" max="1554" width="1.8515625" style="166" customWidth="1"/>
    <col min="1555" max="1555" width="17.8515625" style="166" customWidth="1"/>
    <col min="1556" max="1556" width="1.8515625" style="166" customWidth="1"/>
    <col min="1557" max="1557" width="19.00390625" style="166" customWidth="1"/>
    <col min="1558" max="1558" width="1.8515625" style="166" customWidth="1"/>
    <col min="1559" max="1559" width="16.7109375" style="166" customWidth="1"/>
    <col min="1560" max="1560" width="1.8515625" style="166" customWidth="1"/>
    <col min="1561" max="1561" width="16.7109375" style="166" customWidth="1"/>
    <col min="1562" max="1562" width="1.8515625" style="166" customWidth="1"/>
    <col min="1563" max="1563" width="16.7109375" style="166" customWidth="1"/>
    <col min="1564" max="1564" width="1.8515625" style="166" customWidth="1"/>
    <col min="1565" max="1565" width="16.7109375" style="166" customWidth="1"/>
    <col min="1566" max="1566" width="1.8515625" style="166" customWidth="1"/>
    <col min="1567" max="1567" width="17.8515625" style="166" customWidth="1"/>
    <col min="1568" max="1568" width="5.28125" style="166" customWidth="1"/>
    <col min="1569" max="1569" width="16.7109375" style="166" customWidth="1"/>
    <col min="1570" max="1570" width="5.28125" style="166" customWidth="1"/>
    <col min="1571" max="1571" width="14.421875" style="166" customWidth="1"/>
    <col min="1572" max="1572" width="1.8515625" style="166" customWidth="1"/>
    <col min="1573" max="1573" width="16.7109375" style="166" customWidth="1"/>
    <col min="1574" max="1783" width="11.00390625" style="166" customWidth="1"/>
    <col min="1784" max="1784" width="7.57421875" style="166" customWidth="1"/>
    <col min="1785" max="1785" width="15.57421875" style="166" customWidth="1"/>
    <col min="1786" max="1786" width="20.140625" style="166" customWidth="1"/>
    <col min="1787" max="1787" width="2.28125" style="166" customWidth="1"/>
    <col min="1788" max="1788" width="17.421875" style="166" customWidth="1"/>
    <col min="1789" max="1789" width="1.8515625" style="166" customWidth="1"/>
    <col min="1790" max="1790" width="18.7109375" style="166" customWidth="1"/>
    <col min="1791" max="1791" width="1.8515625" style="166" customWidth="1"/>
    <col min="1792" max="1792" width="23.00390625" style="166" customWidth="1"/>
    <col min="1793" max="1793" width="1.8515625" style="166" customWidth="1"/>
    <col min="1794" max="1794" width="17.421875" style="166" customWidth="1"/>
    <col min="1795" max="1795" width="3.00390625" style="166" customWidth="1"/>
    <col min="1796" max="1796" width="16.28125" style="166" customWidth="1"/>
    <col min="1797" max="1797" width="3.00390625" style="166" customWidth="1"/>
    <col min="1798" max="1798" width="14.140625" style="166" customWidth="1"/>
    <col min="1799" max="1799" width="2.00390625" style="166" customWidth="1"/>
    <col min="1800" max="1800" width="15.8515625" style="166" customWidth="1"/>
    <col min="1801" max="1801" width="3.140625" style="166" customWidth="1"/>
    <col min="1802" max="1802" width="17.8515625" style="166" customWidth="1"/>
    <col min="1803" max="1803" width="2.57421875" style="166" customWidth="1"/>
    <col min="1804" max="1804" width="15.57421875" style="166" customWidth="1"/>
    <col min="1805" max="1805" width="1.8515625" style="166" customWidth="1"/>
    <col min="1806" max="1806" width="14.140625" style="166" customWidth="1"/>
    <col min="1807" max="1807" width="11.00390625" style="166" customWidth="1"/>
    <col min="1808" max="1809" width="25.00390625" style="166" customWidth="1"/>
    <col min="1810" max="1810" width="1.8515625" style="166" customWidth="1"/>
    <col min="1811" max="1811" width="17.8515625" style="166" customWidth="1"/>
    <col min="1812" max="1812" width="1.8515625" style="166" customWidth="1"/>
    <col min="1813" max="1813" width="19.00390625" style="166" customWidth="1"/>
    <col min="1814" max="1814" width="1.8515625" style="166" customWidth="1"/>
    <col min="1815" max="1815" width="16.7109375" style="166" customWidth="1"/>
    <col min="1816" max="1816" width="1.8515625" style="166" customWidth="1"/>
    <col min="1817" max="1817" width="16.7109375" style="166" customWidth="1"/>
    <col min="1818" max="1818" width="1.8515625" style="166" customWidth="1"/>
    <col min="1819" max="1819" width="16.7109375" style="166" customWidth="1"/>
    <col min="1820" max="1820" width="1.8515625" style="166" customWidth="1"/>
    <col min="1821" max="1821" width="16.7109375" style="166" customWidth="1"/>
    <col min="1822" max="1822" width="1.8515625" style="166" customWidth="1"/>
    <col min="1823" max="1823" width="17.8515625" style="166" customWidth="1"/>
    <col min="1824" max="1824" width="5.28125" style="166" customWidth="1"/>
    <col min="1825" max="1825" width="16.7109375" style="166" customWidth="1"/>
    <col min="1826" max="1826" width="5.28125" style="166" customWidth="1"/>
    <col min="1827" max="1827" width="14.421875" style="166" customWidth="1"/>
    <col min="1828" max="1828" width="1.8515625" style="166" customWidth="1"/>
    <col min="1829" max="1829" width="16.7109375" style="166" customWidth="1"/>
    <col min="1830" max="2039" width="11.00390625" style="166" customWidth="1"/>
    <col min="2040" max="2040" width="7.57421875" style="166" customWidth="1"/>
    <col min="2041" max="2041" width="15.57421875" style="166" customWidth="1"/>
    <col min="2042" max="2042" width="20.140625" style="166" customWidth="1"/>
    <col min="2043" max="2043" width="2.28125" style="166" customWidth="1"/>
    <col min="2044" max="2044" width="17.421875" style="166" customWidth="1"/>
    <col min="2045" max="2045" width="1.8515625" style="166" customWidth="1"/>
    <col min="2046" max="2046" width="18.7109375" style="166" customWidth="1"/>
    <col min="2047" max="2047" width="1.8515625" style="166" customWidth="1"/>
    <col min="2048" max="2048" width="23.00390625" style="166" customWidth="1"/>
    <col min="2049" max="2049" width="1.8515625" style="166" customWidth="1"/>
    <col min="2050" max="2050" width="17.421875" style="166" customWidth="1"/>
    <col min="2051" max="2051" width="3.00390625" style="166" customWidth="1"/>
    <col min="2052" max="2052" width="16.28125" style="166" customWidth="1"/>
    <col min="2053" max="2053" width="3.00390625" style="166" customWidth="1"/>
    <col min="2054" max="2054" width="14.140625" style="166" customWidth="1"/>
    <col min="2055" max="2055" width="2.00390625" style="166" customWidth="1"/>
    <col min="2056" max="2056" width="15.8515625" style="166" customWidth="1"/>
    <col min="2057" max="2057" width="3.140625" style="166" customWidth="1"/>
    <col min="2058" max="2058" width="17.8515625" style="166" customWidth="1"/>
    <col min="2059" max="2059" width="2.57421875" style="166" customWidth="1"/>
    <col min="2060" max="2060" width="15.57421875" style="166" customWidth="1"/>
    <col min="2061" max="2061" width="1.8515625" style="166" customWidth="1"/>
    <col min="2062" max="2062" width="14.140625" style="166" customWidth="1"/>
    <col min="2063" max="2063" width="11.00390625" style="166" customWidth="1"/>
    <col min="2064" max="2065" width="25.00390625" style="166" customWidth="1"/>
    <col min="2066" max="2066" width="1.8515625" style="166" customWidth="1"/>
    <col min="2067" max="2067" width="17.8515625" style="166" customWidth="1"/>
    <col min="2068" max="2068" width="1.8515625" style="166" customWidth="1"/>
    <col min="2069" max="2069" width="19.00390625" style="166" customWidth="1"/>
    <col min="2070" max="2070" width="1.8515625" style="166" customWidth="1"/>
    <col min="2071" max="2071" width="16.7109375" style="166" customWidth="1"/>
    <col min="2072" max="2072" width="1.8515625" style="166" customWidth="1"/>
    <col min="2073" max="2073" width="16.7109375" style="166" customWidth="1"/>
    <col min="2074" max="2074" width="1.8515625" style="166" customWidth="1"/>
    <col min="2075" max="2075" width="16.7109375" style="166" customWidth="1"/>
    <col min="2076" max="2076" width="1.8515625" style="166" customWidth="1"/>
    <col min="2077" max="2077" width="16.7109375" style="166" customWidth="1"/>
    <col min="2078" max="2078" width="1.8515625" style="166" customWidth="1"/>
    <col min="2079" max="2079" width="17.8515625" style="166" customWidth="1"/>
    <col min="2080" max="2080" width="5.28125" style="166" customWidth="1"/>
    <col min="2081" max="2081" width="16.7109375" style="166" customWidth="1"/>
    <col min="2082" max="2082" width="5.28125" style="166" customWidth="1"/>
    <col min="2083" max="2083" width="14.421875" style="166" customWidth="1"/>
    <col min="2084" max="2084" width="1.8515625" style="166" customWidth="1"/>
    <col min="2085" max="2085" width="16.7109375" style="166" customWidth="1"/>
    <col min="2086" max="2295" width="11.00390625" style="166" customWidth="1"/>
    <col min="2296" max="2296" width="7.57421875" style="166" customWidth="1"/>
    <col min="2297" max="2297" width="15.57421875" style="166" customWidth="1"/>
    <col min="2298" max="2298" width="20.140625" style="166" customWidth="1"/>
    <col min="2299" max="2299" width="2.28125" style="166" customWidth="1"/>
    <col min="2300" max="2300" width="17.421875" style="166" customWidth="1"/>
    <col min="2301" max="2301" width="1.8515625" style="166" customWidth="1"/>
    <col min="2302" max="2302" width="18.7109375" style="166" customWidth="1"/>
    <col min="2303" max="2303" width="1.8515625" style="166" customWidth="1"/>
    <col min="2304" max="2304" width="23.00390625" style="166" customWidth="1"/>
    <col min="2305" max="2305" width="1.8515625" style="166" customWidth="1"/>
    <col min="2306" max="2306" width="17.421875" style="166" customWidth="1"/>
    <col min="2307" max="2307" width="3.00390625" style="166" customWidth="1"/>
    <col min="2308" max="2308" width="16.28125" style="166" customWidth="1"/>
    <col min="2309" max="2309" width="3.00390625" style="166" customWidth="1"/>
    <col min="2310" max="2310" width="14.140625" style="166" customWidth="1"/>
    <col min="2311" max="2311" width="2.00390625" style="166" customWidth="1"/>
    <col min="2312" max="2312" width="15.8515625" style="166" customWidth="1"/>
    <col min="2313" max="2313" width="3.140625" style="166" customWidth="1"/>
    <col min="2314" max="2314" width="17.8515625" style="166" customWidth="1"/>
    <col min="2315" max="2315" width="2.57421875" style="166" customWidth="1"/>
    <col min="2316" max="2316" width="15.57421875" style="166" customWidth="1"/>
    <col min="2317" max="2317" width="1.8515625" style="166" customWidth="1"/>
    <col min="2318" max="2318" width="14.140625" style="166" customWidth="1"/>
    <col min="2319" max="2319" width="11.00390625" style="166" customWidth="1"/>
    <col min="2320" max="2321" width="25.00390625" style="166" customWidth="1"/>
    <col min="2322" max="2322" width="1.8515625" style="166" customWidth="1"/>
    <col min="2323" max="2323" width="17.8515625" style="166" customWidth="1"/>
    <col min="2324" max="2324" width="1.8515625" style="166" customWidth="1"/>
    <col min="2325" max="2325" width="19.00390625" style="166" customWidth="1"/>
    <col min="2326" max="2326" width="1.8515625" style="166" customWidth="1"/>
    <col min="2327" max="2327" width="16.7109375" style="166" customWidth="1"/>
    <col min="2328" max="2328" width="1.8515625" style="166" customWidth="1"/>
    <col min="2329" max="2329" width="16.7109375" style="166" customWidth="1"/>
    <col min="2330" max="2330" width="1.8515625" style="166" customWidth="1"/>
    <col min="2331" max="2331" width="16.7109375" style="166" customWidth="1"/>
    <col min="2332" max="2332" width="1.8515625" style="166" customWidth="1"/>
    <col min="2333" max="2333" width="16.7109375" style="166" customWidth="1"/>
    <col min="2334" max="2334" width="1.8515625" style="166" customWidth="1"/>
    <col min="2335" max="2335" width="17.8515625" style="166" customWidth="1"/>
    <col min="2336" max="2336" width="5.28125" style="166" customWidth="1"/>
    <col min="2337" max="2337" width="16.7109375" style="166" customWidth="1"/>
    <col min="2338" max="2338" width="5.28125" style="166" customWidth="1"/>
    <col min="2339" max="2339" width="14.421875" style="166" customWidth="1"/>
    <col min="2340" max="2340" width="1.8515625" style="166" customWidth="1"/>
    <col min="2341" max="2341" width="16.7109375" style="166" customWidth="1"/>
    <col min="2342" max="2551" width="11.00390625" style="166" customWidth="1"/>
    <col min="2552" max="2552" width="7.57421875" style="166" customWidth="1"/>
    <col min="2553" max="2553" width="15.57421875" style="166" customWidth="1"/>
    <col min="2554" max="2554" width="20.140625" style="166" customWidth="1"/>
    <col min="2555" max="2555" width="2.28125" style="166" customWidth="1"/>
    <col min="2556" max="2556" width="17.421875" style="166" customWidth="1"/>
    <col min="2557" max="2557" width="1.8515625" style="166" customWidth="1"/>
    <col min="2558" max="2558" width="18.7109375" style="166" customWidth="1"/>
    <col min="2559" max="2559" width="1.8515625" style="166" customWidth="1"/>
    <col min="2560" max="2560" width="23.00390625" style="166" customWidth="1"/>
    <col min="2561" max="2561" width="1.8515625" style="166" customWidth="1"/>
    <col min="2562" max="2562" width="17.421875" style="166" customWidth="1"/>
    <col min="2563" max="2563" width="3.00390625" style="166" customWidth="1"/>
    <col min="2564" max="2564" width="16.28125" style="166" customWidth="1"/>
    <col min="2565" max="2565" width="3.00390625" style="166" customWidth="1"/>
    <col min="2566" max="2566" width="14.140625" style="166" customWidth="1"/>
    <col min="2567" max="2567" width="2.00390625" style="166" customWidth="1"/>
    <col min="2568" max="2568" width="15.8515625" style="166" customWidth="1"/>
    <col min="2569" max="2569" width="3.140625" style="166" customWidth="1"/>
    <col min="2570" max="2570" width="17.8515625" style="166" customWidth="1"/>
    <col min="2571" max="2571" width="2.57421875" style="166" customWidth="1"/>
    <col min="2572" max="2572" width="15.57421875" style="166" customWidth="1"/>
    <col min="2573" max="2573" width="1.8515625" style="166" customWidth="1"/>
    <col min="2574" max="2574" width="14.140625" style="166" customWidth="1"/>
    <col min="2575" max="2575" width="11.00390625" style="166" customWidth="1"/>
    <col min="2576" max="2577" width="25.00390625" style="166" customWidth="1"/>
    <col min="2578" max="2578" width="1.8515625" style="166" customWidth="1"/>
    <col min="2579" max="2579" width="17.8515625" style="166" customWidth="1"/>
    <col min="2580" max="2580" width="1.8515625" style="166" customWidth="1"/>
    <col min="2581" max="2581" width="19.00390625" style="166" customWidth="1"/>
    <col min="2582" max="2582" width="1.8515625" style="166" customWidth="1"/>
    <col min="2583" max="2583" width="16.7109375" style="166" customWidth="1"/>
    <col min="2584" max="2584" width="1.8515625" style="166" customWidth="1"/>
    <col min="2585" max="2585" width="16.7109375" style="166" customWidth="1"/>
    <col min="2586" max="2586" width="1.8515625" style="166" customWidth="1"/>
    <col min="2587" max="2587" width="16.7109375" style="166" customWidth="1"/>
    <col min="2588" max="2588" width="1.8515625" style="166" customWidth="1"/>
    <col min="2589" max="2589" width="16.7109375" style="166" customWidth="1"/>
    <col min="2590" max="2590" width="1.8515625" style="166" customWidth="1"/>
    <col min="2591" max="2591" width="17.8515625" style="166" customWidth="1"/>
    <col min="2592" max="2592" width="5.28125" style="166" customWidth="1"/>
    <col min="2593" max="2593" width="16.7109375" style="166" customWidth="1"/>
    <col min="2594" max="2594" width="5.28125" style="166" customWidth="1"/>
    <col min="2595" max="2595" width="14.421875" style="166" customWidth="1"/>
    <col min="2596" max="2596" width="1.8515625" style="166" customWidth="1"/>
    <col min="2597" max="2597" width="16.7109375" style="166" customWidth="1"/>
    <col min="2598" max="2807" width="11.00390625" style="166" customWidth="1"/>
    <col min="2808" max="2808" width="7.57421875" style="166" customWidth="1"/>
    <col min="2809" max="2809" width="15.57421875" style="166" customWidth="1"/>
    <col min="2810" max="2810" width="20.140625" style="166" customWidth="1"/>
    <col min="2811" max="2811" width="2.28125" style="166" customWidth="1"/>
    <col min="2812" max="2812" width="17.421875" style="166" customWidth="1"/>
    <col min="2813" max="2813" width="1.8515625" style="166" customWidth="1"/>
    <col min="2814" max="2814" width="18.7109375" style="166" customWidth="1"/>
    <col min="2815" max="2815" width="1.8515625" style="166" customWidth="1"/>
    <col min="2816" max="2816" width="23.00390625" style="166" customWidth="1"/>
    <col min="2817" max="2817" width="1.8515625" style="166" customWidth="1"/>
    <col min="2818" max="2818" width="17.421875" style="166" customWidth="1"/>
    <col min="2819" max="2819" width="3.00390625" style="166" customWidth="1"/>
    <col min="2820" max="2820" width="16.28125" style="166" customWidth="1"/>
    <col min="2821" max="2821" width="3.00390625" style="166" customWidth="1"/>
    <col min="2822" max="2822" width="14.140625" style="166" customWidth="1"/>
    <col min="2823" max="2823" width="2.00390625" style="166" customWidth="1"/>
    <col min="2824" max="2824" width="15.8515625" style="166" customWidth="1"/>
    <col min="2825" max="2825" width="3.140625" style="166" customWidth="1"/>
    <col min="2826" max="2826" width="17.8515625" style="166" customWidth="1"/>
    <col min="2827" max="2827" width="2.57421875" style="166" customWidth="1"/>
    <col min="2828" max="2828" width="15.57421875" style="166" customWidth="1"/>
    <col min="2829" max="2829" width="1.8515625" style="166" customWidth="1"/>
    <col min="2830" max="2830" width="14.140625" style="166" customWidth="1"/>
    <col min="2831" max="2831" width="11.00390625" style="166" customWidth="1"/>
    <col min="2832" max="2833" width="25.00390625" style="166" customWidth="1"/>
    <col min="2834" max="2834" width="1.8515625" style="166" customWidth="1"/>
    <col min="2835" max="2835" width="17.8515625" style="166" customWidth="1"/>
    <col min="2836" max="2836" width="1.8515625" style="166" customWidth="1"/>
    <col min="2837" max="2837" width="19.00390625" style="166" customWidth="1"/>
    <col min="2838" max="2838" width="1.8515625" style="166" customWidth="1"/>
    <col min="2839" max="2839" width="16.7109375" style="166" customWidth="1"/>
    <col min="2840" max="2840" width="1.8515625" style="166" customWidth="1"/>
    <col min="2841" max="2841" width="16.7109375" style="166" customWidth="1"/>
    <col min="2842" max="2842" width="1.8515625" style="166" customWidth="1"/>
    <col min="2843" max="2843" width="16.7109375" style="166" customWidth="1"/>
    <col min="2844" max="2844" width="1.8515625" style="166" customWidth="1"/>
    <col min="2845" max="2845" width="16.7109375" style="166" customWidth="1"/>
    <col min="2846" max="2846" width="1.8515625" style="166" customWidth="1"/>
    <col min="2847" max="2847" width="17.8515625" style="166" customWidth="1"/>
    <col min="2848" max="2848" width="5.28125" style="166" customWidth="1"/>
    <col min="2849" max="2849" width="16.7109375" style="166" customWidth="1"/>
    <col min="2850" max="2850" width="5.28125" style="166" customWidth="1"/>
    <col min="2851" max="2851" width="14.421875" style="166" customWidth="1"/>
    <col min="2852" max="2852" width="1.8515625" style="166" customWidth="1"/>
    <col min="2853" max="2853" width="16.7109375" style="166" customWidth="1"/>
    <col min="2854" max="3063" width="11.00390625" style="166" customWidth="1"/>
    <col min="3064" max="3064" width="7.57421875" style="166" customWidth="1"/>
    <col min="3065" max="3065" width="15.57421875" style="166" customWidth="1"/>
    <col min="3066" max="3066" width="20.140625" style="166" customWidth="1"/>
    <col min="3067" max="3067" width="2.28125" style="166" customWidth="1"/>
    <col min="3068" max="3068" width="17.421875" style="166" customWidth="1"/>
    <col min="3069" max="3069" width="1.8515625" style="166" customWidth="1"/>
    <col min="3070" max="3070" width="18.7109375" style="166" customWidth="1"/>
    <col min="3071" max="3071" width="1.8515625" style="166" customWidth="1"/>
    <col min="3072" max="3072" width="23.00390625" style="166" customWidth="1"/>
    <col min="3073" max="3073" width="1.8515625" style="166" customWidth="1"/>
    <col min="3074" max="3074" width="17.421875" style="166" customWidth="1"/>
    <col min="3075" max="3075" width="3.00390625" style="166" customWidth="1"/>
    <col min="3076" max="3076" width="16.28125" style="166" customWidth="1"/>
    <col min="3077" max="3077" width="3.00390625" style="166" customWidth="1"/>
    <col min="3078" max="3078" width="14.140625" style="166" customWidth="1"/>
    <col min="3079" max="3079" width="2.00390625" style="166" customWidth="1"/>
    <col min="3080" max="3080" width="15.8515625" style="166" customWidth="1"/>
    <col min="3081" max="3081" width="3.140625" style="166" customWidth="1"/>
    <col min="3082" max="3082" width="17.8515625" style="166" customWidth="1"/>
    <col min="3083" max="3083" width="2.57421875" style="166" customWidth="1"/>
    <col min="3084" max="3084" width="15.57421875" style="166" customWidth="1"/>
    <col min="3085" max="3085" width="1.8515625" style="166" customWidth="1"/>
    <col min="3086" max="3086" width="14.140625" style="166" customWidth="1"/>
    <col min="3087" max="3087" width="11.00390625" style="166" customWidth="1"/>
    <col min="3088" max="3089" width="25.00390625" style="166" customWidth="1"/>
    <col min="3090" max="3090" width="1.8515625" style="166" customWidth="1"/>
    <col min="3091" max="3091" width="17.8515625" style="166" customWidth="1"/>
    <col min="3092" max="3092" width="1.8515625" style="166" customWidth="1"/>
    <col min="3093" max="3093" width="19.00390625" style="166" customWidth="1"/>
    <col min="3094" max="3094" width="1.8515625" style="166" customWidth="1"/>
    <col min="3095" max="3095" width="16.7109375" style="166" customWidth="1"/>
    <col min="3096" max="3096" width="1.8515625" style="166" customWidth="1"/>
    <col min="3097" max="3097" width="16.7109375" style="166" customWidth="1"/>
    <col min="3098" max="3098" width="1.8515625" style="166" customWidth="1"/>
    <col min="3099" max="3099" width="16.7109375" style="166" customWidth="1"/>
    <col min="3100" max="3100" width="1.8515625" style="166" customWidth="1"/>
    <col min="3101" max="3101" width="16.7109375" style="166" customWidth="1"/>
    <col min="3102" max="3102" width="1.8515625" style="166" customWidth="1"/>
    <col min="3103" max="3103" width="17.8515625" style="166" customWidth="1"/>
    <col min="3104" max="3104" width="5.28125" style="166" customWidth="1"/>
    <col min="3105" max="3105" width="16.7109375" style="166" customWidth="1"/>
    <col min="3106" max="3106" width="5.28125" style="166" customWidth="1"/>
    <col min="3107" max="3107" width="14.421875" style="166" customWidth="1"/>
    <col min="3108" max="3108" width="1.8515625" style="166" customWidth="1"/>
    <col min="3109" max="3109" width="16.7109375" style="166" customWidth="1"/>
    <col min="3110" max="3319" width="11.00390625" style="166" customWidth="1"/>
    <col min="3320" max="3320" width="7.57421875" style="166" customWidth="1"/>
    <col min="3321" max="3321" width="15.57421875" style="166" customWidth="1"/>
    <col min="3322" max="3322" width="20.140625" style="166" customWidth="1"/>
    <col min="3323" max="3323" width="2.28125" style="166" customWidth="1"/>
    <col min="3324" max="3324" width="17.421875" style="166" customWidth="1"/>
    <col min="3325" max="3325" width="1.8515625" style="166" customWidth="1"/>
    <col min="3326" max="3326" width="18.7109375" style="166" customWidth="1"/>
    <col min="3327" max="3327" width="1.8515625" style="166" customWidth="1"/>
    <col min="3328" max="3328" width="23.00390625" style="166" customWidth="1"/>
    <col min="3329" max="3329" width="1.8515625" style="166" customWidth="1"/>
    <col min="3330" max="3330" width="17.421875" style="166" customWidth="1"/>
    <col min="3331" max="3331" width="3.00390625" style="166" customWidth="1"/>
    <col min="3332" max="3332" width="16.28125" style="166" customWidth="1"/>
    <col min="3333" max="3333" width="3.00390625" style="166" customWidth="1"/>
    <col min="3334" max="3334" width="14.140625" style="166" customWidth="1"/>
    <col min="3335" max="3335" width="2.00390625" style="166" customWidth="1"/>
    <col min="3336" max="3336" width="15.8515625" style="166" customWidth="1"/>
    <col min="3337" max="3337" width="3.140625" style="166" customWidth="1"/>
    <col min="3338" max="3338" width="17.8515625" style="166" customWidth="1"/>
    <col min="3339" max="3339" width="2.57421875" style="166" customWidth="1"/>
    <col min="3340" max="3340" width="15.57421875" style="166" customWidth="1"/>
    <col min="3341" max="3341" width="1.8515625" style="166" customWidth="1"/>
    <col min="3342" max="3342" width="14.140625" style="166" customWidth="1"/>
    <col min="3343" max="3343" width="11.00390625" style="166" customWidth="1"/>
    <col min="3344" max="3345" width="25.00390625" style="166" customWidth="1"/>
    <col min="3346" max="3346" width="1.8515625" style="166" customWidth="1"/>
    <col min="3347" max="3347" width="17.8515625" style="166" customWidth="1"/>
    <col min="3348" max="3348" width="1.8515625" style="166" customWidth="1"/>
    <col min="3349" max="3349" width="19.00390625" style="166" customWidth="1"/>
    <col min="3350" max="3350" width="1.8515625" style="166" customWidth="1"/>
    <col min="3351" max="3351" width="16.7109375" style="166" customWidth="1"/>
    <col min="3352" max="3352" width="1.8515625" style="166" customWidth="1"/>
    <col min="3353" max="3353" width="16.7109375" style="166" customWidth="1"/>
    <col min="3354" max="3354" width="1.8515625" style="166" customWidth="1"/>
    <col min="3355" max="3355" width="16.7109375" style="166" customWidth="1"/>
    <col min="3356" max="3356" width="1.8515625" style="166" customWidth="1"/>
    <col min="3357" max="3357" width="16.7109375" style="166" customWidth="1"/>
    <col min="3358" max="3358" width="1.8515625" style="166" customWidth="1"/>
    <col min="3359" max="3359" width="17.8515625" style="166" customWidth="1"/>
    <col min="3360" max="3360" width="5.28125" style="166" customWidth="1"/>
    <col min="3361" max="3361" width="16.7109375" style="166" customWidth="1"/>
    <col min="3362" max="3362" width="5.28125" style="166" customWidth="1"/>
    <col min="3363" max="3363" width="14.421875" style="166" customWidth="1"/>
    <col min="3364" max="3364" width="1.8515625" style="166" customWidth="1"/>
    <col min="3365" max="3365" width="16.7109375" style="166" customWidth="1"/>
    <col min="3366" max="3575" width="11.00390625" style="166" customWidth="1"/>
    <col min="3576" max="3576" width="7.57421875" style="166" customWidth="1"/>
    <col min="3577" max="3577" width="15.57421875" style="166" customWidth="1"/>
    <col min="3578" max="3578" width="20.140625" style="166" customWidth="1"/>
    <col min="3579" max="3579" width="2.28125" style="166" customWidth="1"/>
    <col min="3580" max="3580" width="17.421875" style="166" customWidth="1"/>
    <col min="3581" max="3581" width="1.8515625" style="166" customWidth="1"/>
    <col min="3582" max="3582" width="18.7109375" style="166" customWidth="1"/>
    <col min="3583" max="3583" width="1.8515625" style="166" customWidth="1"/>
    <col min="3584" max="3584" width="23.00390625" style="166" customWidth="1"/>
    <col min="3585" max="3585" width="1.8515625" style="166" customWidth="1"/>
    <col min="3586" max="3586" width="17.421875" style="166" customWidth="1"/>
    <col min="3587" max="3587" width="3.00390625" style="166" customWidth="1"/>
    <col min="3588" max="3588" width="16.28125" style="166" customWidth="1"/>
    <col min="3589" max="3589" width="3.00390625" style="166" customWidth="1"/>
    <col min="3590" max="3590" width="14.140625" style="166" customWidth="1"/>
    <col min="3591" max="3591" width="2.00390625" style="166" customWidth="1"/>
    <col min="3592" max="3592" width="15.8515625" style="166" customWidth="1"/>
    <col min="3593" max="3593" width="3.140625" style="166" customWidth="1"/>
    <col min="3594" max="3594" width="17.8515625" style="166" customWidth="1"/>
    <col min="3595" max="3595" width="2.57421875" style="166" customWidth="1"/>
    <col min="3596" max="3596" width="15.57421875" style="166" customWidth="1"/>
    <col min="3597" max="3597" width="1.8515625" style="166" customWidth="1"/>
    <col min="3598" max="3598" width="14.140625" style="166" customWidth="1"/>
    <col min="3599" max="3599" width="11.00390625" style="166" customWidth="1"/>
    <col min="3600" max="3601" width="25.00390625" style="166" customWidth="1"/>
    <col min="3602" max="3602" width="1.8515625" style="166" customWidth="1"/>
    <col min="3603" max="3603" width="17.8515625" style="166" customWidth="1"/>
    <col min="3604" max="3604" width="1.8515625" style="166" customWidth="1"/>
    <col min="3605" max="3605" width="19.00390625" style="166" customWidth="1"/>
    <col min="3606" max="3606" width="1.8515625" style="166" customWidth="1"/>
    <col min="3607" max="3607" width="16.7109375" style="166" customWidth="1"/>
    <col min="3608" max="3608" width="1.8515625" style="166" customWidth="1"/>
    <col min="3609" max="3609" width="16.7109375" style="166" customWidth="1"/>
    <col min="3610" max="3610" width="1.8515625" style="166" customWidth="1"/>
    <col min="3611" max="3611" width="16.7109375" style="166" customWidth="1"/>
    <col min="3612" max="3612" width="1.8515625" style="166" customWidth="1"/>
    <col min="3613" max="3613" width="16.7109375" style="166" customWidth="1"/>
    <col min="3614" max="3614" width="1.8515625" style="166" customWidth="1"/>
    <col min="3615" max="3615" width="17.8515625" style="166" customWidth="1"/>
    <col min="3616" max="3616" width="5.28125" style="166" customWidth="1"/>
    <col min="3617" max="3617" width="16.7109375" style="166" customWidth="1"/>
    <col min="3618" max="3618" width="5.28125" style="166" customWidth="1"/>
    <col min="3619" max="3619" width="14.421875" style="166" customWidth="1"/>
    <col min="3620" max="3620" width="1.8515625" style="166" customWidth="1"/>
    <col min="3621" max="3621" width="16.7109375" style="166" customWidth="1"/>
    <col min="3622" max="3831" width="11.00390625" style="166" customWidth="1"/>
    <col min="3832" max="3832" width="7.57421875" style="166" customWidth="1"/>
    <col min="3833" max="3833" width="15.57421875" style="166" customWidth="1"/>
    <col min="3834" max="3834" width="20.140625" style="166" customWidth="1"/>
    <col min="3835" max="3835" width="2.28125" style="166" customWidth="1"/>
    <col min="3836" max="3836" width="17.421875" style="166" customWidth="1"/>
    <col min="3837" max="3837" width="1.8515625" style="166" customWidth="1"/>
    <col min="3838" max="3838" width="18.7109375" style="166" customWidth="1"/>
    <col min="3839" max="3839" width="1.8515625" style="166" customWidth="1"/>
    <col min="3840" max="3840" width="23.00390625" style="166" customWidth="1"/>
    <col min="3841" max="3841" width="1.8515625" style="166" customWidth="1"/>
    <col min="3842" max="3842" width="17.421875" style="166" customWidth="1"/>
    <col min="3843" max="3843" width="3.00390625" style="166" customWidth="1"/>
    <col min="3844" max="3844" width="16.28125" style="166" customWidth="1"/>
    <col min="3845" max="3845" width="3.00390625" style="166" customWidth="1"/>
    <col min="3846" max="3846" width="14.140625" style="166" customWidth="1"/>
    <col min="3847" max="3847" width="2.00390625" style="166" customWidth="1"/>
    <col min="3848" max="3848" width="15.8515625" style="166" customWidth="1"/>
    <col min="3849" max="3849" width="3.140625" style="166" customWidth="1"/>
    <col min="3850" max="3850" width="17.8515625" style="166" customWidth="1"/>
    <col min="3851" max="3851" width="2.57421875" style="166" customWidth="1"/>
    <col min="3852" max="3852" width="15.57421875" style="166" customWidth="1"/>
    <col min="3853" max="3853" width="1.8515625" style="166" customWidth="1"/>
    <col min="3854" max="3854" width="14.140625" style="166" customWidth="1"/>
    <col min="3855" max="3855" width="11.00390625" style="166" customWidth="1"/>
    <col min="3856" max="3857" width="25.00390625" style="166" customWidth="1"/>
    <col min="3858" max="3858" width="1.8515625" style="166" customWidth="1"/>
    <col min="3859" max="3859" width="17.8515625" style="166" customWidth="1"/>
    <col min="3860" max="3860" width="1.8515625" style="166" customWidth="1"/>
    <col min="3861" max="3861" width="19.00390625" style="166" customWidth="1"/>
    <col min="3862" max="3862" width="1.8515625" style="166" customWidth="1"/>
    <col min="3863" max="3863" width="16.7109375" style="166" customWidth="1"/>
    <col min="3864" max="3864" width="1.8515625" style="166" customWidth="1"/>
    <col min="3865" max="3865" width="16.7109375" style="166" customWidth="1"/>
    <col min="3866" max="3866" width="1.8515625" style="166" customWidth="1"/>
    <col min="3867" max="3867" width="16.7109375" style="166" customWidth="1"/>
    <col min="3868" max="3868" width="1.8515625" style="166" customWidth="1"/>
    <col min="3869" max="3869" width="16.7109375" style="166" customWidth="1"/>
    <col min="3870" max="3870" width="1.8515625" style="166" customWidth="1"/>
    <col min="3871" max="3871" width="17.8515625" style="166" customWidth="1"/>
    <col min="3872" max="3872" width="5.28125" style="166" customWidth="1"/>
    <col min="3873" max="3873" width="16.7109375" style="166" customWidth="1"/>
    <col min="3874" max="3874" width="5.28125" style="166" customWidth="1"/>
    <col min="3875" max="3875" width="14.421875" style="166" customWidth="1"/>
    <col min="3876" max="3876" width="1.8515625" style="166" customWidth="1"/>
    <col min="3877" max="3877" width="16.7109375" style="166" customWidth="1"/>
    <col min="3878" max="4087" width="11.00390625" style="166" customWidth="1"/>
    <col min="4088" max="4088" width="7.57421875" style="166" customWidth="1"/>
    <col min="4089" max="4089" width="15.57421875" style="166" customWidth="1"/>
    <col min="4090" max="4090" width="20.140625" style="166" customWidth="1"/>
    <col min="4091" max="4091" width="2.28125" style="166" customWidth="1"/>
    <col min="4092" max="4092" width="17.421875" style="166" customWidth="1"/>
    <col min="4093" max="4093" width="1.8515625" style="166" customWidth="1"/>
    <col min="4094" max="4094" width="18.7109375" style="166" customWidth="1"/>
    <col min="4095" max="4095" width="1.8515625" style="166" customWidth="1"/>
    <col min="4096" max="4096" width="23.00390625" style="166" customWidth="1"/>
    <col min="4097" max="4097" width="1.8515625" style="166" customWidth="1"/>
    <col min="4098" max="4098" width="17.421875" style="166" customWidth="1"/>
    <col min="4099" max="4099" width="3.00390625" style="166" customWidth="1"/>
    <col min="4100" max="4100" width="16.28125" style="166" customWidth="1"/>
    <col min="4101" max="4101" width="3.00390625" style="166" customWidth="1"/>
    <col min="4102" max="4102" width="14.140625" style="166" customWidth="1"/>
    <col min="4103" max="4103" width="2.00390625" style="166" customWidth="1"/>
    <col min="4104" max="4104" width="15.8515625" style="166" customWidth="1"/>
    <col min="4105" max="4105" width="3.140625" style="166" customWidth="1"/>
    <col min="4106" max="4106" width="17.8515625" style="166" customWidth="1"/>
    <col min="4107" max="4107" width="2.57421875" style="166" customWidth="1"/>
    <col min="4108" max="4108" width="15.57421875" style="166" customWidth="1"/>
    <col min="4109" max="4109" width="1.8515625" style="166" customWidth="1"/>
    <col min="4110" max="4110" width="14.140625" style="166" customWidth="1"/>
    <col min="4111" max="4111" width="11.00390625" style="166" customWidth="1"/>
    <col min="4112" max="4113" width="25.00390625" style="166" customWidth="1"/>
    <col min="4114" max="4114" width="1.8515625" style="166" customWidth="1"/>
    <col min="4115" max="4115" width="17.8515625" style="166" customWidth="1"/>
    <col min="4116" max="4116" width="1.8515625" style="166" customWidth="1"/>
    <col min="4117" max="4117" width="19.00390625" style="166" customWidth="1"/>
    <col min="4118" max="4118" width="1.8515625" style="166" customWidth="1"/>
    <col min="4119" max="4119" width="16.7109375" style="166" customWidth="1"/>
    <col min="4120" max="4120" width="1.8515625" style="166" customWidth="1"/>
    <col min="4121" max="4121" width="16.7109375" style="166" customWidth="1"/>
    <col min="4122" max="4122" width="1.8515625" style="166" customWidth="1"/>
    <col min="4123" max="4123" width="16.7109375" style="166" customWidth="1"/>
    <col min="4124" max="4124" width="1.8515625" style="166" customWidth="1"/>
    <col min="4125" max="4125" width="16.7109375" style="166" customWidth="1"/>
    <col min="4126" max="4126" width="1.8515625" style="166" customWidth="1"/>
    <col min="4127" max="4127" width="17.8515625" style="166" customWidth="1"/>
    <col min="4128" max="4128" width="5.28125" style="166" customWidth="1"/>
    <col min="4129" max="4129" width="16.7109375" style="166" customWidth="1"/>
    <col min="4130" max="4130" width="5.28125" style="166" customWidth="1"/>
    <col min="4131" max="4131" width="14.421875" style="166" customWidth="1"/>
    <col min="4132" max="4132" width="1.8515625" style="166" customWidth="1"/>
    <col min="4133" max="4133" width="16.7109375" style="166" customWidth="1"/>
    <col min="4134" max="4343" width="11.00390625" style="166" customWidth="1"/>
    <col min="4344" max="4344" width="7.57421875" style="166" customWidth="1"/>
    <col min="4345" max="4345" width="15.57421875" style="166" customWidth="1"/>
    <col min="4346" max="4346" width="20.140625" style="166" customWidth="1"/>
    <col min="4347" max="4347" width="2.28125" style="166" customWidth="1"/>
    <col min="4348" max="4348" width="17.421875" style="166" customWidth="1"/>
    <col min="4349" max="4349" width="1.8515625" style="166" customWidth="1"/>
    <col min="4350" max="4350" width="18.7109375" style="166" customWidth="1"/>
    <col min="4351" max="4351" width="1.8515625" style="166" customWidth="1"/>
    <col min="4352" max="4352" width="23.00390625" style="166" customWidth="1"/>
    <col min="4353" max="4353" width="1.8515625" style="166" customWidth="1"/>
    <col min="4354" max="4354" width="17.421875" style="166" customWidth="1"/>
    <col min="4355" max="4355" width="3.00390625" style="166" customWidth="1"/>
    <col min="4356" max="4356" width="16.28125" style="166" customWidth="1"/>
    <col min="4357" max="4357" width="3.00390625" style="166" customWidth="1"/>
    <col min="4358" max="4358" width="14.140625" style="166" customWidth="1"/>
    <col min="4359" max="4359" width="2.00390625" style="166" customWidth="1"/>
    <col min="4360" max="4360" width="15.8515625" style="166" customWidth="1"/>
    <col min="4361" max="4361" width="3.140625" style="166" customWidth="1"/>
    <col min="4362" max="4362" width="17.8515625" style="166" customWidth="1"/>
    <col min="4363" max="4363" width="2.57421875" style="166" customWidth="1"/>
    <col min="4364" max="4364" width="15.57421875" style="166" customWidth="1"/>
    <col min="4365" max="4365" width="1.8515625" style="166" customWidth="1"/>
    <col min="4366" max="4366" width="14.140625" style="166" customWidth="1"/>
    <col min="4367" max="4367" width="11.00390625" style="166" customWidth="1"/>
    <col min="4368" max="4369" width="25.00390625" style="166" customWidth="1"/>
    <col min="4370" max="4370" width="1.8515625" style="166" customWidth="1"/>
    <col min="4371" max="4371" width="17.8515625" style="166" customWidth="1"/>
    <col min="4372" max="4372" width="1.8515625" style="166" customWidth="1"/>
    <col min="4373" max="4373" width="19.00390625" style="166" customWidth="1"/>
    <col min="4374" max="4374" width="1.8515625" style="166" customWidth="1"/>
    <col min="4375" max="4375" width="16.7109375" style="166" customWidth="1"/>
    <col min="4376" max="4376" width="1.8515625" style="166" customWidth="1"/>
    <col min="4377" max="4377" width="16.7109375" style="166" customWidth="1"/>
    <col min="4378" max="4378" width="1.8515625" style="166" customWidth="1"/>
    <col min="4379" max="4379" width="16.7109375" style="166" customWidth="1"/>
    <col min="4380" max="4380" width="1.8515625" style="166" customWidth="1"/>
    <col min="4381" max="4381" width="16.7109375" style="166" customWidth="1"/>
    <col min="4382" max="4382" width="1.8515625" style="166" customWidth="1"/>
    <col min="4383" max="4383" width="17.8515625" style="166" customWidth="1"/>
    <col min="4384" max="4384" width="5.28125" style="166" customWidth="1"/>
    <col min="4385" max="4385" width="16.7109375" style="166" customWidth="1"/>
    <col min="4386" max="4386" width="5.28125" style="166" customWidth="1"/>
    <col min="4387" max="4387" width="14.421875" style="166" customWidth="1"/>
    <col min="4388" max="4388" width="1.8515625" style="166" customWidth="1"/>
    <col min="4389" max="4389" width="16.7109375" style="166" customWidth="1"/>
    <col min="4390" max="4599" width="11.00390625" style="166" customWidth="1"/>
    <col min="4600" max="4600" width="7.57421875" style="166" customWidth="1"/>
    <col min="4601" max="4601" width="15.57421875" style="166" customWidth="1"/>
    <col min="4602" max="4602" width="20.140625" style="166" customWidth="1"/>
    <col min="4603" max="4603" width="2.28125" style="166" customWidth="1"/>
    <col min="4604" max="4604" width="17.421875" style="166" customWidth="1"/>
    <col min="4605" max="4605" width="1.8515625" style="166" customWidth="1"/>
    <col min="4606" max="4606" width="18.7109375" style="166" customWidth="1"/>
    <col min="4607" max="4607" width="1.8515625" style="166" customWidth="1"/>
    <col min="4608" max="4608" width="23.00390625" style="166" customWidth="1"/>
    <col min="4609" max="4609" width="1.8515625" style="166" customWidth="1"/>
    <col min="4610" max="4610" width="17.421875" style="166" customWidth="1"/>
    <col min="4611" max="4611" width="3.00390625" style="166" customWidth="1"/>
    <col min="4612" max="4612" width="16.28125" style="166" customWidth="1"/>
    <col min="4613" max="4613" width="3.00390625" style="166" customWidth="1"/>
    <col min="4614" max="4614" width="14.140625" style="166" customWidth="1"/>
    <col min="4615" max="4615" width="2.00390625" style="166" customWidth="1"/>
    <col min="4616" max="4616" width="15.8515625" style="166" customWidth="1"/>
    <col min="4617" max="4617" width="3.140625" style="166" customWidth="1"/>
    <col min="4618" max="4618" width="17.8515625" style="166" customWidth="1"/>
    <col min="4619" max="4619" width="2.57421875" style="166" customWidth="1"/>
    <col min="4620" max="4620" width="15.57421875" style="166" customWidth="1"/>
    <col min="4621" max="4621" width="1.8515625" style="166" customWidth="1"/>
    <col min="4622" max="4622" width="14.140625" style="166" customWidth="1"/>
    <col min="4623" max="4623" width="11.00390625" style="166" customWidth="1"/>
    <col min="4624" max="4625" width="25.00390625" style="166" customWidth="1"/>
    <col min="4626" max="4626" width="1.8515625" style="166" customWidth="1"/>
    <col min="4627" max="4627" width="17.8515625" style="166" customWidth="1"/>
    <col min="4628" max="4628" width="1.8515625" style="166" customWidth="1"/>
    <col min="4629" max="4629" width="19.00390625" style="166" customWidth="1"/>
    <col min="4630" max="4630" width="1.8515625" style="166" customWidth="1"/>
    <col min="4631" max="4631" width="16.7109375" style="166" customWidth="1"/>
    <col min="4632" max="4632" width="1.8515625" style="166" customWidth="1"/>
    <col min="4633" max="4633" width="16.7109375" style="166" customWidth="1"/>
    <col min="4634" max="4634" width="1.8515625" style="166" customWidth="1"/>
    <col min="4635" max="4635" width="16.7109375" style="166" customWidth="1"/>
    <col min="4636" max="4636" width="1.8515625" style="166" customWidth="1"/>
    <col min="4637" max="4637" width="16.7109375" style="166" customWidth="1"/>
    <col min="4638" max="4638" width="1.8515625" style="166" customWidth="1"/>
    <col min="4639" max="4639" width="17.8515625" style="166" customWidth="1"/>
    <col min="4640" max="4640" width="5.28125" style="166" customWidth="1"/>
    <col min="4641" max="4641" width="16.7109375" style="166" customWidth="1"/>
    <col min="4642" max="4642" width="5.28125" style="166" customWidth="1"/>
    <col min="4643" max="4643" width="14.421875" style="166" customWidth="1"/>
    <col min="4644" max="4644" width="1.8515625" style="166" customWidth="1"/>
    <col min="4645" max="4645" width="16.7109375" style="166" customWidth="1"/>
    <col min="4646" max="4855" width="11.00390625" style="166" customWidth="1"/>
    <col min="4856" max="4856" width="7.57421875" style="166" customWidth="1"/>
    <col min="4857" max="4857" width="15.57421875" style="166" customWidth="1"/>
    <col min="4858" max="4858" width="20.140625" style="166" customWidth="1"/>
    <col min="4859" max="4859" width="2.28125" style="166" customWidth="1"/>
    <col min="4860" max="4860" width="17.421875" style="166" customWidth="1"/>
    <col min="4861" max="4861" width="1.8515625" style="166" customWidth="1"/>
    <col min="4862" max="4862" width="18.7109375" style="166" customWidth="1"/>
    <col min="4863" max="4863" width="1.8515625" style="166" customWidth="1"/>
    <col min="4864" max="4864" width="23.00390625" style="166" customWidth="1"/>
    <col min="4865" max="4865" width="1.8515625" style="166" customWidth="1"/>
    <col min="4866" max="4866" width="17.421875" style="166" customWidth="1"/>
    <col min="4867" max="4867" width="3.00390625" style="166" customWidth="1"/>
    <col min="4868" max="4868" width="16.28125" style="166" customWidth="1"/>
    <col min="4869" max="4869" width="3.00390625" style="166" customWidth="1"/>
    <col min="4870" max="4870" width="14.140625" style="166" customWidth="1"/>
    <col min="4871" max="4871" width="2.00390625" style="166" customWidth="1"/>
    <col min="4872" max="4872" width="15.8515625" style="166" customWidth="1"/>
    <col min="4873" max="4873" width="3.140625" style="166" customWidth="1"/>
    <col min="4874" max="4874" width="17.8515625" style="166" customWidth="1"/>
    <col min="4875" max="4875" width="2.57421875" style="166" customWidth="1"/>
    <col min="4876" max="4876" width="15.57421875" style="166" customWidth="1"/>
    <col min="4877" max="4877" width="1.8515625" style="166" customWidth="1"/>
    <col min="4878" max="4878" width="14.140625" style="166" customWidth="1"/>
    <col min="4879" max="4879" width="11.00390625" style="166" customWidth="1"/>
    <col min="4880" max="4881" width="25.00390625" style="166" customWidth="1"/>
    <col min="4882" max="4882" width="1.8515625" style="166" customWidth="1"/>
    <col min="4883" max="4883" width="17.8515625" style="166" customWidth="1"/>
    <col min="4884" max="4884" width="1.8515625" style="166" customWidth="1"/>
    <col min="4885" max="4885" width="19.00390625" style="166" customWidth="1"/>
    <col min="4886" max="4886" width="1.8515625" style="166" customWidth="1"/>
    <col min="4887" max="4887" width="16.7109375" style="166" customWidth="1"/>
    <col min="4888" max="4888" width="1.8515625" style="166" customWidth="1"/>
    <col min="4889" max="4889" width="16.7109375" style="166" customWidth="1"/>
    <col min="4890" max="4890" width="1.8515625" style="166" customWidth="1"/>
    <col min="4891" max="4891" width="16.7109375" style="166" customWidth="1"/>
    <col min="4892" max="4892" width="1.8515625" style="166" customWidth="1"/>
    <col min="4893" max="4893" width="16.7109375" style="166" customWidth="1"/>
    <col min="4894" max="4894" width="1.8515625" style="166" customWidth="1"/>
    <col min="4895" max="4895" width="17.8515625" style="166" customWidth="1"/>
    <col min="4896" max="4896" width="5.28125" style="166" customWidth="1"/>
    <col min="4897" max="4897" width="16.7109375" style="166" customWidth="1"/>
    <col min="4898" max="4898" width="5.28125" style="166" customWidth="1"/>
    <col min="4899" max="4899" width="14.421875" style="166" customWidth="1"/>
    <col min="4900" max="4900" width="1.8515625" style="166" customWidth="1"/>
    <col min="4901" max="4901" width="16.7109375" style="166" customWidth="1"/>
    <col min="4902" max="5111" width="11.00390625" style="166" customWidth="1"/>
    <col min="5112" max="5112" width="7.57421875" style="166" customWidth="1"/>
    <col min="5113" max="5113" width="15.57421875" style="166" customWidth="1"/>
    <col min="5114" max="5114" width="20.140625" style="166" customWidth="1"/>
    <col min="5115" max="5115" width="2.28125" style="166" customWidth="1"/>
    <col min="5116" max="5116" width="17.421875" style="166" customWidth="1"/>
    <col min="5117" max="5117" width="1.8515625" style="166" customWidth="1"/>
    <col min="5118" max="5118" width="18.7109375" style="166" customWidth="1"/>
    <col min="5119" max="5119" width="1.8515625" style="166" customWidth="1"/>
    <col min="5120" max="5120" width="23.00390625" style="166" customWidth="1"/>
    <col min="5121" max="5121" width="1.8515625" style="166" customWidth="1"/>
    <col min="5122" max="5122" width="17.421875" style="166" customWidth="1"/>
    <col min="5123" max="5123" width="3.00390625" style="166" customWidth="1"/>
    <col min="5124" max="5124" width="16.28125" style="166" customWidth="1"/>
    <col min="5125" max="5125" width="3.00390625" style="166" customWidth="1"/>
    <col min="5126" max="5126" width="14.140625" style="166" customWidth="1"/>
    <col min="5127" max="5127" width="2.00390625" style="166" customWidth="1"/>
    <col min="5128" max="5128" width="15.8515625" style="166" customWidth="1"/>
    <col min="5129" max="5129" width="3.140625" style="166" customWidth="1"/>
    <col min="5130" max="5130" width="17.8515625" style="166" customWidth="1"/>
    <col min="5131" max="5131" width="2.57421875" style="166" customWidth="1"/>
    <col min="5132" max="5132" width="15.57421875" style="166" customWidth="1"/>
    <col min="5133" max="5133" width="1.8515625" style="166" customWidth="1"/>
    <col min="5134" max="5134" width="14.140625" style="166" customWidth="1"/>
    <col min="5135" max="5135" width="11.00390625" style="166" customWidth="1"/>
    <col min="5136" max="5137" width="25.00390625" style="166" customWidth="1"/>
    <col min="5138" max="5138" width="1.8515625" style="166" customWidth="1"/>
    <col min="5139" max="5139" width="17.8515625" style="166" customWidth="1"/>
    <col min="5140" max="5140" width="1.8515625" style="166" customWidth="1"/>
    <col min="5141" max="5141" width="19.00390625" style="166" customWidth="1"/>
    <col min="5142" max="5142" width="1.8515625" style="166" customWidth="1"/>
    <col min="5143" max="5143" width="16.7109375" style="166" customWidth="1"/>
    <col min="5144" max="5144" width="1.8515625" style="166" customWidth="1"/>
    <col min="5145" max="5145" width="16.7109375" style="166" customWidth="1"/>
    <col min="5146" max="5146" width="1.8515625" style="166" customWidth="1"/>
    <col min="5147" max="5147" width="16.7109375" style="166" customWidth="1"/>
    <col min="5148" max="5148" width="1.8515625" style="166" customWidth="1"/>
    <col min="5149" max="5149" width="16.7109375" style="166" customWidth="1"/>
    <col min="5150" max="5150" width="1.8515625" style="166" customWidth="1"/>
    <col min="5151" max="5151" width="17.8515625" style="166" customWidth="1"/>
    <col min="5152" max="5152" width="5.28125" style="166" customWidth="1"/>
    <col min="5153" max="5153" width="16.7109375" style="166" customWidth="1"/>
    <col min="5154" max="5154" width="5.28125" style="166" customWidth="1"/>
    <col min="5155" max="5155" width="14.421875" style="166" customWidth="1"/>
    <col min="5156" max="5156" width="1.8515625" style="166" customWidth="1"/>
    <col min="5157" max="5157" width="16.7109375" style="166" customWidth="1"/>
    <col min="5158" max="5367" width="11.00390625" style="166" customWidth="1"/>
    <col min="5368" max="5368" width="7.57421875" style="166" customWidth="1"/>
    <col min="5369" max="5369" width="15.57421875" style="166" customWidth="1"/>
    <col min="5370" max="5370" width="20.140625" style="166" customWidth="1"/>
    <col min="5371" max="5371" width="2.28125" style="166" customWidth="1"/>
    <col min="5372" max="5372" width="17.421875" style="166" customWidth="1"/>
    <col min="5373" max="5373" width="1.8515625" style="166" customWidth="1"/>
    <col min="5374" max="5374" width="18.7109375" style="166" customWidth="1"/>
    <col min="5375" max="5375" width="1.8515625" style="166" customWidth="1"/>
    <col min="5376" max="5376" width="23.00390625" style="166" customWidth="1"/>
    <col min="5377" max="5377" width="1.8515625" style="166" customWidth="1"/>
    <col min="5378" max="5378" width="17.421875" style="166" customWidth="1"/>
    <col min="5379" max="5379" width="3.00390625" style="166" customWidth="1"/>
    <col min="5380" max="5380" width="16.28125" style="166" customWidth="1"/>
    <col min="5381" max="5381" width="3.00390625" style="166" customWidth="1"/>
    <col min="5382" max="5382" width="14.140625" style="166" customWidth="1"/>
    <col min="5383" max="5383" width="2.00390625" style="166" customWidth="1"/>
    <col min="5384" max="5384" width="15.8515625" style="166" customWidth="1"/>
    <col min="5385" max="5385" width="3.140625" style="166" customWidth="1"/>
    <col min="5386" max="5386" width="17.8515625" style="166" customWidth="1"/>
    <col min="5387" max="5387" width="2.57421875" style="166" customWidth="1"/>
    <col min="5388" max="5388" width="15.57421875" style="166" customWidth="1"/>
    <col min="5389" max="5389" width="1.8515625" style="166" customWidth="1"/>
    <col min="5390" max="5390" width="14.140625" style="166" customWidth="1"/>
    <col min="5391" max="5391" width="11.00390625" style="166" customWidth="1"/>
    <col min="5392" max="5393" width="25.00390625" style="166" customWidth="1"/>
    <col min="5394" max="5394" width="1.8515625" style="166" customWidth="1"/>
    <col min="5395" max="5395" width="17.8515625" style="166" customWidth="1"/>
    <col min="5396" max="5396" width="1.8515625" style="166" customWidth="1"/>
    <col min="5397" max="5397" width="19.00390625" style="166" customWidth="1"/>
    <col min="5398" max="5398" width="1.8515625" style="166" customWidth="1"/>
    <col min="5399" max="5399" width="16.7109375" style="166" customWidth="1"/>
    <col min="5400" max="5400" width="1.8515625" style="166" customWidth="1"/>
    <col min="5401" max="5401" width="16.7109375" style="166" customWidth="1"/>
    <col min="5402" max="5402" width="1.8515625" style="166" customWidth="1"/>
    <col min="5403" max="5403" width="16.7109375" style="166" customWidth="1"/>
    <col min="5404" max="5404" width="1.8515625" style="166" customWidth="1"/>
    <col min="5405" max="5405" width="16.7109375" style="166" customWidth="1"/>
    <col min="5406" max="5406" width="1.8515625" style="166" customWidth="1"/>
    <col min="5407" max="5407" width="17.8515625" style="166" customWidth="1"/>
    <col min="5408" max="5408" width="5.28125" style="166" customWidth="1"/>
    <col min="5409" max="5409" width="16.7109375" style="166" customWidth="1"/>
    <col min="5410" max="5410" width="5.28125" style="166" customWidth="1"/>
    <col min="5411" max="5411" width="14.421875" style="166" customWidth="1"/>
    <col min="5412" max="5412" width="1.8515625" style="166" customWidth="1"/>
    <col min="5413" max="5413" width="16.7109375" style="166" customWidth="1"/>
    <col min="5414" max="5623" width="11.00390625" style="166" customWidth="1"/>
    <col min="5624" max="5624" width="7.57421875" style="166" customWidth="1"/>
    <col min="5625" max="5625" width="15.57421875" style="166" customWidth="1"/>
    <col min="5626" max="5626" width="20.140625" style="166" customWidth="1"/>
    <col min="5627" max="5627" width="2.28125" style="166" customWidth="1"/>
    <col min="5628" max="5628" width="17.421875" style="166" customWidth="1"/>
    <col min="5629" max="5629" width="1.8515625" style="166" customWidth="1"/>
    <col min="5630" max="5630" width="18.7109375" style="166" customWidth="1"/>
    <col min="5631" max="5631" width="1.8515625" style="166" customWidth="1"/>
    <col min="5632" max="5632" width="23.00390625" style="166" customWidth="1"/>
    <col min="5633" max="5633" width="1.8515625" style="166" customWidth="1"/>
    <col min="5634" max="5634" width="17.421875" style="166" customWidth="1"/>
    <col min="5635" max="5635" width="3.00390625" style="166" customWidth="1"/>
    <col min="5636" max="5636" width="16.28125" style="166" customWidth="1"/>
    <col min="5637" max="5637" width="3.00390625" style="166" customWidth="1"/>
    <col min="5638" max="5638" width="14.140625" style="166" customWidth="1"/>
    <col min="5639" max="5639" width="2.00390625" style="166" customWidth="1"/>
    <col min="5640" max="5640" width="15.8515625" style="166" customWidth="1"/>
    <col min="5641" max="5641" width="3.140625" style="166" customWidth="1"/>
    <col min="5642" max="5642" width="17.8515625" style="166" customWidth="1"/>
    <col min="5643" max="5643" width="2.57421875" style="166" customWidth="1"/>
    <col min="5644" max="5644" width="15.57421875" style="166" customWidth="1"/>
    <col min="5645" max="5645" width="1.8515625" style="166" customWidth="1"/>
    <col min="5646" max="5646" width="14.140625" style="166" customWidth="1"/>
    <col min="5647" max="5647" width="11.00390625" style="166" customWidth="1"/>
    <col min="5648" max="5649" width="25.00390625" style="166" customWidth="1"/>
    <col min="5650" max="5650" width="1.8515625" style="166" customWidth="1"/>
    <col min="5651" max="5651" width="17.8515625" style="166" customWidth="1"/>
    <col min="5652" max="5652" width="1.8515625" style="166" customWidth="1"/>
    <col min="5653" max="5653" width="19.00390625" style="166" customWidth="1"/>
    <col min="5654" max="5654" width="1.8515625" style="166" customWidth="1"/>
    <col min="5655" max="5655" width="16.7109375" style="166" customWidth="1"/>
    <col min="5656" max="5656" width="1.8515625" style="166" customWidth="1"/>
    <col min="5657" max="5657" width="16.7109375" style="166" customWidth="1"/>
    <col min="5658" max="5658" width="1.8515625" style="166" customWidth="1"/>
    <col min="5659" max="5659" width="16.7109375" style="166" customWidth="1"/>
    <col min="5660" max="5660" width="1.8515625" style="166" customWidth="1"/>
    <col min="5661" max="5661" width="16.7109375" style="166" customWidth="1"/>
    <col min="5662" max="5662" width="1.8515625" style="166" customWidth="1"/>
    <col min="5663" max="5663" width="17.8515625" style="166" customWidth="1"/>
    <col min="5664" max="5664" width="5.28125" style="166" customWidth="1"/>
    <col min="5665" max="5665" width="16.7109375" style="166" customWidth="1"/>
    <col min="5666" max="5666" width="5.28125" style="166" customWidth="1"/>
    <col min="5667" max="5667" width="14.421875" style="166" customWidth="1"/>
    <col min="5668" max="5668" width="1.8515625" style="166" customWidth="1"/>
    <col min="5669" max="5669" width="16.7109375" style="166" customWidth="1"/>
    <col min="5670" max="5879" width="11.00390625" style="166" customWidth="1"/>
    <col min="5880" max="5880" width="7.57421875" style="166" customWidth="1"/>
    <col min="5881" max="5881" width="15.57421875" style="166" customWidth="1"/>
    <col min="5882" max="5882" width="20.140625" style="166" customWidth="1"/>
    <col min="5883" max="5883" width="2.28125" style="166" customWidth="1"/>
    <col min="5884" max="5884" width="17.421875" style="166" customWidth="1"/>
    <col min="5885" max="5885" width="1.8515625" style="166" customWidth="1"/>
    <col min="5886" max="5886" width="18.7109375" style="166" customWidth="1"/>
    <col min="5887" max="5887" width="1.8515625" style="166" customWidth="1"/>
    <col min="5888" max="5888" width="23.00390625" style="166" customWidth="1"/>
    <col min="5889" max="5889" width="1.8515625" style="166" customWidth="1"/>
    <col min="5890" max="5890" width="17.421875" style="166" customWidth="1"/>
    <col min="5891" max="5891" width="3.00390625" style="166" customWidth="1"/>
    <col min="5892" max="5892" width="16.28125" style="166" customWidth="1"/>
    <col min="5893" max="5893" width="3.00390625" style="166" customWidth="1"/>
    <col min="5894" max="5894" width="14.140625" style="166" customWidth="1"/>
    <col min="5895" max="5895" width="2.00390625" style="166" customWidth="1"/>
    <col min="5896" max="5896" width="15.8515625" style="166" customWidth="1"/>
    <col min="5897" max="5897" width="3.140625" style="166" customWidth="1"/>
    <col min="5898" max="5898" width="17.8515625" style="166" customWidth="1"/>
    <col min="5899" max="5899" width="2.57421875" style="166" customWidth="1"/>
    <col min="5900" max="5900" width="15.57421875" style="166" customWidth="1"/>
    <col min="5901" max="5901" width="1.8515625" style="166" customWidth="1"/>
    <col min="5902" max="5902" width="14.140625" style="166" customWidth="1"/>
    <col min="5903" max="5903" width="11.00390625" style="166" customWidth="1"/>
    <col min="5904" max="5905" width="25.00390625" style="166" customWidth="1"/>
    <col min="5906" max="5906" width="1.8515625" style="166" customWidth="1"/>
    <col min="5907" max="5907" width="17.8515625" style="166" customWidth="1"/>
    <col min="5908" max="5908" width="1.8515625" style="166" customWidth="1"/>
    <col min="5909" max="5909" width="19.00390625" style="166" customWidth="1"/>
    <col min="5910" max="5910" width="1.8515625" style="166" customWidth="1"/>
    <col min="5911" max="5911" width="16.7109375" style="166" customWidth="1"/>
    <col min="5912" max="5912" width="1.8515625" style="166" customWidth="1"/>
    <col min="5913" max="5913" width="16.7109375" style="166" customWidth="1"/>
    <col min="5914" max="5914" width="1.8515625" style="166" customWidth="1"/>
    <col min="5915" max="5915" width="16.7109375" style="166" customWidth="1"/>
    <col min="5916" max="5916" width="1.8515625" style="166" customWidth="1"/>
    <col min="5917" max="5917" width="16.7109375" style="166" customWidth="1"/>
    <col min="5918" max="5918" width="1.8515625" style="166" customWidth="1"/>
    <col min="5919" max="5919" width="17.8515625" style="166" customWidth="1"/>
    <col min="5920" max="5920" width="5.28125" style="166" customWidth="1"/>
    <col min="5921" max="5921" width="16.7109375" style="166" customWidth="1"/>
    <col min="5922" max="5922" width="5.28125" style="166" customWidth="1"/>
    <col min="5923" max="5923" width="14.421875" style="166" customWidth="1"/>
    <col min="5924" max="5924" width="1.8515625" style="166" customWidth="1"/>
    <col min="5925" max="5925" width="16.7109375" style="166" customWidth="1"/>
    <col min="5926" max="6135" width="11.00390625" style="166" customWidth="1"/>
    <col min="6136" max="6136" width="7.57421875" style="166" customWidth="1"/>
    <col min="6137" max="6137" width="15.57421875" style="166" customWidth="1"/>
    <col min="6138" max="6138" width="20.140625" style="166" customWidth="1"/>
    <col min="6139" max="6139" width="2.28125" style="166" customWidth="1"/>
    <col min="6140" max="6140" width="17.421875" style="166" customWidth="1"/>
    <col min="6141" max="6141" width="1.8515625" style="166" customWidth="1"/>
    <col min="6142" max="6142" width="18.7109375" style="166" customWidth="1"/>
    <col min="6143" max="6143" width="1.8515625" style="166" customWidth="1"/>
    <col min="6144" max="6144" width="23.00390625" style="166" customWidth="1"/>
    <col min="6145" max="6145" width="1.8515625" style="166" customWidth="1"/>
    <col min="6146" max="6146" width="17.421875" style="166" customWidth="1"/>
    <col min="6147" max="6147" width="3.00390625" style="166" customWidth="1"/>
    <col min="6148" max="6148" width="16.28125" style="166" customWidth="1"/>
    <col min="6149" max="6149" width="3.00390625" style="166" customWidth="1"/>
    <col min="6150" max="6150" width="14.140625" style="166" customWidth="1"/>
    <col min="6151" max="6151" width="2.00390625" style="166" customWidth="1"/>
    <col min="6152" max="6152" width="15.8515625" style="166" customWidth="1"/>
    <col min="6153" max="6153" width="3.140625" style="166" customWidth="1"/>
    <col min="6154" max="6154" width="17.8515625" style="166" customWidth="1"/>
    <col min="6155" max="6155" width="2.57421875" style="166" customWidth="1"/>
    <col min="6156" max="6156" width="15.57421875" style="166" customWidth="1"/>
    <col min="6157" max="6157" width="1.8515625" style="166" customWidth="1"/>
    <col min="6158" max="6158" width="14.140625" style="166" customWidth="1"/>
    <col min="6159" max="6159" width="11.00390625" style="166" customWidth="1"/>
    <col min="6160" max="6161" width="25.00390625" style="166" customWidth="1"/>
    <col min="6162" max="6162" width="1.8515625" style="166" customWidth="1"/>
    <col min="6163" max="6163" width="17.8515625" style="166" customWidth="1"/>
    <col min="6164" max="6164" width="1.8515625" style="166" customWidth="1"/>
    <col min="6165" max="6165" width="19.00390625" style="166" customWidth="1"/>
    <col min="6166" max="6166" width="1.8515625" style="166" customWidth="1"/>
    <col min="6167" max="6167" width="16.7109375" style="166" customWidth="1"/>
    <col min="6168" max="6168" width="1.8515625" style="166" customWidth="1"/>
    <col min="6169" max="6169" width="16.7109375" style="166" customWidth="1"/>
    <col min="6170" max="6170" width="1.8515625" style="166" customWidth="1"/>
    <col min="6171" max="6171" width="16.7109375" style="166" customWidth="1"/>
    <col min="6172" max="6172" width="1.8515625" style="166" customWidth="1"/>
    <col min="6173" max="6173" width="16.7109375" style="166" customWidth="1"/>
    <col min="6174" max="6174" width="1.8515625" style="166" customWidth="1"/>
    <col min="6175" max="6175" width="17.8515625" style="166" customWidth="1"/>
    <col min="6176" max="6176" width="5.28125" style="166" customWidth="1"/>
    <col min="6177" max="6177" width="16.7109375" style="166" customWidth="1"/>
    <col min="6178" max="6178" width="5.28125" style="166" customWidth="1"/>
    <col min="6179" max="6179" width="14.421875" style="166" customWidth="1"/>
    <col min="6180" max="6180" width="1.8515625" style="166" customWidth="1"/>
    <col min="6181" max="6181" width="16.7109375" style="166" customWidth="1"/>
    <col min="6182" max="6391" width="11.00390625" style="166" customWidth="1"/>
    <col min="6392" max="6392" width="7.57421875" style="166" customWidth="1"/>
    <col min="6393" max="6393" width="15.57421875" style="166" customWidth="1"/>
    <col min="6394" max="6394" width="20.140625" style="166" customWidth="1"/>
    <col min="6395" max="6395" width="2.28125" style="166" customWidth="1"/>
    <col min="6396" max="6396" width="17.421875" style="166" customWidth="1"/>
    <col min="6397" max="6397" width="1.8515625" style="166" customWidth="1"/>
    <col min="6398" max="6398" width="18.7109375" style="166" customWidth="1"/>
    <col min="6399" max="6399" width="1.8515625" style="166" customWidth="1"/>
    <col min="6400" max="6400" width="23.00390625" style="166" customWidth="1"/>
    <col min="6401" max="6401" width="1.8515625" style="166" customWidth="1"/>
    <col min="6402" max="6402" width="17.421875" style="166" customWidth="1"/>
    <col min="6403" max="6403" width="3.00390625" style="166" customWidth="1"/>
    <col min="6404" max="6404" width="16.28125" style="166" customWidth="1"/>
    <col min="6405" max="6405" width="3.00390625" style="166" customWidth="1"/>
    <col min="6406" max="6406" width="14.140625" style="166" customWidth="1"/>
    <col min="6407" max="6407" width="2.00390625" style="166" customWidth="1"/>
    <col min="6408" max="6408" width="15.8515625" style="166" customWidth="1"/>
    <col min="6409" max="6409" width="3.140625" style="166" customWidth="1"/>
    <col min="6410" max="6410" width="17.8515625" style="166" customWidth="1"/>
    <col min="6411" max="6411" width="2.57421875" style="166" customWidth="1"/>
    <col min="6412" max="6412" width="15.57421875" style="166" customWidth="1"/>
    <col min="6413" max="6413" width="1.8515625" style="166" customWidth="1"/>
    <col min="6414" max="6414" width="14.140625" style="166" customWidth="1"/>
    <col min="6415" max="6415" width="11.00390625" style="166" customWidth="1"/>
    <col min="6416" max="6417" width="25.00390625" style="166" customWidth="1"/>
    <col min="6418" max="6418" width="1.8515625" style="166" customWidth="1"/>
    <col min="6419" max="6419" width="17.8515625" style="166" customWidth="1"/>
    <col min="6420" max="6420" width="1.8515625" style="166" customWidth="1"/>
    <col min="6421" max="6421" width="19.00390625" style="166" customWidth="1"/>
    <col min="6422" max="6422" width="1.8515625" style="166" customWidth="1"/>
    <col min="6423" max="6423" width="16.7109375" style="166" customWidth="1"/>
    <col min="6424" max="6424" width="1.8515625" style="166" customWidth="1"/>
    <col min="6425" max="6425" width="16.7109375" style="166" customWidth="1"/>
    <col min="6426" max="6426" width="1.8515625" style="166" customWidth="1"/>
    <col min="6427" max="6427" width="16.7109375" style="166" customWidth="1"/>
    <col min="6428" max="6428" width="1.8515625" style="166" customWidth="1"/>
    <col min="6429" max="6429" width="16.7109375" style="166" customWidth="1"/>
    <col min="6430" max="6430" width="1.8515625" style="166" customWidth="1"/>
    <col min="6431" max="6431" width="17.8515625" style="166" customWidth="1"/>
    <col min="6432" max="6432" width="5.28125" style="166" customWidth="1"/>
    <col min="6433" max="6433" width="16.7109375" style="166" customWidth="1"/>
    <col min="6434" max="6434" width="5.28125" style="166" customWidth="1"/>
    <col min="6435" max="6435" width="14.421875" style="166" customWidth="1"/>
    <col min="6436" max="6436" width="1.8515625" style="166" customWidth="1"/>
    <col min="6437" max="6437" width="16.7109375" style="166" customWidth="1"/>
    <col min="6438" max="6647" width="11.00390625" style="166" customWidth="1"/>
    <col min="6648" max="6648" width="7.57421875" style="166" customWidth="1"/>
    <col min="6649" max="6649" width="15.57421875" style="166" customWidth="1"/>
    <col min="6650" max="6650" width="20.140625" style="166" customWidth="1"/>
    <col min="6651" max="6651" width="2.28125" style="166" customWidth="1"/>
    <col min="6652" max="6652" width="17.421875" style="166" customWidth="1"/>
    <col min="6653" max="6653" width="1.8515625" style="166" customWidth="1"/>
    <col min="6654" max="6654" width="18.7109375" style="166" customWidth="1"/>
    <col min="6655" max="6655" width="1.8515625" style="166" customWidth="1"/>
    <col min="6656" max="6656" width="23.00390625" style="166" customWidth="1"/>
    <col min="6657" max="6657" width="1.8515625" style="166" customWidth="1"/>
    <col min="6658" max="6658" width="17.421875" style="166" customWidth="1"/>
    <col min="6659" max="6659" width="3.00390625" style="166" customWidth="1"/>
    <col min="6660" max="6660" width="16.28125" style="166" customWidth="1"/>
    <col min="6661" max="6661" width="3.00390625" style="166" customWidth="1"/>
    <col min="6662" max="6662" width="14.140625" style="166" customWidth="1"/>
    <col min="6663" max="6663" width="2.00390625" style="166" customWidth="1"/>
    <col min="6664" max="6664" width="15.8515625" style="166" customWidth="1"/>
    <col min="6665" max="6665" width="3.140625" style="166" customWidth="1"/>
    <col min="6666" max="6666" width="17.8515625" style="166" customWidth="1"/>
    <col min="6667" max="6667" width="2.57421875" style="166" customWidth="1"/>
    <col min="6668" max="6668" width="15.57421875" style="166" customWidth="1"/>
    <col min="6669" max="6669" width="1.8515625" style="166" customWidth="1"/>
    <col min="6670" max="6670" width="14.140625" style="166" customWidth="1"/>
    <col min="6671" max="6671" width="11.00390625" style="166" customWidth="1"/>
    <col min="6672" max="6673" width="25.00390625" style="166" customWidth="1"/>
    <col min="6674" max="6674" width="1.8515625" style="166" customWidth="1"/>
    <col min="6675" max="6675" width="17.8515625" style="166" customWidth="1"/>
    <col min="6676" max="6676" width="1.8515625" style="166" customWidth="1"/>
    <col min="6677" max="6677" width="19.00390625" style="166" customWidth="1"/>
    <col min="6678" max="6678" width="1.8515625" style="166" customWidth="1"/>
    <col min="6679" max="6679" width="16.7109375" style="166" customWidth="1"/>
    <col min="6680" max="6680" width="1.8515625" style="166" customWidth="1"/>
    <col min="6681" max="6681" width="16.7109375" style="166" customWidth="1"/>
    <col min="6682" max="6682" width="1.8515625" style="166" customWidth="1"/>
    <col min="6683" max="6683" width="16.7109375" style="166" customWidth="1"/>
    <col min="6684" max="6684" width="1.8515625" style="166" customWidth="1"/>
    <col min="6685" max="6685" width="16.7109375" style="166" customWidth="1"/>
    <col min="6686" max="6686" width="1.8515625" style="166" customWidth="1"/>
    <col min="6687" max="6687" width="17.8515625" style="166" customWidth="1"/>
    <col min="6688" max="6688" width="5.28125" style="166" customWidth="1"/>
    <col min="6689" max="6689" width="16.7109375" style="166" customWidth="1"/>
    <col min="6690" max="6690" width="5.28125" style="166" customWidth="1"/>
    <col min="6691" max="6691" width="14.421875" style="166" customWidth="1"/>
    <col min="6692" max="6692" width="1.8515625" style="166" customWidth="1"/>
    <col min="6693" max="6693" width="16.7109375" style="166" customWidth="1"/>
    <col min="6694" max="6903" width="11.00390625" style="166" customWidth="1"/>
    <col min="6904" max="6904" width="7.57421875" style="166" customWidth="1"/>
    <col min="6905" max="6905" width="15.57421875" style="166" customWidth="1"/>
    <col min="6906" max="6906" width="20.140625" style="166" customWidth="1"/>
    <col min="6907" max="6907" width="2.28125" style="166" customWidth="1"/>
    <col min="6908" max="6908" width="17.421875" style="166" customWidth="1"/>
    <col min="6909" max="6909" width="1.8515625" style="166" customWidth="1"/>
    <col min="6910" max="6910" width="18.7109375" style="166" customWidth="1"/>
    <col min="6911" max="6911" width="1.8515625" style="166" customWidth="1"/>
    <col min="6912" max="6912" width="23.00390625" style="166" customWidth="1"/>
    <col min="6913" max="6913" width="1.8515625" style="166" customWidth="1"/>
    <col min="6914" max="6914" width="17.421875" style="166" customWidth="1"/>
    <col min="6915" max="6915" width="3.00390625" style="166" customWidth="1"/>
    <col min="6916" max="6916" width="16.28125" style="166" customWidth="1"/>
    <col min="6917" max="6917" width="3.00390625" style="166" customWidth="1"/>
    <col min="6918" max="6918" width="14.140625" style="166" customWidth="1"/>
    <col min="6919" max="6919" width="2.00390625" style="166" customWidth="1"/>
    <col min="6920" max="6920" width="15.8515625" style="166" customWidth="1"/>
    <col min="6921" max="6921" width="3.140625" style="166" customWidth="1"/>
    <col min="6922" max="6922" width="17.8515625" style="166" customWidth="1"/>
    <col min="6923" max="6923" width="2.57421875" style="166" customWidth="1"/>
    <col min="6924" max="6924" width="15.57421875" style="166" customWidth="1"/>
    <col min="6925" max="6925" width="1.8515625" style="166" customWidth="1"/>
    <col min="6926" max="6926" width="14.140625" style="166" customWidth="1"/>
    <col min="6927" max="6927" width="11.00390625" style="166" customWidth="1"/>
    <col min="6928" max="6929" width="25.00390625" style="166" customWidth="1"/>
    <col min="6930" max="6930" width="1.8515625" style="166" customWidth="1"/>
    <col min="6931" max="6931" width="17.8515625" style="166" customWidth="1"/>
    <col min="6932" max="6932" width="1.8515625" style="166" customWidth="1"/>
    <col min="6933" max="6933" width="19.00390625" style="166" customWidth="1"/>
    <col min="6934" max="6934" width="1.8515625" style="166" customWidth="1"/>
    <col min="6935" max="6935" width="16.7109375" style="166" customWidth="1"/>
    <col min="6936" max="6936" width="1.8515625" style="166" customWidth="1"/>
    <col min="6937" max="6937" width="16.7109375" style="166" customWidth="1"/>
    <col min="6938" max="6938" width="1.8515625" style="166" customWidth="1"/>
    <col min="6939" max="6939" width="16.7109375" style="166" customWidth="1"/>
    <col min="6940" max="6940" width="1.8515625" style="166" customWidth="1"/>
    <col min="6941" max="6941" width="16.7109375" style="166" customWidth="1"/>
    <col min="6942" max="6942" width="1.8515625" style="166" customWidth="1"/>
    <col min="6943" max="6943" width="17.8515625" style="166" customWidth="1"/>
    <col min="6944" max="6944" width="5.28125" style="166" customWidth="1"/>
    <col min="6945" max="6945" width="16.7109375" style="166" customWidth="1"/>
    <col min="6946" max="6946" width="5.28125" style="166" customWidth="1"/>
    <col min="6947" max="6947" width="14.421875" style="166" customWidth="1"/>
    <col min="6948" max="6948" width="1.8515625" style="166" customWidth="1"/>
    <col min="6949" max="6949" width="16.7109375" style="166" customWidth="1"/>
    <col min="6950" max="7159" width="11.00390625" style="166" customWidth="1"/>
    <col min="7160" max="7160" width="7.57421875" style="166" customWidth="1"/>
    <col min="7161" max="7161" width="15.57421875" style="166" customWidth="1"/>
    <col min="7162" max="7162" width="20.140625" style="166" customWidth="1"/>
    <col min="7163" max="7163" width="2.28125" style="166" customWidth="1"/>
    <col min="7164" max="7164" width="17.421875" style="166" customWidth="1"/>
    <col min="7165" max="7165" width="1.8515625" style="166" customWidth="1"/>
    <col min="7166" max="7166" width="18.7109375" style="166" customWidth="1"/>
    <col min="7167" max="7167" width="1.8515625" style="166" customWidth="1"/>
    <col min="7168" max="7168" width="23.00390625" style="166" customWidth="1"/>
    <col min="7169" max="7169" width="1.8515625" style="166" customWidth="1"/>
    <col min="7170" max="7170" width="17.421875" style="166" customWidth="1"/>
    <col min="7171" max="7171" width="3.00390625" style="166" customWidth="1"/>
    <col min="7172" max="7172" width="16.28125" style="166" customWidth="1"/>
    <col min="7173" max="7173" width="3.00390625" style="166" customWidth="1"/>
    <col min="7174" max="7174" width="14.140625" style="166" customWidth="1"/>
    <col min="7175" max="7175" width="2.00390625" style="166" customWidth="1"/>
    <col min="7176" max="7176" width="15.8515625" style="166" customWidth="1"/>
    <col min="7177" max="7177" width="3.140625" style="166" customWidth="1"/>
    <col min="7178" max="7178" width="17.8515625" style="166" customWidth="1"/>
    <col min="7179" max="7179" width="2.57421875" style="166" customWidth="1"/>
    <col min="7180" max="7180" width="15.57421875" style="166" customWidth="1"/>
    <col min="7181" max="7181" width="1.8515625" style="166" customWidth="1"/>
    <col min="7182" max="7182" width="14.140625" style="166" customWidth="1"/>
    <col min="7183" max="7183" width="11.00390625" style="166" customWidth="1"/>
    <col min="7184" max="7185" width="25.00390625" style="166" customWidth="1"/>
    <col min="7186" max="7186" width="1.8515625" style="166" customWidth="1"/>
    <col min="7187" max="7187" width="17.8515625" style="166" customWidth="1"/>
    <col min="7188" max="7188" width="1.8515625" style="166" customWidth="1"/>
    <col min="7189" max="7189" width="19.00390625" style="166" customWidth="1"/>
    <col min="7190" max="7190" width="1.8515625" style="166" customWidth="1"/>
    <col min="7191" max="7191" width="16.7109375" style="166" customWidth="1"/>
    <col min="7192" max="7192" width="1.8515625" style="166" customWidth="1"/>
    <col min="7193" max="7193" width="16.7109375" style="166" customWidth="1"/>
    <col min="7194" max="7194" width="1.8515625" style="166" customWidth="1"/>
    <col min="7195" max="7195" width="16.7109375" style="166" customWidth="1"/>
    <col min="7196" max="7196" width="1.8515625" style="166" customWidth="1"/>
    <col min="7197" max="7197" width="16.7109375" style="166" customWidth="1"/>
    <col min="7198" max="7198" width="1.8515625" style="166" customWidth="1"/>
    <col min="7199" max="7199" width="17.8515625" style="166" customWidth="1"/>
    <col min="7200" max="7200" width="5.28125" style="166" customWidth="1"/>
    <col min="7201" max="7201" width="16.7109375" style="166" customWidth="1"/>
    <col min="7202" max="7202" width="5.28125" style="166" customWidth="1"/>
    <col min="7203" max="7203" width="14.421875" style="166" customWidth="1"/>
    <col min="7204" max="7204" width="1.8515625" style="166" customWidth="1"/>
    <col min="7205" max="7205" width="16.7109375" style="166" customWidth="1"/>
    <col min="7206" max="7415" width="11.00390625" style="166" customWidth="1"/>
    <col min="7416" max="7416" width="7.57421875" style="166" customWidth="1"/>
    <col min="7417" max="7417" width="15.57421875" style="166" customWidth="1"/>
    <col min="7418" max="7418" width="20.140625" style="166" customWidth="1"/>
    <col min="7419" max="7419" width="2.28125" style="166" customWidth="1"/>
    <col min="7420" max="7420" width="17.421875" style="166" customWidth="1"/>
    <col min="7421" max="7421" width="1.8515625" style="166" customWidth="1"/>
    <col min="7422" max="7422" width="18.7109375" style="166" customWidth="1"/>
    <col min="7423" max="7423" width="1.8515625" style="166" customWidth="1"/>
    <col min="7424" max="7424" width="23.00390625" style="166" customWidth="1"/>
    <col min="7425" max="7425" width="1.8515625" style="166" customWidth="1"/>
    <col min="7426" max="7426" width="17.421875" style="166" customWidth="1"/>
    <col min="7427" max="7427" width="3.00390625" style="166" customWidth="1"/>
    <col min="7428" max="7428" width="16.28125" style="166" customWidth="1"/>
    <col min="7429" max="7429" width="3.00390625" style="166" customWidth="1"/>
    <col min="7430" max="7430" width="14.140625" style="166" customWidth="1"/>
    <col min="7431" max="7431" width="2.00390625" style="166" customWidth="1"/>
    <col min="7432" max="7432" width="15.8515625" style="166" customWidth="1"/>
    <col min="7433" max="7433" width="3.140625" style="166" customWidth="1"/>
    <col min="7434" max="7434" width="17.8515625" style="166" customWidth="1"/>
    <col min="7435" max="7435" width="2.57421875" style="166" customWidth="1"/>
    <col min="7436" max="7436" width="15.57421875" style="166" customWidth="1"/>
    <col min="7437" max="7437" width="1.8515625" style="166" customWidth="1"/>
    <col min="7438" max="7438" width="14.140625" style="166" customWidth="1"/>
    <col min="7439" max="7439" width="11.00390625" style="166" customWidth="1"/>
    <col min="7440" max="7441" width="25.00390625" style="166" customWidth="1"/>
    <col min="7442" max="7442" width="1.8515625" style="166" customWidth="1"/>
    <col min="7443" max="7443" width="17.8515625" style="166" customWidth="1"/>
    <col min="7444" max="7444" width="1.8515625" style="166" customWidth="1"/>
    <col min="7445" max="7445" width="19.00390625" style="166" customWidth="1"/>
    <col min="7446" max="7446" width="1.8515625" style="166" customWidth="1"/>
    <col min="7447" max="7447" width="16.7109375" style="166" customWidth="1"/>
    <col min="7448" max="7448" width="1.8515625" style="166" customWidth="1"/>
    <col min="7449" max="7449" width="16.7109375" style="166" customWidth="1"/>
    <col min="7450" max="7450" width="1.8515625" style="166" customWidth="1"/>
    <col min="7451" max="7451" width="16.7109375" style="166" customWidth="1"/>
    <col min="7452" max="7452" width="1.8515625" style="166" customWidth="1"/>
    <col min="7453" max="7453" width="16.7109375" style="166" customWidth="1"/>
    <col min="7454" max="7454" width="1.8515625" style="166" customWidth="1"/>
    <col min="7455" max="7455" width="17.8515625" style="166" customWidth="1"/>
    <col min="7456" max="7456" width="5.28125" style="166" customWidth="1"/>
    <col min="7457" max="7457" width="16.7109375" style="166" customWidth="1"/>
    <col min="7458" max="7458" width="5.28125" style="166" customWidth="1"/>
    <col min="7459" max="7459" width="14.421875" style="166" customWidth="1"/>
    <col min="7460" max="7460" width="1.8515625" style="166" customWidth="1"/>
    <col min="7461" max="7461" width="16.7109375" style="166" customWidth="1"/>
    <col min="7462" max="7671" width="11.00390625" style="166" customWidth="1"/>
    <col min="7672" max="7672" width="7.57421875" style="166" customWidth="1"/>
    <col min="7673" max="7673" width="15.57421875" style="166" customWidth="1"/>
    <col min="7674" max="7674" width="20.140625" style="166" customWidth="1"/>
    <col min="7675" max="7675" width="2.28125" style="166" customWidth="1"/>
    <col min="7676" max="7676" width="17.421875" style="166" customWidth="1"/>
    <col min="7677" max="7677" width="1.8515625" style="166" customWidth="1"/>
    <col min="7678" max="7678" width="18.7109375" style="166" customWidth="1"/>
    <col min="7679" max="7679" width="1.8515625" style="166" customWidth="1"/>
    <col min="7680" max="7680" width="23.00390625" style="166" customWidth="1"/>
    <col min="7681" max="7681" width="1.8515625" style="166" customWidth="1"/>
    <col min="7682" max="7682" width="17.421875" style="166" customWidth="1"/>
    <col min="7683" max="7683" width="3.00390625" style="166" customWidth="1"/>
    <col min="7684" max="7684" width="16.28125" style="166" customWidth="1"/>
    <col min="7685" max="7685" width="3.00390625" style="166" customWidth="1"/>
    <col min="7686" max="7686" width="14.140625" style="166" customWidth="1"/>
    <col min="7687" max="7687" width="2.00390625" style="166" customWidth="1"/>
    <col min="7688" max="7688" width="15.8515625" style="166" customWidth="1"/>
    <col min="7689" max="7689" width="3.140625" style="166" customWidth="1"/>
    <col min="7690" max="7690" width="17.8515625" style="166" customWidth="1"/>
    <col min="7691" max="7691" width="2.57421875" style="166" customWidth="1"/>
    <col min="7692" max="7692" width="15.57421875" style="166" customWidth="1"/>
    <col min="7693" max="7693" width="1.8515625" style="166" customWidth="1"/>
    <col min="7694" max="7694" width="14.140625" style="166" customWidth="1"/>
    <col min="7695" max="7695" width="11.00390625" style="166" customWidth="1"/>
    <col min="7696" max="7697" width="25.00390625" style="166" customWidth="1"/>
    <col min="7698" max="7698" width="1.8515625" style="166" customWidth="1"/>
    <col min="7699" max="7699" width="17.8515625" style="166" customWidth="1"/>
    <col min="7700" max="7700" width="1.8515625" style="166" customWidth="1"/>
    <col min="7701" max="7701" width="19.00390625" style="166" customWidth="1"/>
    <col min="7702" max="7702" width="1.8515625" style="166" customWidth="1"/>
    <col min="7703" max="7703" width="16.7109375" style="166" customWidth="1"/>
    <col min="7704" max="7704" width="1.8515625" style="166" customWidth="1"/>
    <col min="7705" max="7705" width="16.7109375" style="166" customWidth="1"/>
    <col min="7706" max="7706" width="1.8515625" style="166" customWidth="1"/>
    <col min="7707" max="7707" width="16.7109375" style="166" customWidth="1"/>
    <col min="7708" max="7708" width="1.8515625" style="166" customWidth="1"/>
    <col min="7709" max="7709" width="16.7109375" style="166" customWidth="1"/>
    <col min="7710" max="7710" width="1.8515625" style="166" customWidth="1"/>
    <col min="7711" max="7711" width="17.8515625" style="166" customWidth="1"/>
    <col min="7712" max="7712" width="5.28125" style="166" customWidth="1"/>
    <col min="7713" max="7713" width="16.7109375" style="166" customWidth="1"/>
    <col min="7714" max="7714" width="5.28125" style="166" customWidth="1"/>
    <col min="7715" max="7715" width="14.421875" style="166" customWidth="1"/>
    <col min="7716" max="7716" width="1.8515625" style="166" customWidth="1"/>
    <col min="7717" max="7717" width="16.7109375" style="166" customWidth="1"/>
    <col min="7718" max="7927" width="11.00390625" style="166" customWidth="1"/>
    <col min="7928" max="7928" width="7.57421875" style="166" customWidth="1"/>
    <col min="7929" max="7929" width="15.57421875" style="166" customWidth="1"/>
    <col min="7930" max="7930" width="20.140625" style="166" customWidth="1"/>
    <col min="7931" max="7931" width="2.28125" style="166" customWidth="1"/>
    <col min="7932" max="7932" width="17.421875" style="166" customWidth="1"/>
    <col min="7933" max="7933" width="1.8515625" style="166" customWidth="1"/>
    <col min="7934" max="7934" width="18.7109375" style="166" customWidth="1"/>
    <col min="7935" max="7935" width="1.8515625" style="166" customWidth="1"/>
    <col min="7936" max="7936" width="23.00390625" style="166" customWidth="1"/>
    <col min="7937" max="7937" width="1.8515625" style="166" customWidth="1"/>
    <col min="7938" max="7938" width="17.421875" style="166" customWidth="1"/>
    <col min="7939" max="7939" width="3.00390625" style="166" customWidth="1"/>
    <col min="7940" max="7940" width="16.28125" style="166" customWidth="1"/>
    <col min="7941" max="7941" width="3.00390625" style="166" customWidth="1"/>
    <col min="7942" max="7942" width="14.140625" style="166" customWidth="1"/>
    <col min="7943" max="7943" width="2.00390625" style="166" customWidth="1"/>
    <col min="7944" max="7944" width="15.8515625" style="166" customWidth="1"/>
    <col min="7945" max="7945" width="3.140625" style="166" customWidth="1"/>
    <col min="7946" max="7946" width="17.8515625" style="166" customWidth="1"/>
    <col min="7947" max="7947" width="2.57421875" style="166" customWidth="1"/>
    <col min="7948" max="7948" width="15.57421875" style="166" customWidth="1"/>
    <col min="7949" max="7949" width="1.8515625" style="166" customWidth="1"/>
    <col min="7950" max="7950" width="14.140625" style="166" customWidth="1"/>
    <col min="7951" max="7951" width="11.00390625" style="166" customWidth="1"/>
    <col min="7952" max="7953" width="25.00390625" style="166" customWidth="1"/>
    <col min="7954" max="7954" width="1.8515625" style="166" customWidth="1"/>
    <col min="7955" max="7955" width="17.8515625" style="166" customWidth="1"/>
    <col min="7956" max="7956" width="1.8515625" style="166" customWidth="1"/>
    <col min="7957" max="7957" width="19.00390625" style="166" customWidth="1"/>
    <col min="7958" max="7958" width="1.8515625" style="166" customWidth="1"/>
    <col min="7959" max="7959" width="16.7109375" style="166" customWidth="1"/>
    <col min="7960" max="7960" width="1.8515625" style="166" customWidth="1"/>
    <col min="7961" max="7961" width="16.7109375" style="166" customWidth="1"/>
    <col min="7962" max="7962" width="1.8515625" style="166" customWidth="1"/>
    <col min="7963" max="7963" width="16.7109375" style="166" customWidth="1"/>
    <col min="7964" max="7964" width="1.8515625" style="166" customWidth="1"/>
    <col min="7965" max="7965" width="16.7109375" style="166" customWidth="1"/>
    <col min="7966" max="7966" width="1.8515625" style="166" customWidth="1"/>
    <col min="7967" max="7967" width="17.8515625" style="166" customWidth="1"/>
    <col min="7968" max="7968" width="5.28125" style="166" customWidth="1"/>
    <col min="7969" max="7969" width="16.7109375" style="166" customWidth="1"/>
    <col min="7970" max="7970" width="5.28125" style="166" customWidth="1"/>
    <col min="7971" max="7971" width="14.421875" style="166" customWidth="1"/>
    <col min="7972" max="7972" width="1.8515625" style="166" customWidth="1"/>
    <col min="7973" max="7973" width="16.7109375" style="166" customWidth="1"/>
    <col min="7974" max="8183" width="11.00390625" style="166" customWidth="1"/>
    <col min="8184" max="8184" width="7.57421875" style="166" customWidth="1"/>
    <col min="8185" max="8185" width="15.57421875" style="166" customWidth="1"/>
    <col min="8186" max="8186" width="20.140625" style="166" customWidth="1"/>
    <col min="8187" max="8187" width="2.28125" style="166" customWidth="1"/>
    <col min="8188" max="8188" width="17.421875" style="166" customWidth="1"/>
    <col min="8189" max="8189" width="1.8515625" style="166" customWidth="1"/>
    <col min="8190" max="8190" width="18.7109375" style="166" customWidth="1"/>
    <col min="8191" max="8191" width="1.8515625" style="166" customWidth="1"/>
    <col min="8192" max="8192" width="23.00390625" style="166" customWidth="1"/>
    <col min="8193" max="8193" width="1.8515625" style="166" customWidth="1"/>
    <col min="8194" max="8194" width="17.421875" style="166" customWidth="1"/>
    <col min="8195" max="8195" width="3.00390625" style="166" customWidth="1"/>
    <col min="8196" max="8196" width="16.28125" style="166" customWidth="1"/>
    <col min="8197" max="8197" width="3.00390625" style="166" customWidth="1"/>
    <col min="8198" max="8198" width="14.140625" style="166" customWidth="1"/>
    <col min="8199" max="8199" width="2.00390625" style="166" customWidth="1"/>
    <col min="8200" max="8200" width="15.8515625" style="166" customWidth="1"/>
    <col min="8201" max="8201" width="3.140625" style="166" customWidth="1"/>
    <col min="8202" max="8202" width="17.8515625" style="166" customWidth="1"/>
    <col min="8203" max="8203" width="2.57421875" style="166" customWidth="1"/>
    <col min="8204" max="8204" width="15.57421875" style="166" customWidth="1"/>
    <col min="8205" max="8205" width="1.8515625" style="166" customWidth="1"/>
    <col min="8206" max="8206" width="14.140625" style="166" customWidth="1"/>
    <col min="8207" max="8207" width="11.00390625" style="166" customWidth="1"/>
    <col min="8208" max="8209" width="25.00390625" style="166" customWidth="1"/>
    <col min="8210" max="8210" width="1.8515625" style="166" customWidth="1"/>
    <col min="8211" max="8211" width="17.8515625" style="166" customWidth="1"/>
    <col min="8212" max="8212" width="1.8515625" style="166" customWidth="1"/>
    <col min="8213" max="8213" width="19.00390625" style="166" customWidth="1"/>
    <col min="8214" max="8214" width="1.8515625" style="166" customWidth="1"/>
    <col min="8215" max="8215" width="16.7109375" style="166" customWidth="1"/>
    <col min="8216" max="8216" width="1.8515625" style="166" customWidth="1"/>
    <col min="8217" max="8217" width="16.7109375" style="166" customWidth="1"/>
    <col min="8218" max="8218" width="1.8515625" style="166" customWidth="1"/>
    <col min="8219" max="8219" width="16.7109375" style="166" customWidth="1"/>
    <col min="8220" max="8220" width="1.8515625" style="166" customWidth="1"/>
    <col min="8221" max="8221" width="16.7109375" style="166" customWidth="1"/>
    <col min="8222" max="8222" width="1.8515625" style="166" customWidth="1"/>
    <col min="8223" max="8223" width="17.8515625" style="166" customWidth="1"/>
    <col min="8224" max="8224" width="5.28125" style="166" customWidth="1"/>
    <col min="8225" max="8225" width="16.7109375" style="166" customWidth="1"/>
    <col min="8226" max="8226" width="5.28125" style="166" customWidth="1"/>
    <col min="8227" max="8227" width="14.421875" style="166" customWidth="1"/>
    <col min="8228" max="8228" width="1.8515625" style="166" customWidth="1"/>
    <col min="8229" max="8229" width="16.7109375" style="166" customWidth="1"/>
    <col min="8230" max="8439" width="11.00390625" style="166" customWidth="1"/>
    <col min="8440" max="8440" width="7.57421875" style="166" customWidth="1"/>
    <col min="8441" max="8441" width="15.57421875" style="166" customWidth="1"/>
    <col min="8442" max="8442" width="20.140625" style="166" customWidth="1"/>
    <col min="8443" max="8443" width="2.28125" style="166" customWidth="1"/>
    <col min="8444" max="8444" width="17.421875" style="166" customWidth="1"/>
    <col min="8445" max="8445" width="1.8515625" style="166" customWidth="1"/>
    <col min="8446" max="8446" width="18.7109375" style="166" customWidth="1"/>
    <col min="8447" max="8447" width="1.8515625" style="166" customWidth="1"/>
    <col min="8448" max="8448" width="23.00390625" style="166" customWidth="1"/>
    <col min="8449" max="8449" width="1.8515625" style="166" customWidth="1"/>
    <col min="8450" max="8450" width="17.421875" style="166" customWidth="1"/>
    <col min="8451" max="8451" width="3.00390625" style="166" customWidth="1"/>
    <col min="8452" max="8452" width="16.28125" style="166" customWidth="1"/>
    <col min="8453" max="8453" width="3.00390625" style="166" customWidth="1"/>
    <col min="8454" max="8454" width="14.140625" style="166" customWidth="1"/>
    <col min="8455" max="8455" width="2.00390625" style="166" customWidth="1"/>
    <col min="8456" max="8456" width="15.8515625" style="166" customWidth="1"/>
    <col min="8457" max="8457" width="3.140625" style="166" customWidth="1"/>
    <col min="8458" max="8458" width="17.8515625" style="166" customWidth="1"/>
    <col min="8459" max="8459" width="2.57421875" style="166" customWidth="1"/>
    <col min="8460" max="8460" width="15.57421875" style="166" customWidth="1"/>
    <col min="8461" max="8461" width="1.8515625" style="166" customWidth="1"/>
    <col min="8462" max="8462" width="14.140625" style="166" customWidth="1"/>
    <col min="8463" max="8463" width="11.00390625" style="166" customWidth="1"/>
    <col min="8464" max="8465" width="25.00390625" style="166" customWidth="1"/>
    <col min="8466" max="8466" width="1.8515625" style="166" customWidth="1"/>
    <col min="8467" max="8467" width="17.8515625" style="166" customWidth="1"/>
    <col min="8468" max="8468" width="1.8515625" style="166" customWidth="1"/>
    <col min="8469" max="8469" width="19.00390625" style="166" customWidth="1"/>
    <col min="8470" max="8470" width="1.8515625" style="166" customWidth="1"/>
    <col min="8471" max="8471" width="16.7109375" style="166" customWidth="1"/>
    <col min="8472" max="8472" width="1.8515625" style="166" customWidth="1"/>
    <col min="8473" max="8473" width="16.7109375" style="166" customWidth="1"/>
    <col min="8474" max="8474" width="1.8515625" style="166" customWidth="1"/>
    <col min="8475" max="8475" width="16.7109375" style="166" customWidth="1"/>
    <col min="8476" max="8476" width="1.8515625" style="166" customWidth="1"/>
    <col min="8477" max="8477" width="16.7109375" style="166" customWidth="1"/>
    <col min="8478" max="8478" width="1.8515625" style="166" customWidth="1"/>
    <col min="8479" max="8479" width="17.8515625" style="166" customWidth="1"/>
    <col min="8480" max="8480" width="5.28125" style="166" customWidth="1"/>
    <col min="8481" max="8481" width="16.7109375" style="166" customWidth="1"/>
    <col min="8482" max="8482" width="5.28125" style="166" customWidth="1"/>
    <col min="8483" max="8483" width="14.421875" style="166" customWidth="1"/>
    <col min="8484" max="8484" width="1.8515625" style="166" customWidth="1"/>
    <col min="8485" max="8485" width="16.7109375" style="166" customWidth="1"/>
    <col min="8486" max="8695" width="11.00390625" style="166" customWidth="1"/>
    <col min="8696" max="8696" width="7.57421875" style="166" customWidth="1"/>
    <col min="8697" max="8697" width="15.57421875" style="166" customWidth="1"/>
    <col min="8698" max="8698" width="20.140625" style="166" customWidth="1"/>
    <col min="8699" max="8699" width="2.28125" style="166" customWidth="1"/>
    <col min="8700" max="8700" width="17.421875" style="166" customWidth="1"/>
    <col min="8701" max="8701" width="1.8515625" style="166" customWidth="1"/>
    <col min="8702" max="8702" width="18.7109375" style="166" customWidth="1"/>
    <col min="8703" max="8703" width="1.8515625" style="166" customWidth="1"/>
    <col min="8704" max="8704" width="23.00390625" style="166" customWidth="1"/>
    <col min="8705" max="8705" width="1.8515625" style="166" customWidth="1"/>
    <col min="8706" max="8706" width="17.421875" style="166" customWidth="1"/>
    <col min="8707" max="8707" width="3.00390625" style="166" customWidth="1"/>
    <col min="8708" max="8708" width="16.28125" style="166" customWidth="1"/>
    <col min="8709" max="8709" width="3.00390625" style="166" customWidth="1"/>
    <col min="8710" max="8710" width="14.140625" style="166" customWidth="1"/>
    <col min="8711" max="8711" width="2.00390625" style="166" customWidth="1"/>
    <col min="8712" max="8712" width="15.8515625" style="166" customWidth="1"/>
    <col min="8713" max="8713" width="3.140625" style="166" customWidth="1"/>
    <col min="8714" max="8714" width="17.8515625" style="166" customWidth="1"/>
    <col min="8715" max="8715" width="2.57421875" style="166" customWidth="1"/>
    <col min="8716" max="8716" width="15.57421875" style="166" customWidth="1"/>
    <col min="8717" max="8717" width="1.8515625" style="166" customWidth="1"/>
    <col min="8718" max="8718" width="14.140625" style="166" customWidth="1"/>
    <col min="8719" max="8719" width="11.00390625" style="166" customWidth="1"/>
    <col min="8720" max="8721" width="25.00390625" style="166" customWidth="1"/>
    <col min="8722" max="8722" width="1.8515625" style="166" customWidth="1"/>
    <col min="8723" max="8723" width="17.8515625" style="166" customWidth="1"/>
    <col min="8724" max="8724" width="1.8515625" style="166" customWidth="1"/>
    <col min="8725" max="8725" width="19.00390625" style="166" customWidth="1"/>
    <col min="8726" max="8726" width="1.8515625" style="166" customWidth="1"/>
    <col min="8727" max="8727" width="16.7109375" style="166" customWidth="1"/>
    <col min="8728" max="8728" width="1.8515625" style="166" customWidth="1"/>
    <col min="8729" max="8729" width="16.7109375" style="166" customWidth="1"/>
    <col min="8730" max="8730" width="1.8515625" style="166" customWidth="1"/>
    <col min="8731" max="8731" width="16.7109375" style="166" customWidth="1"/>
    <col min="8732" max="8732" width="1.8515625" style="166" customWidth="1"/>
    <col min="8733" max="8733" width="16.7109375" style="166" customWidth="1"/>
    <col min="8734" max="8734" width="1.8515625" style="166" customWidth="1"/>
    <col min="8735" max="8735" width="17.8515625" style="166" customWidth="1"/>
    <col min="8736" max="8736" width="5.28125" style="166" customWidth="1"/>
    <col min="8737" max="8737" width="16.7109375" style="166" customWidth="1"/>
    <col min="8738" max="8738" width="5.28125" style="166" customWidth="1"/>
    <col min="8739" max="8739" width="14.421875" style="166" customWidth="1"/>
    <col min="8740" max="8740" width="1.8515625" style="166" customWidth="1"/>
    <col min="8741" max="8741" width="16.7109375" style="166" customWidth="1"/>
    <col min="8742" max="8951" width="11.00390625" style="166" customWidth="1"/>
    <col min="8952" max="8952" width="7.57421875" style="166" customWidth="1"/>
    <col min="8953" max="8953" width="15.57421875" style="166" customWidth="1"/>
    <col min="8954" max="8954" width="20.140625" style="166" customWidth="1"/>
    <col min="8955" max="8955" width="2.28125" style="166" customWidth="1"/>
    <col min="8956" max="8956" width="17.421875" style="166" customWidth="1"/>
    <col min="8957" max="8957" width="1.8515625" style="166" customWidth="1"/>
    <col min="8958" max="8958" width="18.7109375" style="166" customWidth="1"/>
    <col min="8959" max="8959" width="1.8515625" style="166" customWidth="1"/>
    <col min="8960" max="8960" width="23.00390625" style="166" customWidth="1"/>
    <col min="8961" max="8961" width="1.8515625" style="166" customWidth="1"/>
    <col min="8962" max="8962" width="17.421875" style="166" customWidth="1"/>
    <col min="8963" max="8963" width="3.00390625" style="166" customWidth="1"/>
    <col min="8964" max="8964" width="16.28125" style="166" customWidth="1"/>
    <col min="8965" max="8965" width="3.00390625" style="166" customWidth="1"/>
    <col min="8966" max="8966" width="14.140625" style="166" customWidth="1"/>
    <col min="8967" max="8967" width="2.00390625" style="166" customWidth="1"/>
    <col min="8968" max="8968" width="15.8515625" style="166" customWidth="1"/>
    <col min="8969" max="8969" width="3.140625" style="166" customWidth="1"/>
    <col min="8970" max="8970" width="17.8515625" style="166" customWidth="1"/>
    <col min="8971" max="8971" width="2.57421875" style="166" customWidth="1"/>
    <col min="8972" max="8972" width="15.57421875" style="166" customWidth="1"/>
    <col min="8973" max="8973" width="1.8515625" style="166" customWidth="1"/>
    <col min="8974" max="8974" width="14.140625" style="166" customWidth="1"/>
    <col min="8975" max="8975" width="11.00390625" style="166" customWidth="1"/>
    <col min="8976" max="8977" width="25.00390625" style="166" customWidth="1"/>
    <col min="8978" max="8978" width="1.8515625" style="166" customWidth="1"/>
    <col min="8979" max="8979" width="17.8515625" style="166" customWidth="1"/>
    <col min="8980" max="8980" width="1.8515625" style="166" customWidth="1"/>
    <col min="8981" max="8981" width="19.00390625" style="166" customWidth="1"/>
    <col min="8982" max="8982" width="1.8515625" style="166" customWidth="1"/>
    <col min="8983" max="8983" width="16.7109375" style="166" customWidth="1"/>
    <col min="8984" max="8984" width="1.8515625" style="166" customWidth="1"/>
    <col min="8985" max="8985" width="16.7109375" style="166" customWidth="1"/>
    <col min="8986" max="8986" width="1.8515625" style="166" customWidth="1"/>
    <col min="8987" max="8987" width="16.7109375" style="166" customWidth="1"/>
    <col min="8988" max="8988" width="1.8515625" style="166" customWidth="1"/>
    <col min="8989" max="8989" width="16.7109375" style="166" customWidth="1"/>
    <col min="8990" max="8990" width="1.8515625" style="166" customWidth="1"/>
    <col min="8991" max="8991" width="17.8515625" style="166" customWidth="1"/>
    <col min="8992" max="8992" width="5.28125" style="166" customWidth="1"/>
    <col min="8993" max="8993" width="16.7109375" style="166" customWidth="1"/>
    <col min="8994" max="8994" width="5.28125" style="166" customWidth="1"/>
    <col min="8995" max="8995" width="14.421875" style="166" customWidth="1"/>
    <col min="8996" max="8996" width="1.8515625" style="166" customWidth="1"/>
    <col min="8997" max="8997" width="16.7109375" style="166" customWidth="1"/>
    <col min="8998" max="9207" width="11.00390625" style="166" customWidth="1"/>
    <col min="9208" max="9208" width="7.57421875" style="166" customWidth="1"/>
    <col min="9209" max="9209" width="15.57421875" style="166" customWidth="1"/>
    <col min="9210" max="9210" width="20.140625" style="166" customWidth="1"/>
    <col min="9211" max="9211" width="2.28125" style="166" customWidth="1"/>
    <col min="9212" max="9212" width="17.421875" style="166" customWidth="1"/>
    <col min="9213" max="9213" width="1.8515625" style="166" customWidth="1"/>
    <col min="9214" max="9214" width="18.7109375" style="166" customWidth="1"/>
    <col min="9215" max="9215" width="1.8515625" style="166" customWidth="1"/>
    <col min="9216" max="9216" width="23.00390625" style="166" customWidth="1"/>
    <col min="9217" max="9217" width="1.8515625" style="166" customWidth="1"/>
    <col min="9218" max="9218" width="17.421875" style="166" customWidth="1"/>
    <col min="9219" max="9219" width="3.00390625" style="166" customWidth="1"/>
    <col min="9220" max="9220" width="16.28125" style="166" customWidth="1"/>
    <col min="9221" max="9221" width="3.00390625" style="166" customWidth="1"/>
    <col min="9222" max="9222" width="14.140625" style="166" customWidth="1"/>
    <col min="9223" max="9223" width="2.00390625" style="166" customWidth="1"/>
    <col min="9224" max="9224" width="15.8515625" style="166" customWidth="1"/>
    <col min="9225" max="9225" width="3.140625" style="166" customWidth="1"/>
    <col min="9226" max="9226" width="17.8515625" style="166" customWidth="1"/>
    <col min="9227" max="9227" width="2.57421875" style="166" customWidth="1"/>
    <col min="9228" max="9228" width="15.57421875" style="166" customWidth="1"/>
    <col min="9229" max="9229" width="1.8515625" style="166" customWidth="1"/>
    <col min="9230" max="9230" width="14.140625" style="166" customWidth="1"/>
    <col min="9231" max="9231" width="11.00390625" style="166" customWidth="1"/>
    <col min="9232" max="9233" width="25.00390625" style="166" customWidth="1"/>
    <col min="9234" max="9234" width="1.8515625" style="166" customWidth="1"/>
    <col min="9235" max="9235" width="17.8515625" style="166" customWidth="1"/>
    <col min="9236" max="9236" width="1.8515625" style="166" customWidth="1"/>
    <col min="9237" max="9237" width="19.00390625" style="166" customWidth="1"/>
    <col min="9238" max="9238" width="1.8515625" style="166" customWidth="1"/>
    <col min="9239" max="9239" width="16.7109375" style="166" customWidth="1"/>
    <col min="9240" max="9240" width="1.8515625" style="166" customWidth="1"/>
    <col min="9241" max="9241" width="16.7109375" style="166" customWidth="1"/>
    <col min="9242" max="9242" width="1.8515625" style="166" customWidth="1"/>
    <col min="9243" max="9243" width="16.7109375" style="166" customWidth="1"/>
    <col min="9244" max="9244" width="1.8515625" style="166" customWidth="1"/>
    <col min="9245" max="9245" width="16.7109375" style="166" customWidth="1"/>
    <col min="9246" max="9246" width="1.8515625" style="166" customWidth="1"/>
    <col min="9247" max="9247" width="17.8515625" style="166" customWidth="1"/>
    <col min="9248" max="9248" width="5.28125" style="166" customWidth="1"/>
    <col min="9249" max="9249" width="16.7109375" style="166" customWidth="1"/>
    <col min="9250" max="9250" width="5.28125" style="166" customWidth="1"/>
    <col min="9251" max="9251" width="14.421875" style="166" customWidth="1"/>
    <col min="9252" max="9252" width="1.8515625" style="166" customWidth="1"/>
    <col min="9253" max="9253" width="16.7109375" style="166" customWidth="1"/>
    <col min="9254" max="9463" width="11.00390625" style="166" customWidth="1"/>
    <col min="9464" max="9464" width="7.57421875" style="166" customWidth="1"/>
    <col min="9465" max="9465" width="15.57421875" style="166" customWidth="1"/>
    <col min="9466" max="9466" width="20.140625" style="166" customWidth="1"/>
    <col min="9467" max="9467" width="2.28125" style="166" customWidth="1"/>
    <col min="9468" max="9468" width="17.421875" style="166" customWidth="1"/>
    <col min="9469" max="9469" width="1.8515625" style="166" customWidth="1"/>
    <col min="9470" max="9470" width="18.7109375" style="166" customWidth="1"/>
    <col min="9471" max="9471" width="1.8515625" style="166" customWidth="1"/>
    <col min="9472" max="9472" width="23.00390625" style="166" customWidth="1"/>
    <col min="9473" max="9473" width="1.8515625" style="166" customWidth="1"/>
    <col min="9474" max="9474" width="17.421875" style="166" customWidth="1"/>
    <col min="9475" max="9475" width="3.00390625" style="166" customWidth="1"/>
    <col min="9476" max="9476" width="16.28125" style="166" customWidth="1"/>
    <col min="9477" max="9477" width="3.00390625" style="166" customWidth="1"/>
    <col min="9478" max="9478" width="14.140625" style="166" customWidth="1"/>
    <col min="9479" max="9479" width="2.00390625" style="166" customWidth="1"/>
    <col min="9480" max="9480" width="15.8515625" style="166" customWidth="1"/>
    <col min="9481" max="9481" width="3.140625" style="166" customWidth="1"/>
    <col min="9482" max="9482" width="17.8515625" style="166" customWidth="1"/>
    <col min="9483" max="9483" width="2.57421875" style="166" customWidth="1"/>
    <col min="9484" max="9484" width="15.57421875" style="166" customWidth="1"/>
    <col min="9485" max="9485" width="1.8515625" style="166" customWidth="1"/>
    <col min="9486" max="9486" width="14.140625" style="166" customWidth="1"/>
    <col min="9487" max="9487" width="11.00390625" style="166" customWidth="1"/>
    <col min="9488" max="9489" width="25.00390625" style="166" customWidth="1"/>
    <col min="9490" max="9490" width="1.8515625" style="166" customWidth="1"/>
    <col min="9491" max="9491" width="17.8515625" style="166" customWidth="1"/>
    <col min="9492" max="9492" width="1.8515625" style="166" customWidth="1"/>
    <col min="9493" max="9493" width="19.00390625" style="166" customWidth="1"/>
    <col min="9494" max="9494" width="1.8515625" style="166" customWidth="1"/>
    <col min="9495" max="9495" width="16.7109375" style="166" customWidth="1"/>
    <col min="9496" max="9496" width="1.8515625" style="166" customWidth="1"/>
    <col min="9497" max="9497" width="16.7109375" style="166" customWidth="1"/>
    <col min="9498" max="9498" width="1.8515625" style="166" customWidth="1"/>
    <col min="9499" max="9499" width="16.7109375" style="166" customWidth="1"/>
    <col min="9500" max="9500" width="1.8515625" style="166" customWidth="1"/>
    <col min="9501" max="9501" width="16.7109375" style="166" customWidth="1"/>
    <col min="9502" max="9502" width="1.8515625" style="166" customWidth="1"/>
    <col min="9503" max="9503" width="17.8515625" style="166" customWidth="1"/>
    <col min="9504" max="9504" width="5.28125" style="166" customWidth="1"/>
    <col min="9505" max="9505" width="16.7109375" style="166" customWidth="1"/>
    <col min="9506" max="9506" width="5.28125" style="166" customWidth="1"/>
    <col min="9507" max="9507" width="14.421875" style="166" customWidth="1"/>
    <col min="9508" max="9508" width="1.8515625" style="166" customWidth="1"/>
    <col min="9509" max="9509" width="16.7109375" style="166" customWidth="1"/>
    <col min="9510" max="9719" width="11.00390625" style="166" customWidth="1"/>
    <col min="9720" max="9720" width="7.57421875" style="166" customWidth="1"/>
    <col min="9721" max="9721" width="15.57421875" style="166" customWidth="1"/>
    <col min="9722" max="9722" width="20.140625" style="166" customWidth="1"/>
    <col min="9723" max="9723" width="2.28125" style="166" customWidth="1"/>
    <col min="9724" max="9724" width="17.421875" style="166" customWidth="1"/>
    <col min="9725" max="9725" width="1.8515625" style="166" customWidth="1"/>
    <col min="9726" max="9726" width="18.7109375" style="166" customWidth="1"/>
    <col min="9727" max="9727" width="1.8515625" style="166" customWidth="1"/>
    <col min="9728" max="9728" width="23.00390625" style="166" customWidth="1"/>
    <col min="9729" max="9729" width="1.8515625" style="166" customWidth="1"/>
    <col min="9730" max="9730" width="17.421875" style="166" customWidth="1"/>
    <col min="9731" max="9731" width="3.00390625" style="166" customWidth="1"/>
    <col min="9732" max="9732" width="16.28125" style="166" customWidth="1"/>
    <col min="9733" max="9733" width="3.00390625" style="166" customWidth="1"/>
    <col min="9734" max="9734" width="14.140625" style="166" customWidth="1"/>
    <col min="9735" max="9735" width="2.00390625" style="166" customWidth="1"/>
    <col min="9736" max="9736" width="15.8515625" style="166" customWidth="1"/>
    <col min="9737" max="9737" width="3.140625" style="166" customWidth="1"/>
    <col min="9738" max="9738" width="17.8515625" style="166" customWidth="1"/>
    <col min="9739" max="9739" width="2.57421875" style="166" customWidth="1"/>
    <col min="9740" max="9740" width="15.57421875" style="166" customWidth="1"/>
    <col min="9741" max="9741" width="1.8515625" style="166" customWidth="1"/>
    <col min="9742" max="9742" width="14.140625" style="166" customWidth="1"/>
    <col min="9743" max="9743" width="11.00390625" style="166" customWidth="1"/>
    <col min="9744" max="9745" width="25.00390625" style="166" customWidth="1"/>
    <col min="9746" max="9746" width="1.8515625" style="166" customWidth="1"/>
    <col min="9747" max="9747" width="17.8515625" style="166" customWidth="1"/>
    <col min="9748" max="9748" width="1.8515625" style="166" customWidth="1"/>
    <col min="9749" max="9749" width="19.00390625" style="166" customWidth="1"/>
    <col min="9750" max="9750" width="1.8515625" style="166" customWidth="1"/>
    <col min="9751" max="9751" width="16.7109375" style="166" customWidth="1"/>
    <col min="9752" max="9752" width="1.8515625" style="166" customWidth="1"/>
    <col min="9753" max="9753" width="16.7109375" style="166" customWidth="1"/>
    <col min="9754" max="9754" width="1.8515625" style="166" customWidth="1"/>
    <col min="9755" max="9755" width="16.7109375" style="166" customWidth="1"/>
    <col min="9756" max="9756" width="1.8515625" style="166" customWidth="1"/>
    <col min="9757" max="9757" width="16.7109375" style="166" customWidth="1"/>
    <col min="9758" max="9758" width="1.8515625" style="166" customWidth="1"/>
    <col min="9759" max="9759" width="17.8515625" style="166" customWidth="1"/>
    <col min="9760" max="9760" width="5.28125" style="166" customWidth="1"/>
    <col min="9761" max="9761" width="16.7109375" style="166" customWidth="1"/>
    <col min="9762" max="9762" width="5.28125" style="166" customWidth="1"/>
    <col min="9763" max="9763" width="14.421875" style="166" customWidth="1"/>
    <col min="9764" max="9764" width="1.8515625" style="166" customWidth="1"/>
    <col min="9765" max="9765" width="16.7109375" style="166" customWidth="1"/>
    <col min="9766" max="9975" width="11.00390625" style="166" customWidth="1"/>
    <col min="9976" max="9976" width="7.57421875" style="166" customWidth="1"/>
    <col min="9977" max="9977" width="15.57421875" style="166" customWidth="1"/>
    <col min="9978" max="9978" width="20.140625" style="166" customWidth="1"/>
    <col min="9979" max="9979" width="2.28125" style="166" customWidth="1"/>
    <col min="9980" max="9980" width="17.421875" style="166" customWidth="1"/>
    <col min="9981" max="9981" width="1.8515625" style="166" customWidth="1"/>
    <col min="9982" max="9982" width="18.7109375" style="166" customWidth="1"/>
    <col min="9983" max="9983" width="1.8515625" style="166" customWidth="1"/>
    <col min="9984" max="9984" width="23.00390625" style="166" customWidth="1"/>
    <col min="9985" max="9985" width="1.8515625" style="166" customWidth="1"/>
    <col min="9986" max="9986" width="17.421875" style="166" customWidth="1"/>
    <col min="9987" max="9987" width="3.00390625" style="166" customWidth="1"/>
    <col min="9988" max="9988" width="16.28125" style="166" customWidth="1"/>
    <col min="9989" max="9989" width="3.00390625" style="166" customWidth="1"/>
    <col min="9990" max="9990" width="14.140625" style="166" customWidth="1"/>
    <col min="9991" max="9991" width="2.00390625" style="166" customWidth="1"/>
    <col min="9992" max="9992" width="15.8515625" style="166" customWidth="1"/>
    <col min="9993" max="9993" width="3.140625" style="166" customWidth="1"/>
    <col min="9994" max="9994" width="17.8515625" style="166" customWidth="1"/>
    <col min="9995" max="9995" width="2.57421875" style="166" customWidth="1"/>
    <col min="9996" max="9996" width="15.57421875" style="166" customWidth="1"/>
    <col min="9997" max="9997" width="1.8515625" style="166" customWidth="1"/>
    <col min="9998" max="9998" width="14.140625" style="166" customWidth="1"/>
    <col min="9999" max="9999" width="11.00390625" style="166" customWidth="1"/>
    <col min="10000" max="10001" width="25.00390625" style="166" customWidth="1"/>
    <col min="10002" max="10002" width="1.8515625" style="166" customWidth="1"/>
    <col min="10003" max="10003" width="17.8515625" style="166" customWidth="1"/>
    <col min="10004" max="10004" width="1.8515625" style="166" customWidth="1"/>
    <col min="10005" max="10005" width="19.00390625" style="166" customWidth="1"/>
    <col min="10006" max="10006" width="1.8515625" style="166" customWidth="1"/>
    <col min="10007" max="10007" width="16.7109375" style="166" customWidth="1"/>
    <col min="10008" max="10008" width="1.8515625" style="166" customWidth="1"/>
    <col min="10009" max="10009" width="16.7109375" style="166" customWidth="1"/>
    <col min="10010" max="10010" width="1.8515625" style="166" customWidth="1"/>
    <col min="10011" max="10011" width="16.7109375" style="166" customWidth="1"/>
    <col min="10012" max="10012" width="1.8515625" style="166" customWidth="1"/>
    <col min="10013" max="10013" width="16.7109375" style="166" customWidth="1"/>
    <col min="10014" max="10014" width="1.8515625" style="166" customWidth="1"/>
    <col min="10015" max="10015" width="17.8515625" style="166" customWidth="1"/>
    <col min="10016" max="10016" width="5.28125" style="166" customWidth="1"/>
    <col min="10017" max="10017" width="16.7109375" style="166" customWidth="1"/>
    <col min="10018" max="10018" width="5.28125" style="166" customWidth="1"/>
    <col min="10019" max="10019" width="14.421875" style="166" customWidth="1"/>
    <col min="10020" max="10020" width="1.8515625" style="166" customWidth="1"/>
    <col min="10021" max="10021" width="16.7109375" style="166" customWidth="1"/>
    <col min="10022" max="10231" width="11.00390625" style="166" customWidth="1"/>
    <col min="10232" max="10232" width="7.57421875" style="166" customWidth="1"/>
    <col min="10233" max="10233" width="15.57421875" style="166" customWidth="1"/>
    <col min="10234" max="10234" width="20.140625" style="166" customWidth="1"/>
    <col min="10235" max="10235" width="2.28125" style="166" customWidth="1"/>
    <col min="10236" max="10236" width="17.421875" style="166" customWidth="1"/>
    <col min="10237" max="10237" width="1.8515625" style="166" customWidth="1"/>
    <col min="10238" max="10238" width="18.7109375" style="166" customWidth="1"/>
    <col min="10239" max="10239" width="1.8515625" style="166" customWidth="1"/>
    <col min="10240" max="10240" width="23.00390625" style="166" customWidth="1"/>
    <col min="10241" max="10241" width="1.8515625" style="166" customWidth="1"/>
    <col min="10242" max="10242" width="17.421875" style="166" customWidth="1"/>
    <col min="10243" max="10243" width="3.00390625" style="166" customWidth="1"/>
    <col min="10244" max="10244" width="16.28125" style="166" customWidth="1"/>
    <col min="10245" max="10245" width="3.00390625" style="166" customWidth="1"/>
    <col min="10246" max="10246" width="14.140625" style="166" customWidth="1"/>
    <col min="10247" max="10247" width="2.00390625" style="166" customWidth="1"/>
    <col min="10248" max="10248" width="15.8515625" style="166" customWidth="1"/>
    <col min="10249" max="10249" width="3.140625" style="166" customWidth="1"/>
    <col min="10250" max="10250" width="17.8515625" style="166" customWidth="1"/>
    <col min="10251" max="10251" width="2.57421875" style="166" customWidth="1"/>
    <col min="10252" max="10252" width="15.57421875" style="166" customWidth="1"/>
    <col min="10253" max="10253" width="1.8515625" style="166" customWidth="1"/>
    <col min="10254" max="10254" width="14.140625" style="166" customWidth="1"/>
    <col min="10255" max="10255" width="11.00390625" style="166" customWidth="1"/>
    <col min="10256" max="10257" width="25.00390625" style="166" customWidth="1"/>
    <col min="10258" max="10258" width="1.8515625" style="166" customWidth="1"/>
    <col min="10259" max="10259" width="17.8515625" style="166" customWidth="1"/>
    <col min="10260" max="10260" width="1.8515625" style="166" customWidth="1"/>
    <col min="10261" max="10261" width="19.00390625" style="166" customWidth="1"/>
    <col min="10262" max="10262" width="1.8515625" style="166" customWidth="1"/>
    <col min="10263" max="10263" width="16.7109375" style="166" customWidth="1"/>
    <col min="10264" max="10264" width="1.8515625" style="166" customWidth="1"/>
    <col min="10265" max="10265" width="16.7109375" style="166" customWidth="1"/>
    <col min="10266" max="10266" width="1.8515625" style="166" customWidth="1"/>
    <col min="10267" max="10267" width="16.7109375" style="166" customWidth="1"/>
    <col min="10268" max="10268" width="1.8515625" style="166" customWidth="1"/>
    <col min="10269" max="10269" width="16.7109375" style="166" customWidth="1"/>
    <col min="10270" max="10270" width="1.8515625" style="166" customWidth="1"/>
    <col min="10271" max="10271" width="17.8515625" style="166" customWidth="1"/>
    <col min="10272" max="10272" width="5.28125" style="166" customWidth="1"/>
    <col min="10273" max="10273" width="16.7109375" style="166" customWidth="1"/>
    <col min="10274" max="10274" width="5.28125" style="166" customWidth="1"/>
    <col min="10275" max="10275" width="14.421875" style="166" customWidth="1"/>
    <col min="10276" max="10276" width="1.8515625" style="166" customWidth="1"/>
    <col min="10277" max="10277" width="16.7109375" style="166" customWidth="1"/>
    <col min="10278" max="10487" width="11.00390625" style="166" customWidth="1"/>
    <col min="10488" max="10488" width="7.57421875" style="166" customWidth="1"/>
    <col min="10489" max="10489" width="15.57421875" style="166" customWidth="1"/>
    <col min="10490" max="10490" width="20.140625" style="166" customWidth="1"/>
    <col min="10491" max="10491" width="2.28125" style="166" customWidth="1"/>
    <col min="10492" max="10492" width="17.421875" style="166" customWidth="1"/>
    <col min="10493" max="10493" width="1.8515625" style="166" customWidth="1"/>
    <col min="10494" max="10494" width="18.7109375" style="166" customWidth="1"/>
    <col min="10495" max="10495" width="1.8515625" style="166" customWidth="1"/>
    <col min="10496" max="10496" width="23.00390625" style="166" customWidth="1"/>
    <col min="10497" max="10497" width="1.8515625" style="166" customWidth="1"/>
    <col min="10498" max="10498" width="17.421875" style="166" customWidth="1"/>
    <col min="10499" max="10499" width="3.00390625" style="166" customWidth="1"/>
    <col min="10500" max="10500" width="16.28125" style="166" customWidth="1"/>
    <col min="10501" max="10501" width="3.00390625" style="166" customWidth="1"/>
    <col min="10502" max="10502" width="14.140625" style="166" customWidth="1"/>
    <col min="10503" max="10503" width="2.00390625" style="166" customWidth="1"/>
    <col min="10504" max="10504" width="15.8515625" style="166" customWidth="1"/>
    <col min="10505" max="10505" width="3.140625" style="166" customWidth="1"/>
    <col min="10506" max="10506" width="17.8515625" style="166" customWidth="1"/>
    <col min="10507" max="10507" width="2.57421875" style="166" customWidth="1"/>
    <col min="10508" max="10508" width="15.57421875" style="166" customWidth="1"/>
    <col min="10509" max="10509" width="1.8515625" style="166" customWidth="1"/>
    <col min="10510" max="10510" width="14.140625" style="166" customWidth="1"/>
    <col min="10511" max="10511" width="11.00390625" style="166" customWidth="1"/>
    <col min="10512" max="10513" width="25.00390625" style="166" customWidth="1"/>
    <col min="10514" max="10514" width="1.8515625" style="166" customWidth="1"/>
    <col min="10515" max="10515" width="17.8515625" style="166" customWidth="1"/>
    <col min="10516" max="10516" width="1.8515625" style="166" customWidth="1"/>
    <col min="10517" max="10517" width="19.00390625" style="166" customWidth="1"/>
    <col min="10518" max="10518" width="1.8515625" style="166" customWidth="1"/>
    <col min="10519" max="10519" width="16.7109375" style="166" customWidth="1"/>
    <col min="10520" max="10520" width="1.8515625" style="166" customWidth="1"/>
    <col min="10521" max="10521" width="16.7109375" style="166" customWidth="1"/>
    <col min="10522" max="10522" width="1.8515625" style="166" customWidth="1"/>
    <col min="10523" max="10523" width="16.7109375" style="166" customWidth="1"/>
    <col min="10524" max="10524" width="1.8515625" style="166" customWidth="1"/>
    <col min="10525" max="10525" width="16.7109375" style="166" customWidth="1"/>
    <col min="10526" max="10526" width="1.8515625" style="166" customWidth="1"/>
    <col min="10527" max="10527" width="17.8515625" style="166" customWidth="1"/>
    <col min="10528" max="10528" width="5.28125" style="166" customWidth="1"/>
    <col min="10529" max="10529" width="16.7109375" style="166" customWidth="1"/>
    <col min="10530" max="10530" width="5.28125" style="166" customWidth="1"/>
    <col min="10531" max="10531" width="14.421875" style="166" customWidth="1"/>
    <col min="10532" max="10532" width="1.8515625" style="166" customWidth="1"/>
    <col min="10533" max="10533" width="16.7109375" style="166" customWidth="1"/>
    <col min="10534" max="10743" width="11.00390625" style="166" customWidth="1"/>
    <col min="10744" max="10744" width="7.57421875" style="166" customWidth="1"/>
    <col min="10745" max="10745" width="15.57421875" style="166" customWidth="1"/>
    <col min="10746" max="10746" width="20.140625" style="166" customWidth="1"/>
    <col min="10747" max="10747" width="2.28125" style="166" customWidth="1"/>
    <col min="10748" max="10748" width="17.421875" style="166" customWidth="1"/>
    <col min="10749" max="10749" width="1.8515625" style="166" customWidth="1"/>
    <col min="10750" max="10750" width="18.7109375" style="166" customWidth="1"/>
    <col min="10751" max="10751" width="1.8515625" style="166" customWidth="1"/>
    <col min="10752" max="10752" width="23.00390625" style="166" customWidth="1"/>
    <col min="10753" max="10753" width="1.8515625" style="166" customWidth="1"/>
    <col min="10754" max="10754" width="17.421875" style="166" customWidth="1"/>
    <col min="10755" max="10755" width="3.00390625" style="166" customWidth="1"/>
    <col min="10756" max="10756" width="16.28125" style="166" customWidth="1"/>
    <col min="10757" max="10757" width="3.00390625" style="166" customWidth="1"/>
    <col min="10758" max="10758" width="14.140625" style="166" customWidth="1"/>
    <col min="10759" max="10759" width="2.00390625" style="166" customWidth="1"/>
    <col min="10760" max="10760" width="15.8515625" style="166" customWidth="1"/>
    <col min="10761" max="10761" width="3.140625" style="166" customWidth="1"/>
    <col min="10762" max="10762" width="17.8515625" style="166" customWidth="1"/>
    <col min="10763" max="10763" width="2.57421875" style="166" customWidth="1"/>
    <col min="10764" max="10764" width="15.57421875" style="166" customWidth="1"/>
    <col min="10765" max="10765" width="1.8515625" style="166" customWidth="1"/>
    <col min="10766" max="10766" width="14.140625" style="166" customWidth="1"/>
    <col min="10767" max="10767" width="11.00390625" style="166" customWidth="1"/>
    <col min="10768" max="10769" width="25.00390625" style="166" customWidth="1"/>
    <col min="10770" max="10770" width="1.8515625" style="166" customWidth="1"/>
    <col min="10771" max="10771" width="17.8515625" style="166" customWidth="1"/>
    <col min="10772" max="10772" width="1.8515625" style="166" customWidth="1"/>
    <col min="10773" max="10773" width="19.00390625" style="166" customWidth="1"/>
    <col min="10774" max="10774" width="1.8515625" style="166" customWidth="1"/>
    <col min="10775" max="10775" width="16.7109375" style="166" customWidth="1"/>
    <col min="10776" max="10776" width="1.8515625" style="166" customWidth="1"/>
    <col min="10777" max="10777" width="16.7109375" style="166" customWidth="1"/>
    <col min="10778" max="10778" width="1.8515625" style="166" customWidth="1"/>
    <col min="10779" max="10779" width="16.7109375" style="166" customWidth="1"/>
    <col min="10780" max="10780" width="1.8515625" style="166" customWidth="1"/>
    <col min="10781" max="10781" width="16.7109375" style="166" customWidth="1"/>
    <col min="10782" max="10782" width="1.8515625" style="166" customWidth="1"/>
    <col min="10783" max="10783" width="17.8515625" style="166" customWidth="1"/>
    <col min="10784" max="10784" width="5.28125" style="166" customWidth="1"/>
    <col min="10785" max="10785" width="16.7109375" style="166" customWidth="1"/>
    <col min="10786" max="10786" width="5.28125" style="166" customWidth="1"/>
    <col min="10787" max="10787" width="14.421875" style="166" customWidth="1"/>
    <col min="10788" max="10788" width="1.8515625" style="166" customWidth="1"/>
    <col min="10789" max="10789" width="16.7109375" style="166" customWidth="1"/>
    <col min="10790" max="10999" width="11.00390625" style="166" customWidth="1"/>
    <col min="11000" max="11000" width="7.57421875" style="166" customWidth="1"/>
    <col min="11001" max="11001" width="15.57421875" style="166" customWidth="1"/>
    <col min="11002" max="11002" width="20.140625" style="166" customWidth="1"/>
    <col min="11003" max="11003" width="2.28125" style="166" customWidth="1"/>
    <col min="11004" max="11004" width="17.421875" style="166" customWidth="1"/>
    <col min="11005" max="11005" width="1.8515625" style="166" customWidth="1"/>
    <col min="11006" max="11006" width="18.7109375" style="166" customWidth="1"/>
    <col min="11007" max="11007" width="1.8515625" style="166" customWidth="1"/>
    <col min="11008" max="11008" width="23.00390625" style="166" customWidth="1"/>
    <col min="11009" max="11009" width="1.8515625" style="166" customWidth="1"/>
    <col min="11010" max="11010" width="17.421875" style="166" customWidth="1"/>
    <col min="11011" max="11011" width="3.00390625" style="166" customWidth="1"/>
    <col min="11012" max="11012" width="16.28125" style="166" customWidth="1"/>
    <col min="11013" max="11013" width="3.00390625" style="166" customWidth="1"/>
    <col min="11014" max="11014" width="14.140625" style="166" customWidth="1"/>
    <col min="11015" max="11015" width="2.00390625" style="166" customWidth="1"/>
    <col min="11016" max="11016" width="15.8515625" style="166" customWidth="1"/>
    <col min="11017" max="11017" width="3.140625" style="166" customWidth="1"/>
    <col min="11018" max="11018" width="17.8515625" style="166" customWidth="1"/>
    <col min="11019" max="11019" width="2.57421875" style="166" customWidth="1"/>
    <col min="11020" max="11020" width="15.57421875" style="166" customWidth="1"/>
    <col min="11021" max="11021" width="1.8515625" style="166" customWidth="1"/>
    <col min="11022" max="11022" width="14.140625" style="166" customWidth="1"/>
    <col min="11023" max="11023" width="11.00390625" style="166" customWidth="1"/>
    <col min="11024" max="11025" width="25.00390625" style="166" customWidth="1"/>
    <col min="11026" max="11026" width="1.8515625" style="166" customWidth="1"/>
    <col min="11027" max="11027" width="17.8515625" style="166" customWidth="1"/>
    <col min="11028" max="11028" width="1.8515625" style="166" customWidth="1"/>
    <col min="11029" max="11029" width="19.00390625" style="166" customWidth="1"/>
    <col min="11030" max="11030" width="1.8515625" style="166" customWidth="1"/>
    <col min="11031" max="11031" width="16.7109375" style="166" customWidth="1"/>
    <col min="11032" max="11032" width="1.8515625" style="166" customWidth="1"/>
    <col min="11033" max="11033" width="16.7109375" style="166" customWidth="1"/>
    <col min="11034" max="11034" width="1.8515625" style="166" customWidth="1"/>
    <col min="11035" max="11035" width="16.7109375" style="166" customWidth="1"/>
    <col min="11036" max="11036" width="1.8515625" style="166" customWidth="1"/>
    <col min="11037" max="11037" width="16.7109375" style="166" customWidth="1"/>
    <col min="11038" max="11038" width="1.8515625" style="166" customWidth="1"/>
    <col min="11039" max="11039" width="17.8515625" style="166" customWidth="1"/>
    <col min="11040" max="11040" width="5.28125" style="166" customWidth="1"/>
    <col min="11041" max="11041" width="16.7109375" style="166" customWidth="1"/>
    <col min="11042" max="11042" width="5.28125" style="166" customWidth="1"/>
    <col min="11043" max="11043" width="14.421875" style="166" customWidth="1"/>
    <col min="11044" max="11044" width="1.8515625" style="166" customWidth="1"/>
    <col min="11045" max="11045" width="16.7109375" style="166" customWidth="1"/>
    <col min="11046" max="11255" width="11.00390625" style="166" customWidth="1"/>
    <col min="11256" max="11256" width="7.57421875" style="166" customWidth="1"/>
    <col min="11257" max="11257" width="15.57421875" style="166" customWidth="1"/>
    <col min="11258" max="11258" width="20.140625" style="166" customWidth="1"/>
    <col min="11259" max="11259" width="2.28125" style="166" customWidth="1"/>
    <col min="11260" max="11260" width="17.421875" style="166" customWidth="1"/>
    <col min="11261" max="11261" width="1.8515625" style="166" customWidth="1"/>
    <col min="11262" max="11262" width="18.7109375" style="166" customWidth="1"/>
    <col min="11263" max="11263" width="1.8515625" style="166" customWidth="1"/>
    <col min="11264" max="11264" width="23.00390625" style="166" customWidth="1"/>
    <col min="11265" max="11265" width="1.8515625" style="166" customWidth="1"/>
    <col min="11266" max="11266" width="17.421875" style="166" customWidth="1"/>
    <col min="11267" max="11267" width="3.00390625" style="166" customWidth="1"/>
    <col min="11268" max="11268" width="16.28125" style="166" customWidth="1"/>
    <col min="11269" max="11269" width="3.00390625" style="166" customWidth="1"/>
    <col min="11270" max="11270" width="14.140625" style="166" customWidth="1"/>
    <col min="11271" max="11271" width="2.00390625" style="166" customWidth="1"/>
    <col min="11272" max="11272" width="15.8515625" style="166" customWidth="1"/>
    <col min="11273" max="11273" width="3.140625" style="166" customWidth="1"/>
    <col min="11274" max="11274" width="17.8515625" style="166" customWidth="1"/>
    <col min="11275" max="11275" width="2.57421875" style="166" customWidth="1"/>
    <col min="11276" max="11276" width="15.57421875" style="166" customWidth="1"/>
    <col min="11277" max="11277" width="1.8515625" style="166" customWidth="1"/>
    <col min="11278" max="11278" width="14.140625" style="166" customWidth="1"/>
    <col min="11279" max="11279" width="11.00390625" style="166" customWidth="1"/>
    <col min="11280" max="11281" width="25.00390625" style="166" customWidth="1"/>
    <col min="11282" max="11282" width="1.8515625" style="166" customWidth="1"/>
    <col min="11283" max="11283" width="17.8515625" style="166" customWidth="1"/>
    <col min="11284" max="11284" width="1.8515625" style="166" customWidth="1"/>
    <col min="11285" max="11285" width="19.00390625" style="166" customWidth="1"/>
    <col min="11286" max="11286" width="1.8515625" style="166" customWidth="1"/>
    <col min="11287" max="11287" width="16.7109375" style="166" customWidth="1"/>
    <col min="11288" max="11288" width="1.8515625" style="166" customWidth="1"/>
    <col min="11289" max="11289" width="16.7109375" style="166" customWidth="1"/>
    <col min="11290" max="11290" width="1.8515625" style="166" customWidth="1"/>
    <col min="11291" max="11291" width="16.7109375" style="166" customWidth="1"/>
    <col min="11292" max="11292" width="1.8515625" style="166" customWidth="1"/>
    <col min="11293" max="11293" width="16.7109375" style="166" customWidth="1"/>
    <col min="11294" max="11294" width="1.8515625" style="166" customWidth="1"/>
    <col min="11295" max="11295" width="17.8515625" style="166" customWidth="1"/>
    <col min="11296" max="11296" width="5.28125" style="166" customWidth="1"/>
    <col min="11297" max="11297" width="16.7109375" style="166" customWidth="1"/>
    <col min="11298" max="11298" width="5.28125" style="166" customWidth="1"/>
    <col min="11299" max="11299" width="14.421875" style="166" customWidth="1"/>
    <col min="11300" max="11300" width="1.8515625" style="166" customWidth="1"/>
    <col min="11301" max="11301" width="16.7109375" style="166" customWidth="1"/>
    <col min="11302" max="11511" width="11.00390625" style="166" customWidth="1"/>
    <col min="11512" max="11512" width="7.57421875" style="166" customWidth="1"/>
    <col min="11513" max="11513" width="15.57421875" style="166" customWidth="1"/>
    <col min="11514" max="11514" width="20.140625" style="166" customWidth="1"/>
    <col min="11515" max="11515" width="2.28125" style="166" customWidth="1"/>
    <col min="11516" max="11516" width="17.421875" style="166" customWidth="1"/>
    <col min="11517" max="11517" width="1.8515625" style="166" customWidth="1"/>
    <col min="11518" max="11518" width="18.7109375" style="166" customWidth="1"/>
    <col min="11519" max="11519" width="1.8515625" style="166" customWidth="1"/>
    <col min="11520" max="11520" width="23.00390625" style="166" customWidth="1"/>
    <col min="11521" max="11521" width="1.8515625" style="166" customWidth="1"/>
    <col min="11522" max="11522" width="17.421875" style="166" customWidth="1"/>
    <col min="11523" max="11523" width="3.00390625" style="166" customWidth="1"/>
    <col min="11524" max="11524" width="16.28125" style="166" customWidth="1"/>
    <col min="11525" max="11525" width="3.00390625" style="166" customWidth="1"/>
    <col min="11526" max="11526" width="14.140625" style="166" customWidth="1"/>
    <col min="11527" max="11527" width="2.00390625" style="166" customWidth="1"/>
    <col min="11528" max="11528" width="15.8515625" style="166" customWidth="1"/>
    <col min="11529" max="11529" width="3.140625" style="166" customWidth="1"/>
    <col min="11530" max="11530" width="17.8515625" style="166" customWidth="1"/>
    <col min="11531" max="11531" width="2.57421875" style="166" customWidth="1"/>
    <col min="11532" max="11532" width="15.57421875" style="166" customWidth="1"/>
    <col min="11533" max="11533" width="1.8515625" style="166" customWidth="1"/>
    <col min="11534" max="11534" width="14.140625" style="166" customWidth="1"/>
    <col min="11535" max="11535" width="11.00390625" style="166" customWidth="1"/>
    <col min="11536" max="11537" width="25.00390625" style="166" customWidth="1"/>
    <col min="11538" max="11538" width="1.8515625" style="166" customWidth="1"/>
    <col min="11539" max="11539" width="17.8515625" style="166" customWidth="1"/>
    <col min="11540" max="11540" width="1.8515625" style="166" customWidth="1"/>
    <col min="11541" max="11541" width="19.00390625" style="166" customWidth="1"/>
    <col min="11542" max="11542" width="1.8515625" style="166" customWidth="1"/>
    <col min="11543" max="11543" width="16.7109375" style="166" customWidth="1"/>
    <col min="11544" max="11544" width="1.8515625" style="166" customWidth="1"/>
    <col min="11545" max="11545" width="16.7109375" style="166" customWidth="1"/>
    <col min="11546" max="11546" width="1.8515625" style="166" customWidth="1"/>
    <col min="11547" max="11547" width="16.7109375" style="166" customWidth="1"/>
    <col min="11548" max="11548" width="1.8515625" style="166" customWidth="1"/>
    <col min="11549" max="11549" width="16.7109375" style="166" customWidth="1"/>
    <col min="11550" max="11550" width="1.8515625" style="166" customWidth="1"/>
    <col min="11551" max="11551" width="17.8515625" style="166" customWidth="1"/>
    <col min="11552" max="11552" width="5.28125" style="166" customWidth="1"/>
    <col min="11553" max="11553" width="16.7109375" style="166" customWidth="1"/>
    <col min="11554" max="11554" width="5.28125" style="166" customWidth="1"/>
    <col min="11555" max="11555" width="14.421875" style="166" customWidth="1"/>
    <col min="11556" max="11556" width="1.8515625" style="166" customWidth="1"/>
    <col min="11557" max="11557" width="16.7109375" style="166" customWidth="1"/>
    <col min="11558" max="11767" width="11.00390625" style="166" customWidth="1"/>
    <col min="11768" max="11768" width="7.57421875" style="166" customWidth="1"/>
    <col min="11769" max="11769" width="15.57421875" style="166" customWidth="1"/>
    <col min="11770" max="11770" width="20.140625" style="166" customWidth="1"/>
    <col min="11771" max="11771" width="2.28125" style="166" customWidth="1"/>
    <col min="11772" max="11772" width="17.421875" style="166" customWidth="1"/>
    <col min="11773" max="11773" width="1.8515625" style="166" customWidth="1"/>
    <col min="11774" max="11774" width="18.7109375" style="166" customWidth="1"/>
    <col min="11775" max="11775" width="1.8515625" style="166" customWidth="1"/>
    <col min="11776" max="11776" width="23.00390625" style="166" customWidth="1"/>
    <col min="11777" max="11777" width="1.8515625" style="166" customWidth="1"/>
    <col min="11778" max="11778" width="17.421875" style="166" customWidth="1"/>
    <col min="11779" max="11779" width="3.00390625" style="166" customWidth="1"/>
    <col min="11780" max="11780" width="16.28125" style="166" customWidth="1"/>
    <col min="11781" max="11781" width="3.00390625" style="166" customWidth="1"/>
    <col min="11782" max="11782" width="14.140625" style="166" customWidth="1"/>
    <col min="11783" max="11783" width="2.00390625" style="166" customWidth="1"/>
    <col min="11784" max="11784" width="15.8515625" style="166" customWidth="1"/>
    <col min="11785" max="11785" width="3.140625" style="166" customWidth="1"/>
    <col min="11786" max="11786" width="17.8515625" style="166" customWidth="1"/>
    <col min="11787" max="11787" width="2.57421875" style="166" customWidth="1"/>
    <col min="11788" max="11788" width="15.57421875" style="166" customWidth="1"/>
    <col min="11789" max="11789" width="1.8515625" style="166" customWidth="1"/>
    <col min="11790" max="11790" width="14.140625" style="166" customWidth="1"/>
    <col min="11791" max="11791" width="11.00390625" style="166" customWidth="1"/>
    <col min="11792" max="11793" width="25.00390625" style="166" customWidth="1"/>
    <col min="11794" max="11794" width="1.8515625" style="166" customWidth="1"/>
    <col min="11795" max="11795" width="17.8515625" style="166" customWidth="1"/>
    <col min="11796" max="11796" width="1.8515625" style="166" customWidth="1"/>
    <col min="11797" max="11797" width="19.00390625" style="166" customWidth="1"/>
    <col min="11798" max="11798" width="1.8515625" style="166" customWidth="1"/>
    <col min="11799" max="11799" width="16.7109375" style="166" customWidth="1"/>
    <col min="11800" max="11800" width="1.8515625" style="166" customWidth="1"/>
    <col min="11801" max="11801" width="16.7109375" style="166" customWidth="1"/>
    <col min="11802" max="11802" width="1.8515625" style="166" customWidth="1"/>
    <col min="11803" max="11803" width="16.7109375" style="166" customWidth="1"/>
    <col min="11804" max="11804" width="1.8515625" style="166" customWidth="1"/>
    <col min="11805" max="11805" width="16.7109375" style="166" customWidth="1"/>
    <col min="11806" max="11806" width="1.8515625" style="166" customWidth="1"/>
    <col min="11807" max="11807" width="17.8515625" style="166" customWidth="1"/>
    <col min="11808" max="11808" width="5.28125" style="166" customWidth="1"/>
    <col min="11809" max="11809" width="16.7109375" style="166" customWidth="1"/>
    <col min="11810" max="11810" width="5.28125" style="166" customWidth="1"/>
    <col min="11811" max="11811" width="14.421875" style="166" customWidth="1"/>
    <col min="11812" max="11812" width="1.8515625" style="166" customWidth="1"/>
    <col min="11813" max="11813" width="16.7109375" style="166" customWidth="1"/>
    <col min="11814" max="12023" width="11.00390625" style="166" customWidth="1"/>
    <col min="12024" max="12024" width="7.57421875" style="166" customWidth="1"/>
    <col min="12025" max="12025" width="15.57421875" style="166" customWidth="1"/>
    <col min="12026" max="12026" width="20.140625" style="166" customWidth="1"/>
    <col min="12027" max="12027" width="2.28125" style="166" customWidth="1"/>
    <col min="12028" max="12028" width="17.421875" style="166" customWidth="1"/>
    <col min="12029" max="12029" width="1.8515625" style="166" customWidth="1"/>
    <col min="12030" max="12030" width="18.7109375" style="166" customWidth="1"/>
    <col min="12031" max="12031" width="1.8515625" style="166" customWidth="1"/>
    <col min="12032" max="12032" width="23.00390625" style="166" customWidth="1"/>
    <col min="12033" max="12033" width="1.8515625" style="166" customWidth="1"/>
    <col min="12034" max="12034" width="17.421875" style="166" customWidth="1"/>
    <col min="12035" max="12035" width="3.00390625" style="166" customWidth="1"/>
    <col min="12036" max="12036" width="16.28125" style="166" customWidth="1"/>
    <col min="12037" max="12037" width="3.00390625" style="166" customWidth="1"/>
    <col min="12038" max="12038" width="14.140625" style="166" customWidth="1"/>
    <col min="12039" max="12039" width="2.00390625" style="166" customWidth="1"/>
    <col min="12040" max="12040" width="15.8515625" style="166" customWidth="1"/>
    <col min="12041" max="12041" width="3.140625" style="166" customWidth="1"/>
    <col min="12042" max="12042" width="17.8515625" style="166" customWidth="1"/>
    <col min="12043" max="12043" width="2.57421875" style="166" customWidth="1"/>
    <col min="12044" max="12044" width="15.57421875" style="166" customWidth="1"/>
    <col min="12045" max="12045" width="1.8515625" style="166" customWidth="1"/>
    <col min="12046" max="12046" width="14.140625" style="166" customWidth="1"/>
    <col min="12047" max="12047" width="11.00390625" style="166" customWidth="1"/>
    <col min="12048" max="12049" width="25.00390625" style="166" customWidth="1"/>
    <col min="12050" max="12050" width="1.8515625" style="166" customWidth="1"/>
    <col min="12051" max="12051" width="17.8515625" style="166" customWidth="1"/>
    <col min="12052" max="12052" width="1.8515625" style="166" customWidth="1"/>
    <col min="12053" max="12053" width="19.00390625" style="166" customWidth="1"/>
    <col min="12054" max="12054" width="1.8515625" style="166" customWidth="1"/>
    <col min="12055" max="12055" width="16.7109375" style="166" customWidth="1"/>
    <col min="12056" max="12056" width="1.8515625" style="166" customWidth="1"/>
    <col min="12057" max="12057" width="16.7109375" style="166" customWidth="1"/>
    <col min="12058" max="12058" width="1.8515625" style="166" customWidth="1"/>
    <col min="12059" max="12059" width="16.7109375" style="166" customWidth="1"/>
    <col min="12060" max="12060" width="1.8515625" style="166" customWidth="1"/>
    <col min="12061" max="12061" width="16.7109375" style="166" customWidth="1"/>
    <col min="12062" max="12062" width="1.8515625" style="166" customWidth="1"/>
    <col min="12063" max="12063" width="17.8515625" style="166" customWidth="1"/>
    <col min="12064" max="12064" width="5.28125" style="166" customWidth="1"/>
    <col min="12065" max="12065" width="16.7109375" style="166" customWidth="1"/>
    <col min="12066" max="12066" width="5.28125" style="166" customWidth="1"/>
    <col min="12067" max="12067" width="14.421875" style="166" customWidth="1"/>
    <col min="12068" max="12068" width="1.8515625" style="166" customWidth="1"/>
    <col min="12069" max="12069" width="16.7109375" style="166" customWidth="1"/>
    <col min="12070" max="12279" width="11.00390625" style="166" customWidth="1"/>
    <col min="12280" max="12280" width="7.57421875" style="166" customWidth="1"/>
    <col min="12281" max="12281" width="15.57421875" style="166" customWidth="1"/>
    <col min="12282" max="12282" width="20.140625" style="166" customWidth="1"/>
    <col min="12283" max="12283" width="2.28125" style="166" customWidth="1"/>
    <col min="12284" max="12284" width="17.421875" style="166" customWidth="1"/>
    <col min="12285" max="12285" width="1.8515625" style="166" customWidth="1"/>
    <col min="12286" max="12286" width="18.7109375" style="166" customWidth="1"/>
    <col min="12287" max="12287" width="1.8515625" style="166" customWidth="1"/>
    <col min="12288" max="12288" width="23.00390625" style="166" customWidth="1"/>
    <col min="12289" max="12289" width="1.8515625" style="166" customWidth="1"/>
    <col min="12290" max="12290" width="17.421875" style="166" customWidth="1"/>
    <col min="12291" max="12291" width="3.00390625" style="166" customWidth="1"/>
    <col min="12292" max="12292" width="16.28125" style="166" customWidth="1"/>
    <col min="12293" max="12293" width="3.00390625" style="166" customWidth="1"/>
    <col min="12294" max="12294" width="14.140625" style="166" customWidth="1"/>
    <col min="12295" max="12295" width="2.00390625" style="166" customWidth="1"/>
    <col min="12296" max="12296" width="15.8515625" style="166" customWidth="1"/>
    <col min="12297" max="12297" width="3.140625" style="166" customWidth="1"/>
    <col min="12298" max="12298" width="17.8515625" style="166" customWidth="1"/>
    <col min="12299" max="12299" width="2.57421875" style="166" customWidth="1"/>
    <col min="12300" max="12300" width="15.57421875" style="166" customWidth="1"/>
    <col min="12301" max="12301" width="1.8515625" style="166" customWidth="1"/>
    <col min="12302" max="12302" width="14.140625" style="166" customWidth="1"/>
    <col min="12303" max="12303" width="11.00390625" style="166" customWidth="1"/>
    <col min="12304" max="12305" width="25.00390625" style="166" customWidth="1"/>
    <col min="12306" max="12306" width="1.8515625" style="166" customWidth="1"/>
    <col min="12307" max="12307" width="17.8515625" style="166" customWidth="1"/>
    <col min="12308" max="12308" width="1.8515625" style="166" customWidth="1"/>
    <col min="12309" max="12309" width="19.00390625" style="166" customWidth="1"/>
    <col min="12310" max="12310" width="1.8515625" style="166" customWidth="1"/>
    <col min="12311" max="12311" width="16.7109375" style="166" customWidth="1"/>
    <col min="12312" max="12312" width="1.8515625" style="166" customWidth="1"/>
    <col min="12313" max="12313" width="16.7109375" style="166" customWidth="1"/>
    <col min="12314" max="12314" width="1.8515625" style="166" customWidth="1"/>
    <col min="12315" max="12315" width="16.7109375" style="166" customWidth="1"/>
    <col min="12316" max="12316" width="1.8515625" style="166" customWidth="1"/>
    <col min="12317" max="12317" width="16.7109375" style="166" customWidth="1"/>
    <col min="12318" max="12318" width="1.8515625" style="166" customWidth="1"/>
    <col min="12319" max="12319" width="17.8515625" style="166" customWidth="1"/>
    <col min="12320" max="12320" width="5.28125" style="166" customWidth="1"/>
    <col min="12321" max="12321" width="16.7109375" style="166" customWidth="1"/>
    <col min="12322" max="12322" width="5.28125" style="166" customWidth="1"/>
    <col min="12323" max="12323" width="14.421875" style="166" customWidth="1"/>
    <col min="12324" max="12324" width="1.8515625" style="166" customWidth="1"/>
    <col min="12325" max="12325" width="16.7109375" style="166" customWidth="1"/>
    <col min="12326" max="12535" width="11.00390625" style="166" customWidth="1"/>
    <col min="12536" max="12536" width="7.57421875" style="166" customWidth="1"/>
    <col min="12537" max="12537" width="15.57421875" style="166" customWidth="1"/>
    <col min="12538" max="12538" width="20.140625" style="166" customWidth="1"/>
    <col min="12539" max="12539" width="2.28125" style="166" customWidth="1"/>
    <col min="12540" max="12540" width="17.421875" style="166" customWidth="1"/>
    <col min="12541" max="12541" width="1.8515625" style="166" customWidth="1"/>
    <col min="12542" max="12542" width="18.7109375" style="166" customWidth="1"/>
    <col min="12543" max="12543" width="1.8515625" style="166" customWidth="1"/>
    <col min="12544" max="12544" width="23.00390625" style="166" customWidth="1"/>
    <col min="12545" max="12545" width="1.8515625" style="166" customWidth="1"/>
    <col min="12546" max="12546" width="17.421875" style="166" customWidth="1"/>
    <col min="12547" max="12547" width="3.00390625" style="166" customWidth="1"/>
    <col min="12548" max="12548" width="16.28125" style="166" customWidth="1"/>
    <col min="12549" max="12549" width="3.00390625" style="166" customWidth="1"/>
    <col min="12550" max="12550" width="14.140625" style="166" customWidth="1"/>
    <col min="12551" max="12551" width="2.00390625" style="166" customWidth="1"/>
    <col min="12552" max="12552" width="15.8515625" style="166" customWidth="1"/>
    <col min="12553" max="12553" width="3.140625" style="166" customWidth="1"/>
    <col min="12554" max="12554" width="17.8515625" style="166" customWidth="1"/>
    <col min="12555" max="12555" width="2.57421875" style="166" customWidth="1"/>
    <col min="12556" max="12556" width="15.57421875" style="166" customWidth="1"/>
    <col min="12557" max="12557" width="1.8515625" style="166" customWidth="1"/>
    <col min="12558" max="12558" width="14.140625" style="166" customWidth="1"/>
    <col min="12559" max="12559" width="11.00390625" style="166" customWidth="1"/>
    <col min="12560" max="12561" width="25.00390625" style="166" customWidth="1"/>
    <col min="12562" max="12562" width="1.8515625" style="166" customWidth="1"/>
    <col min="12563" max="12563" width="17.8515625" style="166" customWidth="1"/>
    <col min="12564" max="12564" width="1.8515625" style="166" customWidth="1"/>
    <col min="12565" max="12565" width="19.00390625" style="166" customWidth="1"/>
    <col min="12566" max="12566" width="1.8515625" style="166" customWidth="1"/>
    <col min="12567" max="12567" width="16.7109375" style="166" customWidth="1"/>
    <col min="12568" max="12568" width="1.8515625" style="166" customWidth="1"/>
    <col min="12569" max="12569" width="16.7109375" style="166" customWidth="1"/>
    <col min="12570" max="12570" width="1.8515625" style="166" customWidth="1"/>
    <col min="12571" max="12571" width="16.7109375" style="166" customWidth="1"/>
    <col min="12572" max="12572" width="1.8515625" style="166" customWidth="1"/>
    <col min="12573" max="12573" width="16.7109375" style="166" customWidth="1"/>
    <col min="12574" max="12574" width="1.8515625" style="166" customWidth="1"/>
    <col min="12575" max="12575" width="17.8515625" style="166" customWidth="1"/>
    <col min="12576" max="12576" width="5.28125" style="166" customWidth="1"/>
    <col min="12577" max="12577" width="16.7109375" style="166" customWidth="1"/>
    <col min="12578" max="12578" width="5.28125" style="166" customWidth="1"/>
    <col min="12579" max="12579" width="14.421875" style="166" customWidth="1"/>
    <col min="12580" max="12580" width="1.8515625" style="166" customWidth="1"/>
    <col min="12581" max="12581" width="16.7109375" style="166" customWidth="1"/>
    <col min="12582" max="12791" width="11.00390625" style="166" customWidth="1"/>
    <col min="12792" max="12792" width="7.57421875" style="166" customWidth="1"/>
    <col min="12793" max="12793" width="15.57421875" style="166" customWidth="1"/>
    <col min="12794" max="12794" width="20.140625" style="166" customWidth="1"/>
    <col min="12795" max="12795" width="2.28125" style="166" customWidth="1"/>
    <col min="12796" max="12796" width="17.421875" style="166" customWidth="1"/>
    <col min="12797" max="12797" width="1.8515625" style="166" customWidth="1"/>
    <col min="12798" max="12798" width="18.7109375" style="166" customWidth="1"/>
    <col min="12799" max="12799" width="1.8515625" style="166" customWidth="1"/>
    <col min="12800" max="12800" width="23.00390625" style="166" customWidth="1"/>
    <col min="12801" max="12801" width="1.8515625" style="166" customWidth="1"/>
    <col min="12802" max="12802" width="17.421875" style="166" customWidth="1"/>
    <col min="12803" max="12803" width="3.00390625" style="166" customWidth="1"/>
    <col min="12804" max="12804" width="16.28125" style="166" customWidth="1"/>
    <col min="12805" max="12805" width="3.00390625" style="166" customWidth="1"/>
    <col min="12806" max="12806" width="14.140625" style="166" customWidth="1"/>
    <col min="12807" max="12807" width="2.00390625" style="166" customWidth="1"/>
    <col min="12808" max="12808" width="15.8515625" style="166" customWidth="1"/>
    <col min="12809" max="12809" width="3.140625" style="166" customWidth="1"/>
    <col min="12810" max="12810" width="17.8515625" style="166" customWidth="1"/>
    <col min="12811" max="12811" width="2.57421875" style="166" customWidth="1"/>
    <col min="12812" max="12812" width="15.57421875" style="166" customWidth="1"/>
    <col min="12813" max="12813" width="1.8515625" style="166" customWidth="1"/>
    <col min="12814" max="12814" width="14.140625" style="166" customWidth="1"/>
    <col min="12815" max="12815" width="11.00390625" style="166" customWidth="1"/>
    <col min="12816" max="12817" width="25.00390625" style="166" customWidth="1"/>
    <col min="12818" max="12818" width="1.8515625" style="166" customWidth="1"/>
    <col min="12819" max="12819" width="17.8515625" style="166" customWidth="1"/>
    <col min="12820" max="12820" width="1.8515625" style="166" customWidth="1"/>
    <col min="12821" max="12821" width="19.00390625" style="166" customWidth="1"/>
    <col min="12822" max="12822" width="1.8515625" style="166" customWidth="1"/>
    <col min="12823" max="12823" width="16.7109375" style="166" customWidth="1"/>
    <col min="12824" max="12824" width="1.8515625" style="166" customWidth="1"/>
    <col min="12825" max="12825" width="16.7109375" style="166" customWidth="1"/>
    <col min="12826" max="12826" width="1.8515625" style="166" customWidth="1"/>
    <col min="12827" max="12827" width="16.7109375" style="166" customWidth="1"/>
    <col min="12828" max="12828" width="1.8515625" style="166" customWidth="1"/>
    <col min="12829" max="12829" width="16.7109375" style="166" customWidth="1"/>
    <col min="12830" max="12830" width="1.8515625" style="166" customWidth="1"/>
    <col min="12831" max="12831" width="17.8515625" style="166" customWidth="1"/>
    <col min="12832" max="12832" width="5.28125" style="166" customWidth="1"/>
    <col min="12833" max="12833" width="16.7109375" style="166" customWidth="1"/>
    <col min="12834" max="12834" width="5.28125" style="166" customWidth="1"/>
    <col min="12835" max="12835" width="14.421875" style="166" customWidth="1"/>
    <col min="12836" max="12836" width="1.8515625" style="166" customWidth="1"/>
    <col min="12837" max="12837" width="16.7109375" style="166" customWidth="1"/>
    <col min="12838" max="13047" width="11.00390625" style="166" customWidth="1"/>
    <col min="13048" max="13048" width="7.57421875" style="166" customWidth="1"/>
    <col min="13049" max="13049" width="15.57421875" style="166" customWidth="1"/>
    <col min="13050" max="13050" width="20.140625" style="166" customWidth="1"/>
    <col min="13051" max="13051" width="2.28125" style="166" customWidth="1"/>
    <col min="13052" max="13052" width="17.421875" style="166" customWidth="1"/>
    <col min="13053" max="13053" width="1.8515625" style="166" customWidth="1"/>
    <col min="13054" max="13054" width="18.7109375" style="166" customWidth="1"/>
    <col min="13055" max="13055" width="1.8515625" style="166" customWidth="1"/>
    <col min="13056" max="13056" width="23.00390625" style="166" customWidth="1"/>
    <col min="13057" max="13057" width="1.8515625" style="166" customWidth="1"/>
    <col min="13058" max="13058" width="17.421875" style="166" customWidth="1"/>
    <col min="13059" max="13059" width="3.00390625" style="166" customWidth="1"/>
    <col min="13060" max="13060" width="16.28125" style="166" customWidth="1"/>
    <col min="13061" max="13061" width="3.00390625" style="166" customWidth="1"/>
    <col min="13062" max="13062" width="14.140625" style="166" customWidth="1"/>
    <col min="13063" max="13063" width="2.00390625" style="166" customWidth="1"/>
    <col min="13064" max="13064" width="15.8515625" style="166" customWidth="1"/>
    <col min="13065" max="13065" width="3.140625" style="166" customWidth="1"/>
    <col min="13066" max="13066" width="17.8515625" style="166" customWidth="1"/>
    <col min="13067" max="13067" width="2.57421875" style="166" customWidth="1"/>
    <col min="13068" max="13068" width="15.57421875" style="166" customWidth="1"/>
    <col min="13069" max="13069" width="1.8515625" style="166" customWidth="1"/>
    <col min="13070" max="13070" width="14.140625" style="166" customWidth="1"/>
    <col min="13071" max="13071" width="11.00390625" style="166" customWidth="1"/>
    <col min="13072" max="13073" width="25.00390625" style="166" customWidth="1"/>
    <col min="13074" max="13074" width="1.8515625" style="166" customWidth="1"/>
    <col min="13075" max="13075" width="17.8515625" style="166" customWidth="1"/>
    <col min="13076" max="13076" width="1.8515625" style="166" customWidth="1"/>
    <col min="13077" max="13077" width="19.00390625" style="166" customWidth="1"/>
    <col min="13078" max="13078" width="1.8515625" style="166" customWidth="1"/>
    <col min="13079" max="13079" width="16.7109375" style="166" customWidth="1"/>
    <col min="13080" max="13080" width="1.8515625" style="166" customWidth="1"/>
    <col min="13081" max="13081" width="16.7109375" style="166" customWidth="1"/>
    <col min="13082" max="13082" width="1.8515625" style="166" customWidth="1"/>
    <col min="13083" max="13083" width="16.7109375" style="166" customWidth="1"/>
    <col min="13084" max="13084" width="1.8515625" style="166" customWidth="1"/>
    <col min="13085" max="13085" width="16.7109375" style="166" customWidth="1"/>
    <col min="13086" max="13086" width="1.8515625" style="166" customWidth="1"/>
    <col min="13087" max="13087" width="17.8515625" style="166" customWidth="1"/>
    <col min="13088" max="13088" width="5.28125" style="166" customWidth="1"/>
    <col min="13089" max="13089" width="16.7109375" style="166" customWidth="1"/>
    <col min="13090" max="13090" width="5.28125" style="166" customWidth="1"/>
    <col min="13091" max="13091" width="14.421875" style="166" customWidth="1"/>
    <col min="13092" max="13092" width="1.8515625" style="166" customWidth="1"/>
    <col min="13093" max="13093" width="16.7109375" style="166" customWidth="1"/>
    <col min="13094" max="13303" width="11.00390625" style="166" customWidth="1"/>
    <col min="13304" max="13304" width="7.57421875" style="166" customWidth="1"/>
    <col min="13305" max="13305" width="15.57421875" style="166" customWidth="1"/>
    <col min="13306" max="13306" width="20.140625" style="166" customWidth="1"/>
    <col min="13307" max="13307" width="2.28125" style="166" customWidth="1"/>
    <col min="13308" max="13308" width="17.421875" style="166" customWidth="1"/>
    <col min="13309" max="13309" width="1.8515625" style="166" customWidth="1"/>
    <col min="13310" max="13310" width="18.7109375" style="166" customWidth="1"/>
    <col min="13311" max="13311" width="1.8515625" style="166" customWidth="1"/>
    <col min="13312" max="13312" width="23.00390625" style="166" customWidth="1"/>
    <col min="13313" max="13313" width="1.8515625" style="166" customWidth="1"/>
    <col min="13314" max="13314" width="17.421875" style="166" customWidth="1"/>
    <col min="13315" max="13315" width="3.00390625" style="166" customWidth="1"/>
    <col min="13316" max="13316" width="16.28125" style="166" customWidth="1"/>
    <col min="13317" max="13317" width="3.00390625" style="166" customWidth="1"/>
    <col min="13318" max="13318" width="14.140625" style="166" customWidth="1"/>
    <col min="13319" max="13319" width="2.00390625" style="166" customWidth="1"/>
    <col min="13320" max="13320" width="15.8515625" style="166" customWidth="1"/>
    <col min="13321" max="13321" width="3.140625" style="166" customWidth="1"/>
    <col min="13322" max="13322" width="17.8515625" style="166" customWidth="1"/>
    <col min="13323" max="13323" width="2.57421875" style="166" customWidth="1"/>
    <col min="13324" max="13324" width="15.57421875" style="166" customWidth="1"/>
    <col min="13325" max="13325" width="1.8515625" style="166" customWidth="1"/>
    <col min="13326" max="13326" width="14.140625" style="166" customWidth="1"/>
    <col min="13327" max="13327" width="11.00390625" style="166" customWidth="1"/>
    <col min="13328" max="13329" width="25.00390625" style="166" customWidth="1"/>
    <col min="13330" max="13330" width="1.8515625" style="166" customWidth="1"/>
    <col min="13331" max="13331" width="17.8515625" style="166" customWidth="1"/>
    <col min="13332" max="13332" width="1.8515625" style="166" customWidth="1"/>
    <col min="13333" max="13333" width="19.00390625" style="166" customWidth="1"/>
    <col min="13334" max="13334" width="1.8515625" style="166" customWidth="1"/>
    <col min="13335" max="13335" width="16.7109375" style="166" customWidth="1"/>
    <col min="13336" max="13336" width="1.8515625" style="166" customWidth="1"/>
    <col min="13337" max="13337" width="16.7109375" style="166" customWidth="1"/>
    <col min="13338" max="13338" width="1.8515625" style="166" customWidth="1"/>
    <col min="13339" max="13339" width="16.7109375" style="166" customWidth="1"/>
    <col min="13340" max="13340" width="1.8515625" style="166" customWidth="1"/>
    <col min="13341" max="13341" width="16.7109375" style="166" customWidth="1"/>
    <col min="13342" max="13342" width="1.8515625" style="166" customWidth="1"/>
    <col min="13343" max="13343" width="17.8515625" style="166" customWidth="1"/>
    <col min="13344" max="13344" width="5.28125" style="166" customWidth="1"/>
    <col min="13345" max="13345" width="16.7109375" style="166" customWidth="1"/>
    <col min="13346" max="13346" width="5.28125" style="166" customWidth="1"/>
    <col min="13347" max="13347" width="14.421875" style="166" customWidth="1"/>
    <col min="13348" max="13348" width="1.8515625" style="166" customWidth="1"/>
    <col min="13349" max="13349" width="16.7109375" style="166" customWidth="1"/>
    <col min="13350" max="13559" width="11.00390625" style="166" customWidth="1"/>
    <col min="13560" max="13560" width="7.57421875" style="166" customWidth="1"/>
    <col min="13561" max="13561" width="15.57421875" style="166" customWidth="1"/>
    <col min="13562" max="13562" width="20.140625" style="166" customWidth="1"/>
    <col min="13563" max="13563" width="2.28125" style="166" customWidth="1"/>
    <col min="13564" max="13564" width="17.421875" style="166" customWidth="1"/>
    <col min="13565" max="13565" width="1.8515625" style="166" customWidth="1"/>
    <col min="13566" max="13566" width="18.7109375" style="166" customWidth="1"/>
    <col min="13567" max="13567" width="1.8515625" style="166" customWidth="1"/>
    <col min="13568" max="13568" width="23.00390625" style="166" customWidth="1"/>
    <col min="13569" max="13569" width="1.8515625" style="166" customWidth="1"/>
    <col min="13570" max="13570" width="17.421875" style="166" customWidth="1"/>
    <col min="13571" max="13571" width="3.00390625" style="166" customWidth="1"/>
    <col min="13572" max="13572" width="16.28125" style="166" customWidth="1"/>
    <col min="13573" max="13573" width="3.00390625" style="166" customWidth="1"/>
    <col min="13574" max="13574" width="14.140625" style="166" customWidth="1"/>
    <col min="13575" max="13575" width="2.00390625" style="166" customWidth="1"/>
    <col min="13576" max="13576" width="15.8515625" style="166" customWidth="1"/>
    <col min="13577" max="13577" width="3.140625" style="166" customWidth="1"/>
    <col min="13578" max="13578" width="17.8515625" style="166" customWidth="1"/>
    <col min="13579" max="13579" width="2.57421875" style="166" customWidth="1"/>
    <col min="13580" max="13580" width="15.57421875" style="166" customWidth="1"/>
    <col min="13581" max="13581" width="1.8515625" style="166" customWidth="1"/>
    <col min="13582" max="13582" width="14.140625" style="166" customWidth="1"/>
    <col min="13583" max="13583" width="11.00390625" style="166" customWidth="1"/>
    <col min="13584" max="13585" width="25.00390625" style="166" customWidth="1"/>
    <col min="13586" max="13586" width="1.8515625" style="166" customWidth="1"/>
    <col min="13587" max="13587" width="17.8515625" style="166" customWidth="1"/>
    <col min="13588" max="13588" width="1.8515625" style="166" customWidth="1"/>
    <col min="13589" max="13589" width="19.00390625" style="166" customWidth="1"/>
    <col min="13590" max="13590" width="1.8515625" style="166" customWidth="1"/>
    <col min="13591" max="13591" width="16.7109375" style="166" customWidth="1"/>
    <col min="13592" max="13592" width="1.8515625" style="166" customWidth="1"/>
    <col min="13593" max="13593" width="16.7109375" style="166" customWidth="1"/>
    <col min="13594" max="13594" width="1.8515625" style="166" customWidth="1"/>
    <col min="13595" max="13595" width="16.7109375" style="166" customWidth="1"/>
    <col min="13596" max="13596" width="1.8515625" style="166" customWidth="1"/>
    <col min="13597" max="13597" width="16.7109375" style="166" customWidth="1"/>
    <col min="13598" max="13598" width="1.8515625" style="166" customWidth="1"/>
    <col min="13599" max="13599" width="17.8515625" style="166" customWidth="1"/>
    <col min="13600" max="13600" width="5.28125" style="166" customWidth="1"/>
    <col min="13601" max="13601" width="16.7109375" style="166" customWidth="1"/>
    <col min="13602" max="13602" width="5.28125" style="166" customWidth="1"/>
    <col min="13603" max="13603" width="14.421875" style="166" customWidth="1"/>
    <col min="13604" max="13604" width="1.8515625" style="166" customWidth="1"/>
    <col min="13605" max="13605" width="16.7109375" style="166" customWidth="1"/>
    <col min="13606" max="13815" width="11.00390625" style="166" customWidth="1"/>
    <col min="13816" max="13816" width="7.57421875" style="166" customWidth="1"/>
    <col min="13817" max="13817" width="15.57421875" style="166" customWidth="1"/>
    <col min="13818" max="13818" width="20.140625" style="166" customWidth="1"/>
    <col min="13819" max="13819" width="2.28125" style="166" customWidth="1"/>
    <col min="13820" max="13820" width="17.421875" style="166" customWidth="1"/>
    <col min="13821" max="13821" width="1.8515625" style="166" customWidth="1"/>
    <col min="13822" max="13822" width="18.7109375" style="166" customWidth="1"/>
    <col min="13823" max="13823" width="1.8515625" style="166" customWidth="1"/>
    <col min="13824" max="13824" width="23.00390625" style="166" customWidth="1"/>
    <col min="13825" max="13825" width="1.8515625" style="166" customWidth="1"/>
    <col min="13826" max="13826" width="17.421875" style="166" customWidth="1"/>
    <col min="13827" max="13827" width="3.00390625" style="166" customWidth="1"/>
    <col min="13828" max="13828" width="16.28125" style="166" customWidth="1"/>
    <col min="13829" max="13829" width="3.00390625" style="166" customWidth="1"/>
    <col min="13830" max="13830" width="14.140625" style="166" customWidth="1"/>
    <col min="13831" max="13831" width="2.00390625" style="166" customWidth="1"/>
    <col min="13832" max="13832" width="15.8515625" style="166" customWidth="1"/>
    <col min="13833" max="13833" width="3.140625" style="166" customWidth="1"/>
    <col min="13834" max="13834" width="17.8515625" style="166" customWidth="1"/>
    <col min="13835" max="13835" width="2.57421875" style="166" customWidth="1"/>
    <col min="13836" max="13836" width="15.57421875" style="166" customWidth="1"/>
    <col min="13837" max="13837" width="1.8515625" style="166" customWidth="1"/>
    <col min="13838" max="13838" width="14.140625" style="166" customWidth="1"/>
    <col min="13839" max="13839" width="11.00390625" style="166" customWidth="1"/>
    <col min="13840" max="13841" width="25.00390625" style="166" customWidth="1"/>
    <col min="13842" max="13842" width="1.8515625" style="166" customWidth="1"/>
    <col min="13843" max="13843" width="17.8515625" style="166" customWidth="1"/>
    <col min="13844" max="13844" width="1.8515625" style="166" customWidth="1"/>
    <col min="13845" max="13845" width="19.00390625" style="166" customWidth="1"/>
    <col min="13846" max="13846" width="1.8515625" style="166" customWidth="1"/>
    <col min="13847" max="13847" width="16.7109375" style="166" customWidth="1"/>
    <col min="13848" max="13848" width="1.8515625" style="166" customWidth="1"/>
    <col min="13849" max="13849" width="16.7109375" style="166" customWidth="1"/>
    <col min="13850" max="13850" width="1.8515625" style="166" customWidth="1"/>
    <col min="13851" max="13851" width="16.7109375" style="166" customWidth="1"/>
    <col min="13852" max="13852" width="1.8515625" style="166" customWidth="1"/>
    <col min="13853" max="13853" width="16.7109375" style="166" customWidth="1"/>
    <col min="13854" max="13854" width="1.8515625" style="166" customWidth="1"/>
    <col min="13855" max="13855" width="17.8515625" style="166" customWidth="1"/>
    <col min="13856" max="13856" width="5.28125" style="166" customWidth="1"/>
    <col min="13857" max="13857" width="16.7109375" style="166" customWidth="1"/>
    <col min="13858" max="13858" width="5.28125" style="166" customWidth="1"/>
    <col min="13859" max="13859" width="14.421875" style="166" customWidth="1"/>
    <col min="13860" max="13860" width="1.8515625" style="166" customWidth="1"/>
    <col min="13861" max="13861" width="16.7109375" style="166" customWidth="1"/>
    <col min="13862" max="14071" width="11.00390625" style="166" customWidth="1"/>
    <col min="14072" max="14072" width="7.57421875" style="166" customWidth="1"/>
    <col min="14073" max="14073" width="15.57421875" style="166" customWidth="1"/>
    <col min="14074" max="14074" width="20.140625" style="166" customWidth="1"/>
    <col min="14075" max="14075" width="2.28125" style="166" customWidth="1"/>
    <col min="14076" max="14076" width="17.421875" style="166" customWidth="1"/>
    <col min="14077" max="14077" width="1.8515625" style="166" customWidth="1"/>
    <col min="14078" max="14078" width="18.7109375" style="166" customWidth="1"/>
    <col min="14079" max="14079" width="1.8515625" style="166" customWidth="1"/>
    <col min="14080" max="14080" width="23.00390625" style="166" customWidth="1"/>
    <col min="14081" max="14081" width="1.8515625" style="166" customWidth="1"/>
    <col min="14082" max="14082" width="17.421875" style="166" customWidth="1"/>
    <col min="14083" max="14083" width="3.00390625" style="166" customWidth="1"/>
    <col min="14084" max="14084" width="16.28125" style="166" customWidth="1"/>
    <col min="14085" max="14085" width="3.00390625" style="166" customWidth="1"/>
    <col min="14086" max="14086" width="14.140625" style="166" customWidth="1"/>
    <col min="14087" max="14087" width="2.00390625" style="166" customWidth="1"/>
    <col min="14088" max="14088" width="15.8515625" style="166" customWidth="1"/>
    <col min="14089" max="14089" width="3.140625" style="166" customWidth="1"/>
    <col min="14090" max="14090" width="17.8515625" style="166" customWidth="1"/>
    <col min="14091" max="14091" width="2.57421875" style="166" customWidth="1"/>
    <col min="14092" max="14092" width="15.57421875" style="166" customWidth="1"/>
    <col min="14093" max="14093" width="1.8515625" style="166" customWidth="1"/>
    <col min="14094" max="14094" width="14.140625" style="166" customWidth="1"/>
    <col min="14095" max="14095" width="11.00390625" style="166" customWidth="1"/>
    <col min="14096" max="14097" width="25.00390625" style="166" customWidth="1"/>
    <col min="14098" max="14098" width="1.8515625" style="166" customWidth="1"/>
    <col min="14099" max="14099" width="17.8515625" style="166" customWidth="1"/>
    <col min="14100" max="14100" width="1.8515625" style="166" customWidth="1"/>
    <col min="14101" max="14101" width="19.00390625" style="166" customWidth="1"/>
    <col min="14102" max="14102" width="1.8515625" style="166" customWidth="1"/>
    <col min="14103" max="14103" width="16.7109375" style="166" customWidth="1"/>
    <col min="14104" max="14104" width="1.8515625" style="166" customWidth="1"/>
    <col min="14105" max="14105" width="16.7109375" style="166" customWidth="1"/>
    <col min="14106" max="14106" width="1.8515625" style="166" customWidth="1"/>
    <col min="14107" max="14107" width="16.7109375" style="166" customWidth="1"/>
    <col min="14108" max="14108" width="1.8515625" style="166" customWidth="1"/>
    <col min="14109" max="14109" width="16.7109375" style="166" customWidth="1"/>
    <col min="14110" max="14110" width="1.8515625" style="166" customWidth="1"/>
    <col min="14111" max="14111" width="17.8515625" style="166" customWidth="1"/>
    <col min="14112" max="14112" width="5.28125" style="166" customWidth="1"/>
    <col min="14113" max="14113" width="16.7109375" style="166" customWidth="1"/>
    <col min="14114" max="14114" width="5.28125" style="166" customWidth="1"/>
    <col min="14115" max="14115" width="14.421875" style="166" customWidth="1"/>
    <col min="14116" max="14116" width="1.8515625" style="166" customWidth="1"/>
    <col min="14117" max="14117" width="16.7109375" style="166" customWidth="1"/>
    <col min="14118" max="14327" width="11.00390625" style="166" customWidth="1"/>
    <col min="14328" max="14328" width="7.57421875" style="166" customWidth="1"/>
    <col min="14329" max="14329" width="15.57421875" style="166" customWidth="1"/>
    <col min="14330" max="14330" width="20.140625" style="166" customWidth="1"/>
    <col min="14331" max="14331" width="2.28125" style="166" customWidth="1"/>
    <col min="14332" max="14332" width="17.421875" style="166" customWidth="1"/>
    <col min="14333" max="14333" width="1.8515625" style="166" customWidth="1"/>
    <col min="14334" max="14334" width="18.7109375" style="166" customWidth="1"/>
    <col min="14335" max="14335" width="1.8515625" style="166" customWidth="1"/>
    <col min="14336" max="14336" width="23.00390625" style="166" customWidth="1"/>
    <col min="14337" max="14337" width="1.8515625" style="166" customWidth="1"/>
    <col min="14338" max="14338" width="17.421875" style="166" customWidth="1"/>
    <col min="14339" max="14339" width="3.00390625" style="166" customWidth="1"/>
    <col min="14340" max="14340" width="16.28125" style="166" customWidth="1"/>
    <col min="14341" max="14341" width="3.00390625" style="166" customWidth="1"/>
    <col min="14342" max="14342" width="14.140625" style="166" customWidth="1"/>
    <col min="14343" max="14343" width="2.00390625" style="166" customWidth="1"/>
    <col min="14344" max="14344" width="15.8515625" style="166" customWidth="1"/>
    <col min="14345" max="14345" width="3.140625" style="166" customWidth="1"/>
    <col min="14346" max="14346" width="17.8515625" style="166" customWidth="1"/>
    <col min="14347" max="14347" width="2.57421875" style="166" customWidth="1"/>
    <col min="14348" max="14348" width="15.57421875" style="166" customWidth="1"/>
    <col min="14349" max="14349" width="1.8515625" style="166" customWidth="1"/>
    <col min="14350" max="14350" width="14.140625" style="166" customWidth="1"/>
    <col min="14351" max="14351" width="11.00390625" style="166" customWidth="1"/>
    <col min="14352" max="14353" width="25.00390625" style="166" customWidth="1"/>
    <col min="14354" max="14354" width="1.8515625" style="166" customWidth="1"/>
    <col min="14355" max="14355" width="17.8515625" style="166" customWidth="1"/>
    <col min="14356" max="14356" width="1.8515625" style="166" customWidth="1"/>
    <col min="14357" max="14357" width="19.00390625" style="166" customWidth="1"/>
    <col min="14358" max="14358" width="1.8515625" style="166" customWidth="1"/>
    <col min="14359" max="14359" width="16.7109375" style="166" customWidth="1"/>
    <col min="14360" max="14360" width="1.8515625" style="166" customWidth="1"/>
    <col min="14361" max="14361" width="16.7109375" style="166" customWidth="1"/>
    <col min="14362" max="14362" width="1.8515625" style="166" customWidth="1"/>
    <col min="14363" max="14363" width="16.7109375" style="166" customWidth="1"/>
    <col min="14364" max="14364" width="1.8515625" style="166" customWidth="1"/>
    <col min="14365" max="14365" width="16.7109375" style="166" customWidth="1"/>
    <col min="14366" max="14366" width="1.8515625" style="166" customWidth="1"/>
    <col min="14367" max="14367" width="17.8515625" style="166" customWidth="1"/>
    <col min="14368" max="14368" width="5.28125" style="166" customWidth="1"/>
    <col min="14369" max="14369" width="16.7109375" style="166" customWidth="1"/>
    <col min="14370" max="14370" width="5.28125" style="166" customWidth="1"/>
    <col min="14371" max="14371" width="14.421875" style="166" customWidth="1"/>
    <col min="14372" max="14372" width="1.8515625" style="166" customWidth="1"/>
    <col min="14373" max="14373" width="16.7109375" style="166" customWidth="1"/>
    <col min="14374" max="14583" width="11.00390625" style="166" customWidth="1"/>
    <col min="14584" max="14584" width="7.57421875" style="166" customWidth="1"/>
    <col min="14585" max="14585" width="15.57421875" style="166" customWidth="1"/>
    <col min="14586" max="14586" width="20.140625" style="166" customWidth="1"/>
    <col min="14587" max="14587" width="2.28125" style="166" customWidth="1"/>
    <col min="14588" max="14588" width="17.421875" style="166" customWidth="1"/>
    <col min="14589" max="14589" width="1.8515625" style="166" customWidth="1"/>
    <col min="14590" max="14590" width="18.7109375" style="166" customWidth="1"/>
    <col min="14591" max="14591" width="1.8515625" style="166" customWidth="1"/>
    <col min="14592" max="14592" width="23.00390625" style="166" customWidth="1"/>
    <col min="14593" max="14593" width="1.8515625" style="166" customWidth="1"/>
    <col min="14594" max="14594" width="17.421875" style="166" customWidth="1"/>
    <col min="14595" max="14595" width="3.00390625" style="166" customWidth="1"/>
    <col min="14596" max="14596" width="16.28125" style="166" customWidth="1"/>
    <col min="14597" max="14597" width="3.00390625" style="166" customWidth="1"/>
    <col min="14598" max="14598" width="14.140625" style="166" customWidth="1"/>
    <col min="14599" max="14599" width="2.00390625" style="166" customWidth="1"/>
    <col min="14600" max="14600" width="15.8515625" style="166" customWidth="1"/>
    <col min="14601" max="14601" width="3.140625" style="166" customWidth="1"/>
    <col min="14602" max="14602" width="17.8515625" style="166" customWidth="1"/>
    <col min="14603" max="14603" width="2.57421875" style="166" customWidth="1"/>
    <col min="14604" max="14604" width="15.57421875" style="166" customWidth="1"/>
    <col min="14605" max="14605" width="1.8515625" style="166" customWidth="1"/>
    <col min="14606" max="14606" width="14.140625" style="166" customWidth="1"/>
    <col min="14607" max="14607" width="11.00390625" style="166" customWidth="1"/>
    <col min="14608" max="14609" width="25.00390625" style="166" customWidth="1"/>
    <col min="14610" max="14610" width="1.8515625" style="166" customWidth="1"/>
    <col min="14611" max="14611" width="17.8515625" style="166" customWidth="1"/>
    <col min="14612" max="14612" width="1.8515625" style="166" customWidth="1"/>
    <col min="14613" max="14613" width="19.00390625" style="166" customWidth="1"/>
    <col min="14614" max="14614" width="1.8515625" style="166" customWidth="1"/>
    <col min="14615" max="14615" width="16.7109375" style="166" customWidth="1"/>
    <col min="14616" max="14616" width="1.8515625" style="166" customWidth="1"/>
    <col min="14617" max="14617" width="16.7109375" style="166" customWidth="1"/>
    <col min="14618" max="14618" width="1.8515625" style="166" customWidth="1"/>
    <col min="14619" max="14619" width="16.7109375" style="166" customWidth="1"/>
    <col min="14620" max="14620" width="1.8515625" style="166" customWidth="1"/>
    <col min="14621" max="14621" width="16.7109375" style="166" customWidth="1"/>
    <col min="14622" max="14622" width="1.8515625" style="166" customWidth="1"/>
    <col min="14623" max="14623" width="17.8515625" style="166" customWidth="1"/>
    <col min="14624" max="14624" width="5.28125" style="166" customWidth="1"/>
    <col min="14625" max="14625" width="16.7109375" style="166" customWidth="1"/>
    <col min="14626" max="14626" width="5.28125" style="166" customWidth="1"/>
    <col min="14627" max="14627" width="14.421875" style="166" customWidth="1"/>
    <col min="14628" max="14628" width="1.8515625" style="166" customWidth="1"/>
    <col min="14629" max="14629" width="16.7109375" style="166" customWidth="1"/>
    <col min="14630" max="14839" width="11.00390625" style="166" customWidth="1"/>
    <col min="14840" max="14840" width="7.57421875" style="166" customWidth="1"/>
    <col min="14841" max="14841" width="15.57421875" style="166" customWidth="1"/>
    <col min="14842" max="14842" width="20.140625" style="166" customWidth="1"/>
    <col min="14843" max="14843" width="2.28125" style="166" customWidth="1"/>
    <col min="14844" max="14844" width="17.421875" style="166" customWidth="1"/>
    <col min="14845" max="14845" width="1.8515625" style="166" customWidth="1"/>
    <col min="14846" max="14846" width="18.7109375" style="166" customWidth="1"/>
    <col min="14847" max="14847" width="1.8515625" style="166" customWidth="1"/>
    <col min="14848" max="14848" width="23.00390625" style="166" customWidth="1"/>
    <col min="14849" max="14849" width="1.8515625" style="166" customWidth="1"/>
    <col min="14850" max="14850" width="17.421875" style="166" customWidth="1"/>
    <col min="14851" max="14851" width="3.00390625" style="166" customWidth="1"/>
    <col min="14852" max="14852" width="16.28125" style="166" customWidth="1"/>
    <col min="14853" max="14853" width="3.00390625" style="166" customWidth="1"/>
    <col min="14854" max="14854" width="14.140625" style="166" customWidth="1"/>
    <col min="14855" max="14855" width="2.00390625" style="166" customWidth="1"/>
    <col min="14856" max="14856" width="15.8515625" style="166" customWidth="1"/>
    <col min="14857" max="14857" width="3.140625" style="166" customWidth="1"/>
    <col min="14858" max="14858" width="17.8515625" style="166" customWidth="1"/>
    <col min="14859" max="14859" width="2.57421875" style="166" customWidth="1"/>
    <col min="14860" max="14860" width="15.57421875" style="166" customWidth="1"/>
    <col min="14861" max="14861" width="1.8515625" style="166" customWidth="1"/>
    <col min="14862" max="14862" width="14.140625" style="166" customWidth="1"/>
    <col min="14863" max="14863" width="11.00390625" style="166" customWidth="1"/>
    <col min="14864" max="14865" width="25.00390625" style="166" customWidth="1"/>
    <col min="14866" max="14866" width="1.8515625" style="166" customWidth="1"/>
    <col min="14867" max="14867" width="17.8515625" style="166" customWidth="1"/>
    <col min="14868" max="14868" width="1.8515625" style="166" customWidth="1"/>
    <col min="14869" max="14869" width="19.00390625" style="166" customWidth="1"/>
    <col min="14870" max="14870" width="1.8515625" style="166" customWidth="1"/>
    <col min="14871" max="14871" width="16.7109375" style="166" customWidth="1"/>
    <col min="14872" max="14872" width="1.8515625" style="166" customWidth="1"/>
    <col min="14873" max="14873" width="16.7109375" style="166" customWidth="1"/>
    <col min="14874" max="14874" width="1.8515625" style="166" customWidth="1"/>
    <col min="14875" max="14875" width="16.7109375" style="166" customWidth="1"/>
    <col min="14876" max="14876" width="1.8515625" style="166" customWidth="1"/>
    <col min="14877" max="14877" width="16.7109375" style="166" customWidth="1"/>
    <col min="14878" max="14878" width="1.8515625" style="166" customWidth="1"/>
    <col min="14879" max="14879" width="17.8515625" style="166" customWidth="1"/>
    <col min="14880" max="14880" width="5.28125" style="166" customWidth="1"/>
    <col min="14881" max="14881" width="16.7109375" style="166" customWidth="1"/>
    <col min="14882" max="14882" width="5.28125" style="166" customWidth="1"/>
    <col min="14883" max="14883" width="14.421875" style="166" customWidth="1"/>
    <col min="14884" max="14884" width="1.8515625" style="166" customWidth="1"/>
    <col min="14885" max="14885" width="16.7109375" style="166" customWidth="1"/>
    <col min="14886" max="15095" width="11.00390625" style="166" customWidth="1"/>
    <col min="15096" max="15096" width="7.57421875" style="166" customWidth="1"/>
    <col min="15097" max="15097" width="15.57421875" style="166" customWidth="1"/>
    <col min="15098" max="15098" width="20.140625" style="166" customWidth="1"/>
    <col min="15099" max="15099" width="2.28125" style="166" customWidth="1"/>
    <col min="15100" max="15100" width="17.421875" style="166" customWidth="1"/>
    <col min="15101" max="15101" width="1.8515625" style="166" customWidth="1"/>
    <col min="15102" max="15102" width="18.7109375" style="166" customWidth="1"/>
    <col min="15103" max="15103" width="1.8515625" style="166" customWidth="1"/>
    <col min="15104" max="15104" width="23.00390625" style="166" customWidth="1"/>
    <col min="15105" max="15105" width="1.8515625" style="166" customWidth="1"/>
    <col min="15106" max="15106" width="17.421875" style="166" customWidth="1"/>
    <col min="15107" max="15107" width="3.00390625" style="166" customWidth="1"/>
    <col min="15108" max="15108" width="16.28125" style="166" customWidth="1"/>
    <col min="15109" max="15109" width="3.00390625" style="166" customWidth="1"/>
    <col min="15110" max="15110" width="14.140625" style="166" customWidth="1"/>
    <col min="15111" max="15111" width="2.00390625" style="166" customWidth="1"/>
    <col min="15112" max="15112" width="15.8515625" style="166" customWidth="1"/>
    <col min="15113" max="15113" width="3.140625" style="166" customWidth="1"/>
    <col min="15114" max="15114" width="17.8515625" style="166" customWidth="1"/>
    <col min="15115" max="15115" width="2.57421875" style="166" customWidth="1"/>
    <col min="15116" max="15116" width="15.57421875" style="166" customWidth="1"/>
    <col min="15117" max="15117" width="1.8515625" style="166" customWidth="1"/>
    <col min="15118" max="15118" width="14.140625" style="166" customWidth="1"/>
    <col min="15119" max="15119" width="11.00390625" style="166" customWidth="1"/>
    <col min="15120" max="15121" width="25.00390625" style="166" customWidth="1"/>
    <col min="15122" max="15122" width="1.8515625" style="166" customWidth="1"/>
    <col min="15123" max="15123" width="17.8515625" style="166" customWidth="1"/>
    <col min="15124" max="15124" width="1.8515625" style="166" customWidth="1"/>
    <col min="15125" max="15125" width="19.00390625" style="166" customWidth="1"/>
    <col min="15126" max="15126" width="1.8515625" style="166" customWidth="1"/>
    <col min="15127" max="15127" width="16.7109375" style="166" customWidth="1"/>
    <col min="15128" max="15128" width="1.8515625" style="166" customWidth="1"/>
    <col min="15129" max="15129" width="16.7109375" style="166" customWidth="1"/>
    <col min="15130" max="15130" width="1.8515625" style="166" customWidth="1"/>
    <col min="15131" max="15131" width="16.7109375" style="166" customWidth="1"/>
    <col min="15132" max="15132" width="1.8515625" style="166" customWidth="1"/>
    <col min="15133" max="15133" width="16.7109375" style="166" customWidth="1"/>
    <col min="15134" max="15134" width="1.8515625" style="166" customWidth="1"/>
    <col min="15135" max="15135" width="17.8515625" style="166" customWidth="1"/>
    <col min="15136" max="15136" width="5.28125" style="166" customWidth="1"/>
    <col min="15137" max="15137" width="16.7109375" style="166" customWidth="1"/>
    <col min="15138" max="15138" width="5.28125" style="166" customWidth="1"/>
    <col min="15139" max="15139" width="14.421875" style="166" customWidth="1"/>
    <col min="15140" max="15140" width="1.8515625" style="166" customWidth="1"/>
    <col min="15141" max="15141" width="16.7109375" style="166" customWidth="1"/>
    <col min="15142" max="15351" width="11.00390625" style="166" customWidth="1"/>
    <col min="15352" max="15352" width="7.57421875" style="166" customWidth="1"/>
    <col min="15353" max="15353" width="15.57421875" style="166" customWidth="1"/>
    <col min="15354" max="15354" width="20.140625" style="166" customWidth="1"/>
    <col min="15355" max="15355" width="2.28125" style="166" customWidth="1"/>
    <col min="15356" max="15356" width="17.421875" style="166" customWidth="1"/>
    <col min="15357" max="15357" width="1.8515625" style="166" customWidth="1"/>
    <col min="15358" max="15358" width="18.7109375" style="166" customWidth="1"/>
    <col min="15359" max="15359" width="1.8515625" style="166" customWidth="1"/>
    <col min="15360" max="15360" width="23.00390625" style="166" customWidth="1"/>
    <col min="15361" max="15361" width="1.8515625" style="166" customWidth="1"/>
    <col min="15362" max="15362" width="17.421875" style="166" customWidth="1"/>
    <col min="15363" max="15363" width="3.00390625" style="166" customWidth="1"/>
    <col min="15364" max="15364" width="16.28125" style="166" customWidth="1"/>
    <col min="15365" max="15365" width="3.00390625" style="166" customWidth="1"/>
    <col min="15366" max="15366" width="14.140625" style="166" customWidth="1"/>
    <col min="15367" max="15367" width="2.00390625" style="166" customWidth="1"/>
    <col min="15368" max="15368" width="15.8515625" style="166" customWidth="1"/>
    <col min="15369" max="15369" width="3.140625" style="166" customWidth="1"/>
    <col min="15370" max="15370" width="17.8515625" style="166" customWidth="1"/>
    <col min="15371" max="15371" width="2.57421875" style="166" customWidth="1"/>
    <col min="15372" max="15372" width="15.57421875" style="166" customWidth="1"/>
    <col min="15373" max="15373" width="1.8515625" style="166" customWidth="1"/>
    <col min="15374" max="15374" width="14.140625" style="166" customWidth="1"/>
    <col min="15375" max="15375" width="11.00390625" style="166" customWidth="1"/>
    <col min="15376" max="15377" width="25.00390625" style="166" customWidth="1"/>
    <col min="15378" max="15378" width="1.8515625" style="166" customWidth="1"/>
    <col min="15379" max="15379" width="17.8515625" style="166" customWidth="1"/>
    <col min="15380" max="15380" width="1.8515625" style="166" customWidth="1"/>
    <col min="15381" max="15381" width="19.00390625" style="166" customWidth="1"/>
    <col min="15382" max="15382" width="1.8515625" style="166" customWidth="1"/>
    <col min="15383" max="15383" width="16.7109375" style="166" customWidth="1"/>
    <col min="15384" max="15384" width="1.8515625" style="166" customWidth="1"/>
    <col min="15385" max="15385" width="16.7109375" style="166" customWidth="1"/>
    <col min="15386" max="15386" width="1.8515625" style="166" customWidth="1"/>
    <col min="15387" max="15387" width="16.7109375" style="166" customWidth="1"/>
    <col min="15388" max="15388" width="1.8515625" style="166" customWidth="1"/>
    <col min="15389" max="15389" width="16.7109375" style="166" customWidth="1"/>
    <col min="15390" max="15390" width="1.8515625" style="166" customWidth="1"/>
    <col min="15391" max="15391" width="17.8515625" style="166" customWidth="1"/>
    <col min="15392" max="15392" width="5.28125" style="166" customWidth="1"/>
    <col min="15393" max="15393" width="16.7109375" style="166" customWidth="1"/>
    <col min="15394" max="15394" width="5.28125" style="166" customWidth="1"/>
    <col min="15395" max="15395" width="14.421875" style="166" customWidth="1"/>
    <col min="15396" max="15396" width="1.8515625" style="166" customWidth="1"/>
    <col min="15397" max="15397" width="16.7109375" style="166" customWidth="1"/>
    <col min="15398" max="15607" width="11.00390625" style="166" customWidth="1"/>
    <col min="15608" max="15608" width="7.57421875" style="166" customWidth="1"/>
    <col min="15609" max="15609" width="15.57421875" style="166" customWidth="1"/>
    <col min="15610" max="15610" width="20.140625" style="166" customWidth="1"/>
    <col min="15611" max="15611" width="2.28125" style="166" customWidth="1"/>
    <col min="15612" max="15612" width="17.421875" style="166" customWidth="1"/>
    <col min="15613" max="15613" width="1.8515625" style="166" customWidth="1"/>
    <col min="15614" max="15614" width="18.7109375" style="166" customWidth="1"/>
    <col min="15615" max="15615" width="1.8515625" style="166" customWidth="1"/>
    <col min="15616" max="15616" width="23.00390625" style="166" customWidth="1"/>
    <col min="15617" max="15617" width="1.8515625" style="166" customWidth="1"/>
    <col min="15618" max="15618" width="17.421875" style="166" customWidth="1"/>
    <col min="15619" max="15619" width="3.00390625" style="166" customWidth="1"/>
    <col min="15620" max="15620" width="16.28125" style="166" customWidth="1"/>
    <col min="15621" max="15621" width="3.00390625" style="166" customWidth="1"/>
    <col min="15622" max="15622" width="14.140625" style="166" customWidth="1"/>
    <col min="15623" max="15623" width="2.00390625" style="166" customWidth="1"/>
    <col min="15624" max="15624" width="15.8515625" style="166" customWidth="1"/>
    <col min="15625" max="15625" width="3.140625" style="166" customWidth="1"/>
    <col min="15626" max="15626" width="17.8515625" style="166" customWidth="1"/>
    <col min="15627" max="15627" width="2.57421875" style="166" customWidth="1"/>
    <col min="15628" max="15628" width="15.57421875" style="166" customWidth="1"/>
    <col min="15629" max="15629" width="1.8515625" style="166" customWidth="1"/>
    <col min="15630" max="15630" width="14.140625" style="166" customWidth="1"/>
    <col min="15631" max="15631" width="11.00390625" style="166" customWidth="1"/>
    <col min="15632" max="15633" width="25.00390625" style="166" customWidth="1"/>
    <col min="15634" max="15634" width="1.8515625" style="166" customWidth="1"/>
    <col min="15635" max="15635" width="17.8515625" style="166" customWidth="1"/>
    <col min="15636" max="15636" width="1.8515625" style="166" customWidth="1"/>
    <col min="15637" max="15637" width="19.00390625" style="166" customWidth="1"/>
    <col min="15638" max="15638" width="1.8515625" style="166" customWidth="1"/>
    <col min="15639" max="15639" width="16.7109375" style="166" customWidth="1"/>
    <col min="15640" max="15640" width="1.8515625" style="166" customWidth="1"/>
    <col min="15641" max="15641" width="16.7109375" style="166" customWidth="1"/>
    <col min="15642" max="15642" width="1.8515625" style="166" customWidth="1"/>
    <col min="15643" max="15643" width="16.7109375" style="166" customWidth="1"/>
    <col min="15644" max="15644" width="1.8515625" style="166" customWidth="1"/>
    <col min="15645" max="15645" width="16.7109375" style="166" customWidth="1"/>
    <col min="15646" max="15646" width="1.8515625" style="166" customWidth="1"/>
    <col min="15647" max="15647" width="17.8515625" style="166" customWidth="1"/>
    <col min="15648" max="15648" width="5.28125" style="166" customWidth="1"/>
    <col min="15649" max="15649" width="16.7109375" style="166" customWidth="1"/>
    <col min="15650" max="15650" width="5.28125" style="166" customWidth="1"/>
    <col min="15651" max="15651" width="14.421875" style="166" customWidth="1"/>
    <col min="15652" max="15652" width="1.8515625" style="166" customWidth="1"/>
    <col min="15653" max="15653" width="16.7109375" style="166" customWidth="1"/>
    <col min="15654" max="15863" width="11.00390625" style="166" customWidth="1"/>
    <col min="15864" max="15864" width="7.57421875" style="166" customWidth="1"/>
    <col min="15865" max="15865" width="15.57421875" style="166" customWidth="1"/>
    <col min="15866" max="15866" width="20.140625" style="166" customWidth="1"/>
    <col min="15867" max="15867" width="2.28125" style="166" customWidth="1"/>
    <col min="15868" max="15868" width="17.421875" style="166" customWidth="1"/>
    <col min="15869" max="15869" width="1.8515625" style="166" customWidth="1"/>
    <col min="15870" max="15870" width="18.7109375" style="166" customWidth="1"/>
    <col min="15871" max="15871" width="1.8515625" style="166" customWidth="1"/>
    <col min="15872" max="15872" width="23.00390625" style="166" customWidth="1"/>
    <col min="15873" max="15873" width="1.8515625" style="166" customWidth="1"/>
    <col min="15874" max="15874" width="17.421875" style="166" customWidth="1"/>
    <col min="15875" max="15875" width="3.00390625" style="166" customWidth="1"/>
    <col min="15876" max="15876" width="16.28125" style="166" customWidth="1"/>
    <col min="15877" max="15877" width="3.00390625" style="166" customWidth="1"/>
    <col min="15878" max="15878" width="14.140625" style="166" customWidth="1"/>
    <col min="15879" max="15879" width="2.00390625" style="166" customWidth="1"/>
    <col min="15880" max="15880" width="15.8515625" style="166" customWidth="1"/>
    <col min="15881" max="15881" width="3.140625" style="166" customWidth="1"/>
    <col min="15882" max="15882" width="17.8515625" style="166" customWidth="1"/>
    <col min="15883" max="15883" width="2.57421875" style="166" customWidth="1"/>
    <col min="15884" max="15884" width="15.57421875" style="166" customWidth="1"/>
    <col min="15885" max="15885" width="1.8515625" style="166" customWidth="1"/>
    <col min="15886" max="15886" width="14.140625" style="166" customWidth="1"/>
    <col min="15887" max="15887" width="11.00390625" style="166" customWidth="1"/>
    <col min="15888" max="15889" width="25.00390625" style="166" customWidth="1"/>
    <col min="15890" max="15890" width="1.8515625" style="166" customWidth="1"/>
    <col min="15891" max="15891" width="17.8515625" style="166" customWidth="1"/>
    <col min="15892" max="15892" width="1.8515625" style="166" customWidth="1"/>
    <col min="15893" max="15893" width="19.00390625" style="166" customWidth="1"/>
    <col min="15894" max="15894" width="1.8515625" style="166" customWidth="1"/>
    <col min="15895" max="15895" width="16.7109375" style="166" customWidth="1"/>
    <col min="15896" max="15896" width="1.8515625" style="166" customWidth="1"/>
    <col min="15897" max="15897" width="16.7109375" style="166" customWidth="1"/>
    <col min="15898" max="15898" width="1.8515625" style="166" customWidth="1"/>
    <col min="15899" max="15899" width="16.7109375" style="166" customWidth="1"/>
    <col min="15900" max="15900" width="1.8515625" style="166" customWidth="1"/>
    <col min="15901" max="15901" width="16.7109375" style="166" customWidth="1"/>
    <col min="15902" max="15902" width="1.8515625" style="166" customWidth="1"/>
    <col min="15903" max="15903" width="17.8515625" style="166" customWidth="1"/>
    <col min="15904" max="15904" width="5.28125" style="166" customWidth="1"/>
    <col min="15905" max="15905" width="16.7109375" style="166" customWidth="1"/>
    <col min="15906" max="15906" width="5.28125" style="166" customWidth="1"/>
    <col min="15907" max="15907" width="14.421875" style="166" customWidth="1"/>
    <col min="15908" max="15908" width="1.8515625" style="166" customWidth="1"/>
    <col min="15909" max="15909" width="16.7109375" style="166" customWidth="1"/>
    <col min="15910" max="16119" width="11.00390625" style="166" customWidth="1"/>
    <col min="16120" max="16120" width="7.57421875" style="166" customWidth="1"/>
    <col min="16121" max="16121" width="15.57421875" style="166" customWidth="1"/>
    <col min="16122" max="16122" width="20.140625" style="166" customWidth="1"/>
    <col min="16123" max="16123" width="2.28125" style="166" customWidth="1"/>
    <col min="16124" max="16124" width="17.421875" style="166" customWidth="1"/>
    <col min="16125" max="16125" width="1.8515625" style="166" customWidth="1"/>
    <col min="16126" max="16126" width="18.7109375" style="166" customWidth="1"/>
    <col min="16127" max="16127" width="1.8515625" style="166" customWidth="1"/>
    <col min="16128" max="16128" width="23.00390625" style="166" customWidth="1"/>
    <col min="16129" max="16129" width="1.8515625" style="166" customWidth="1"/>
    <col min="16130" max="16130" width="17.421875" style="166" customWidth="1"/>
    <col min="16131" max="16131" width="3.00390625" style="166" customWidth="1"/>
    <col min="16132" max="16132" width="16.28125" style="166" customWidth="1"/>
    <col min="16133" max="16133" width="3.00390625" style="166" customWidth="1"/>
    <col min="16134" max="16134" width="14.140625" style="166" customWidth="1"/>
    <col min="16135" max="16135" width="2.00390625" style="166" customWidth="1"/>
    <col min="16136" max="16136" width="15.8515625" style="166" customWidth="1"/>
    <col min="16137" max="16137" width="3.140625" style="166" customWidth="1"/>
    <col min="16138" max="16138" width="17.8515625" style="166" customWidth="1"/>
    <col min="16139" max="16139" width="2.57421875" style="166" customWidth="1"/>
    <col min="16140" max="16140" width="15.57421875" style="166" customWidth="1"/>
    <col min="16141" max="16141" width="1.8515625" style="166" customWidth="1"/>
    <col min="16142" max="16142" width="14.140625" style="166" customWidth="1"/>
    <col min="16143" max="16143" width="11.00390625" style="166" customWidth="1"/>
    <col min="16144" max="16145" width="25.00390625" style="166" customWidth="1"/>
    <col min="16146" max="16146" width="1.8515625" style="166" customWidth="1"/>
    <col min="16147" max="16147" width="17.8515625" style="166" customWidth="1"/>
    <col min="16148" max="16148" width="1.8515625" style="166" customWidth="1"/>
    <col min="16149" max="16149" width="19.00390625" style="166" customWidth="1"/>
    <col min="16150" max="16150" width="1.8515625" style="166" customWidth="1"/>
    <col min="16151" max="16151" width="16.7109375" style="166" customWidth="1"/>
    <col min="16152" max="16152" width="1.8515625" style="166" customWidth="1"/>
    <col min="16153" max="16153" width="16.7109375" style="166" customWidth="1"/>
    <col min="16154" max="16154" width="1.8515625" style="166" customWidth="1"/>
    <col min="16155" max="16155" width="16.7109375" style="166" customWidth="1"/>
    <col min="16156" max="16156" width="1.8515625" style="166" customWidth="1"/>
    <col min="16157" max="16157" width="16.7109375" style="166" customWidth="1"/>
    <col min="16158" max="16158" width="1.8515625" style="166" customWidth="1"/>
    <col min="16159" max="16159" width="17.8515625" style="166" customWidth="1"/>
    <col min="16160" max="16160" width="5.28125" style="166" customWidth="1"/>
    <col min="16161" max="16161" width="16.7109375" style="166" customWidth="1"/>
    <col min="16162" max="16162" width="5.28125" style="166" customWidth="1"/>
    <col min="16163" max="16163" width="14.421875" style="166" customWidth="1"/>
    <col min="16164" max="16164" width="1.8515625" style="166" customWidth="1"/>
    <col min="16165" max="16165" width="16.7109375" style="166" customWidth="1"/>
    <col min="16166" max="16384" width="11.00390625" style="166" customWidth="1"/>
  </cols>
  <sheetData>
    <row r="1" spans="12:17" s="166" customFormat="1" ht="12.75">
      <c r="L1" s="181"/>
      <c r="M1" s="181"/>
      <c r="N1" s="181"/>
      <c r="O1" s="181"/>
      <c r="P1" s="181"/>
      <c r="Q1" s="181"/>
    </row>
    <row r="2" spans="2:37" s="166" customFormat="1" ht="12.75">
      <c r="B2" s="399" t="s">
        <v>433</v>
      </c>
      <c r="C2" s="399"/>
      <c r="D2" s="399"/>
      <c r="E2" s="399"/>
      <c r="F2" s="399"/>
      <c r="G2" s="399"/>
      <c r="H2" s="399"/>
      <c r="I2" s="399"/>
      <c r="J2" s="399"/>
      <c r="K2" s="399"/>
      <c r="L2" s="399"/>
      <c r="M2" s="399"/>
      <c r="N2" s="399"/>
      <c r="O2" s="182"/>
      <c r="P2" s="181"/>
      <c r="Q2" s="181"/>
      <c r="R2" s="168"/>
      <c r="S2" s="168"/>
      <c r="T2" s="168"/>
      <c r="U2" s="167"/>
      <c r="V2" s="168"/>
      <c r="W2" s="167"/>
      <c r="X2" s="168"/>
      <c r="Y2" s="167"/>
      <c r="Z2" s="168"/>
      <c r="AA2" s="168"/>
      <c r="AB2" s="168"/>
      <c r="AC2" s="168"/>
      <c r="AD2" s="168"/>
      <c r="AE2" s="168"/>
      <c r="AF2" s="168"/>
      <c r="AG2" s="168"/>
      <c r="AH2" s="168"/>
      <c r="AI2" s="168"/>
      <c r="AJ2" s="168"/>
      <c r="AK2" s="168"/>
    </row>
    <row r="3" spans="2:37" s="166" customFormat="1" ht="12.75">
      <c r="B3" s="399" t="s">
        <v>434</v>
      </c>
      <c r="C3" s="399"/>
      <c r="D3" s="399"/>
      <c r="E3" s="399"/>
      <c r="F3" s="399"/>
      <c r="G3" s="399"/>
      <c r="H3" s="399"/>
      <c r="I3" s="399"/>
      <c r="J3" s="399"/>
      <c r="K3" s="399"/>
      <c r="L3" s="399"/>
      <c r="M3" s="399"/>
      <c r="N3" s="399"/>
      <c r="O3" s="182"/>
      <c r="P3" s="181"/>
      <c r="Q3" s="181"/>
      <c r="R3" s="168"/>
      <c r="S3" s="168"/>
      <c r="T3" s="168"/>
      <c r="U3" s="167"/>
      <c r="V3" s="168"/>
      <c r="W3" s="167"/>
      <c r="X3" s="168"/>
      <c r="Y3" s="168"/>
      <c r="Z3" s="168"/>
      <c r="AA3" s="168"/>
      <c r="AB3" s="168"/>
      <c r="AC3" s="168"/>
      <c r="AD3" s="168"/>
      <c r="AE3" s="168"/>
      <c r="AF3" s="168"/>
      <c r="AG3" s="168"/>
      <c r="AH3" s="168"/>
      <c r="AI3" s="168"/>
      <c r="AJ3" s="168"/>
      <c r="AK3" s="168"/>
    </row>
    <row r="4" spans="2:37" s="166" customFormat="1" ht="12.75">
      <c r="B4" s="399" t="s">
        <v>435</v>
      </c>
      <c r="C4" s="399"/>
      <c r="D4" s="399"/>
      <c r="E4" s="399"/>
      <c r="F4" s="399"/>
      <c r="G4" s="399"/>
      <c r="H4" s="399"/>
      <c r="I4" s="399"/>
      <c r="J4" s="399"/>
      <c r="K4" s="399"/>
      <c r="L4" s="399"/>
      <c r="M4" s="399"/>
      <c r="N4" s="399"/>
      <c r="O4" s="182"/>
      <c r="P4" s="181"/>
      <c r="Q4" s="181"/>
      <c r="R4" s="168"/>
      <c r="S4" s="168"/>
      <c r="T4" s="168"/>
      <c r="U4" s="167"/>
      <c r="V4" s="168"/>
      <c r="W4" s="167"/>
      <c r="X4" s="167"/>
      <c r="Y4" s="168"/>
      <c r="Z4" s="168"/>
      <c r="AA4" s="168"/>
      <c r="AB4" s="168"/>
      <c r="AC4" s="168"/>
      <c r="AD4" s="168"/>
      <c r="AE4" s="168"/>
      <c r="AF4" s="168"/>
      <c r="AG4" s="168"/>
      <c r="AH4" s="168"/>
      <c r="AI4" s="168"/>
      <c r="AJ4" s="168"/>
      <c r="AK4" s="168"/>
    </row>
    <row r="5" spans="2:37" s="166" customFormat="1" ht="12.75">
      <c r="B5" s="399" t="s">
        <v>436</v>
      </c>
      <c r="C5" s="399"/>
      <c r="D5" s="399"/>
      <c r="E5" s="399"/>
      <c r="F5" s="399"/>
      <c r="G5" s="399"/>
      <c r="H5" s="399"/>
      <c r="I5" s="399"/>
      <c r="J5" s="399"/>
      <c r="K5" s="399"/>
      <c r="L5" s="399"/>
      <c r="M5" s="399"/>
      <c r="N5" s="399"/>
      <c r="O5" s="182"/>
      <c r="P5" s="181"/>
      <c r="Q5" s="181"/>
      <c r="R5" s="168"/>
      <c r="S5" s="168"/>
      <c r="T5" s="167"/>
      <c r="U5" s="167"/>
      <c r="V5" s="168"/>
      <c r="W5" s="168"/>
      <c r="X5" s="168"/>
      <c r="Y5" s="168"/>
      <c r="Z5" s="168"/>
      <c r="AA5" s="168"/>
      <c r="AB5" s="168"/>
      <c r="AC5" s="168"/>
      <c r="AD5" s="168"/>
      <c r="AE5" s="168"/>
      <c r="AF5" s="168"/>
      <c r="AG5" s="168"/>
      <c r="AH5" s="168"/>
      <c r="AI5" s="168"/>
      <c r="AJ5" s="168"/>
      <c r="AK5" s="168"/>
    </row>
    <row r="6" spans="2:37" s="166" customFormat="1" ht="12.75">
      <c r="B6" s="400" t="s">
        <v>437</v>
      </c>
      <c r="C6" s="400"/>
      <c r="D6" s="400"/>
      <c r="E6" s="400"/>
      <c r="F6" s="400"/>
      <c r="G6" s="400"/>
      <c r="H6" s="400"/>
      <c r="I6" s="400"/>
      <c r="J6" s="400"/>
      <c r="K6" s="400"/>
      <c r="L6" s="400"/>
      <c r="M6" s="400"/>
      <c r="N6" s="400"/>
      <c r="O6" s="182"/>
      <c r="P6" s="181"/>
      <c r="Q6" s="181"/>
      <c r="R6" s="168"/>
      <c r="S6" s="168"/>
      <c r="T6" s="168"/>
      <c r="U6" s="167"/>
      <c r="V6" s="168"/>
      <c r="W6" s="168"/>
      <c r="X6" s="168"/>
      <c r="Y6" s="167"/>
      <c r="Z6" s="168"/>
      <c r="AA6" s="168"/>
      <c r="AB6" s="168"/>
      <c r="AC6" s="168"/>
      <c r="AD6" s="168"/>
      <c r="AE6" s="168"/>
      <c r="AF6" s="168"/>
      <c r="AG6" s="168"/>
      <c r="AH6" s="168"/>
      <c r="AI6" s="168"/>
      <c r="AJ6" s="168"/>
      <c r="AK6" s="168"/>
    </row>
    <row r="7" spans="3:37" s="166" customFormat="1" ht="12.75">
      <c r="C7" s="167"/>
      <c r="D7" s="168"/>
      <c r="E7" s="168"/>
      <c r="F7" s="168"/>
      <c r="G7" s="167"/>
      <c r="H7" s="168"/>
      <c r="I7" s="168"/>
      <c r="J7" s="168"/>
      <c r="K7" s="168"/>
      <c r="L7" s="183"/>
      <c r="M7" s="183"/>
      <c r="N7" s="183"/>
      <c r="O7" s="182"/>
      <c r="P7" s="181"/>
      <c r="Q7" s="181"/>
      <c r="R7" s="168"/>
      <c r="S7" s="168"/>
      <c r="T7" s="168"/>
      <c r="U7" s="167"/>
      <c r="V7" s="168"/>
      <c r="W7" s="168"/>
      <c r="X7" s="168"/>
      <c r="Y7" s="167"/>
      <c r="Z7" s="168"/>
      <c r="AA7" s="168"/>
      <c r="AB7" s="168"/>
      <c r="AC7" s="168"/>
      <c r="AD7" s="168"/>
      <c r="AE7" s="168"/>
      <c r="AF7" s="168"/>
      <c r="AG7" s="168"/>
      <c r="AH7" s="168"/>
      <c r="AI7" s="168"/>
      <c r="AJ7" s="168"/>
      <c r="AK7" s="168"/>
    </row>
    <row r="8" spans="3:37" s="166" customFormat="1" ht="12.75">
      <c r="C8" s="169"/>
      <c r="D8" s="169"/>
      <c r="E8" s="169"/>
      <c r="F8" s="169"/>
      <c r="G8" s="169"/>
      <c r="H8" s="169"/>
      <c r="I8" s="169"/>
      <c r="J8" s="169"/>
      <c r="K8" s="169"/>
      <c r="L8" s="184"/>
      <c r="M8" s="184"/>
      <c r="N8" s="184"/>
      <c r="O8" s="181"/>
      <c r="P8" s="181"/>
      <c r="Q8" s="181"/>
      <c r="R8" s="169"/>
      <c r="S8" s="169"/>
      <c r="T8" s="169"/>
      <c r="U8" s="169"/>
      <c r="V8" s="169"/>
      <c r="W8" s="169"/>
      <c r="X8" s="169"/>
      <c r="Y8" s="169"/>
      <c r="Z8" s="169"/>
      <c r="AA8" s="169"/>
      <c r="AB8" s="169"/>
      <c r="AC8" s="169"/>
      <c r="AD8" s="169"/>
      <c r="AE8" s="169"/>
      <c r="AF8" s="169"/>
      <c r="AG8" s="169"/>
      <c r="AH8" s="169"/>
      <c r="AI8" s="169"/>
      <c r="AJ8" s="169"/>
      <c r="AK8" s="169"/>
    </row>
    <row r="9" spans="12:37" s="166" customFormat="1" ht="12.75">
      <c r="L9" s="181"/>
      <c r="M9" s="181"/>
      <c r="N9" s="181"/>
      <c r="O9" s="181"/>
      <c r="P9" s="181"/>
      <c r="Q9" s="181"/>
      <c r="R9" s="169"/>
      <c r="S9" s="212"/>
      <c r="T9" s="169"/>
      <c r="U9" s="212"/>
      <c r="V9" s="169"/>
      <c r="W9" s="212"/>
      <c r="X9" s="169"/>
      <c r="Y9" s="212"/>
      <c r="Z9" s="169"/>
      <c r="AA9" s="212"/>
      <c r="AB9" s="169"/>
      <c r="AC9" s="212"/>
      <c r="AD9" s="169"/>
      <c r="AE9" s="212"/>
      <c r="AF9" s="169"/>
      <c r="AG9" s="212"/>
      <c r="AH9" s="169"/>
      <c r="AI9" s="212"/>
      <c r="AJ9" s="169"/>
      <c r="AK9" s="212"/>
    </row>
    <row r="10" spans="12:37" s="166" customFormat="1" ht="12.75">
      <c r="L10" s="181"/>
      <c r="M10" s="181"/>
      <c r="N10" s="181"/>
      <c r="O10" s="181"/>
      <c r="P10" s="181"/>
      <c r="Q10" s="181"/>
      <c r="R10" s="169"/>
      <c r="S10" s="169"/>
      <c r="T10" s="169"/>
      <c r="U10" s="212"/>
      <c r="V10" s="169"/>
      <c r="W10" s="169"/>
      <c r="X10" s="169"/>
      <c r="Y10" s="169"/>
      <c r="Z10" s="169"/>
      <c r="AA10" s="169"/>
      <c r="AB10" s="169"/>
      <c r="AC10" s="169"/>
      <c r="AD10" s="169"/>
      <c r="AE10" s="169"/>
      <c r="AF10" s="169"/>
      <c r="AG10" s="169"/>
      <c r="AH10" s="169"/>
      <c r="AI10" s="169"/>
      <c r="AJ10" s="169"/>
      <c r="AK10" s="169"/>
    </row>
    <row r="11" spans="3:37" s="166" customFormat="1" ht="12.75">
      <c r="C11" s="212" t="s">
        <v>162</v>
      </c>
      <c r="D11" s="212" t="s">
        <v>163</v>
      </c>
      <c r="E11" s="212" t="s">
        <v>164</v>
      </c>
      <c r="F11" s="212" t="s">
        <v>165</v>
      </c>
      <c r="G11" s="212" t="s">
        <v>166</v>
      </c>
      <c r="H11" s="212" t="s">
        <v>167</v>
      </c>
      <c r="I11" s="212" t="s">
        <v>255</v>
      </c>
      <c r="J11" s="212" t="s">
        <v>256</v>
      </c>
      <c r="K11" s="342" t="s">
        <v>257</v>
      </c>
      <c r="L11" s="185" t="s">
        <v>258</v>
      </c>
      <c r="M11" s="185" t="s">
        <v>259</v>
      </c>
      <c r="N11" s="185" t="s">
        <v>260</v>
      </c>
      <c r="O11" s="181"/>
      <c r="P11" s="181"/>
      <c r="Q11" s="181"/>
      <c r="R11" s="169"/>
      <c r="S11" s="169"/>
      <c r="T11" s="169"/>
      <c r="U11" s="212"/>
      <c r="V11" s="169"/>
      <c r="W11" s="169"/>
      <c r="X11" s="169"/>
      <c r="Y11" s="212"/>
      <c r="Z11" s="169"/>
      <c r="AA11" s="169"/>
      <c r="AB11" s="169"/>
      <c r="AC11" s="169"/>
      <c r="AD11" s="169"/>
      <c r="AE11" s="212"/>
      <c r="AF11" s="169"/>
      <c r="AG11" s="169"/>
      <c r="AH11" s="169"/>
      <c r="AI11" s="169"/>
      <c r="AJ11" s="169"/>
      <c r="AK11" s="169"/>
    </row>
    <row r="12" spans="3:37" s="166" customFormat="1" ht="12.75">
      <c r="C12" s="169"/>
      <c r="D12" s="169"/>
      <c r="E12" s="212" t="s">
        <v>438</v>
      </c>
      <c r="F12" s="169"/>
      <c r="G12" s="169"/>
      <c r="H12" s="169"/>
      <c r="I12" s="169"/>
      <c r="J12" s="169"/>
      <c r="K12" s="169"/>
      <c r="L12" s="184"/>
      <c r="M12" s="184"/>
      <c r="N12" s="184"/>
      <c r="O12" s="181"/>
      <c r="P12" s="181"/>
      <c r="Q12" s="181"/>
      <c r="R12" s="169"/>
      <c r="S12" s="212"/>
      <c r="T12" s="169"/>
      <c r="U12" s="212"/>
      <c r="V12" s="169"/>
      <c r="W12" s="169"/>
      <c r="X12" s="169"/>
      <c r="Y12" s="212"/>
      <c r="Z12" s="169"/>
      <c r="AA12" s="212"/>
      <c r="AB12" s="169"/>
      <c r="AC12" s="212"/>
      <c r="AD12" s="169"/>
      <c r="AE12" s="212"/>
      <c r="AF12" s="169"/>
      <c r="AG12" s="212"/>
      <c r="AH12" s="169"/>
      <c r="AI12" s="212"/>
      <c r="AJ12" s="169"/>
      <c r="AK12" s="212"/>
    </row>
    <row r="13" spans="3:37" s="166" customFormat="1" ht="12.75">
      <c r="C13" s="169"/>
      <c r="D13" s="169"/>
      <c r="E13" s="212" t="s">
        <v>439</v>
      </c>
      <c r="F13" s="169"/>
      <c r="H13" s="169"/>
      <c r="I13" s="169"/>
      <c r="J13" s="212" t="s">
        <v>440</v>
      </c>
      <c r="K13" s="342" t="s">
        <v>710</v>
      </c>
      <c r="L13" s="184"/>
      <c r="M13" s="184"/>
      <c r="N13" s="184"/>
      <c r="O13" s="181"/>
      <c r="P13" s="181"/>
      <c r="Q13" s="181"/>
      <c r="R13" s="169"/>
      <c r="S13" s="212"/>
      <c r="T13" s="169"/>
      <c r="U13" s="212"/>
      <c r="V13" s="169"/>
      <c r="W13" s="169"/>
      <c r="X13" s="169"/>
      <c r="Y13" s="212"/>
      <c r="Z13" s="169"/>
      <c r="AA13" s="212"/>
      <c r="AB13" s="169"/>
      <c r="AC13" s="212"/>
      <c r="AD13" s="169"/>
      <c r="AE13" s="212"/>
      <c r="AF13" s="169"/>
      <c r="AG13" s="212"/>
      <c r="AH13" s="169"/>
      <c r="AI13" s="212"/>
      <c r="AJ13" s="169"/>
      <c r="AK13" s="212"/>
    </row>
    <row r="14" spans="2:37" s="166" customFormat="1" ht="12.75">
      <c r="B14" s="342" t="s">
        <v>441</v>
      </c>
      <c r="C14" s="169"/>
      <c r="D14" s="212" t="s">
        <v>442</v>
      </c>
      <c r="E14" s="212" t="s">
        <v>443</v>
      </c>
      <c r="F14" s="169"/>
      <c r="G14" s="212" t="s">
        <v>288</v>
      </c>
      <c r="H14" s="212" t="s">
        <v>288</v>
      </c>
      <c r="I14" s="212" t="s">
        <v>444</v>
      </c>
      <c r="J14" s="212" t="s">
        <v>445</v>
      </c>
      <c r="K14" s="342" t="s">
        <v>711</v>
      </c>
      <c r="L14" s="185" t="s">
        <v>194</v>
      </c>
      <c r="M14" s="185" t="s">
        <v>446</v>
      </c>
      <c r="N14" s="185" t="s">
        <v>288</v>
      </c>
      <c r="O14" s="181"/>
      <c r="P14" s="181"/>
      <c r="Q14" s="181"/>
      <c r="R14" s="169"/>
      <c r="S14" s="212"/>
      <c r="T14" s="169"/>
      <c r="U14" s="212"/>
      <c r="V14" s="169"/>
      <c r="W14" s="212"/>
      <c r="X14" s="169"/>
      <c r="Y14" s="212"/>
      <c r="Z14" s="169"/>
      <c r="AA14" s="212"/>
      <c r="AB14" s="169"/>
      <c r="AC14" s="212"/>
      <c r="AD14" s="169"/>
      <c r="AE14" s="212"/>
      <c r="AF14" s="169"/>
      <c r="AG14" s="212"/>
      <c r="AH14" s="169"/>
      <c r="AI14" s="212"/>
      <c r="AJ14" s="169"/>
      <c r="AK14" s="212"/>
    </row>
    <row r="15" spans="2:17" s="166" customFormat="1" ht="12.75">
      <c r="B15" s="342" t="s">
        <v>447</v>
      </c>
      <c r="C15" s="212" t="s">
        <v>448</v>
      </c>
      <c r="D15" s="212" t="s">
        <v>449</v>
      </c>
      <c r="E15" s="212" t="s">
        <v>450</v>
      </c>
      <c r="F15" s="169"/>
      <c r="G15" s="212" t="s">
        <v>184</v>
      </c>
      <c r="H15" s="212" t="s">
        <v>448</v>
      </c>
      <c r="I15" s="212" t="s">
        <v>451</v>
      </c>
      <c r="J15" s="212" t="s">
        <v>452</v>
      </c>
      <c r="K15" s="342" t="s">
        <v>453</v>
      </c>
      <c r="L15" s="185" t="s">
        <v>453</v>
      </c>
      <c r="M15" s="185" t="s">
        <v>194</v>
      </c>
      <c r="N15" s="185" t="s">
        <v>454</v>
      </c>
      <c r="O15" s="181"/>
      <c r="P15" s="181"/>
      <c r="Q15" s="181"/>
    </row>
    <row r="16" spans="2:17" s="166" customFormat="1" ht="12.75">
      <c r="B16" s="342" t="s">
        <v>455</v>
      </c>
      <c r="C16" s="212" t="s">
        <v>456</v>
      </c>
      <c r="D16" s="212" t="s">
        <v>457</v>
      </c>
      <c r="E16" s="212" t="s">
        <v>457</v>
      </c>
      <c r="F16" s="212" t="s">
        <v>193</v>
      </c>
      <c r="G16" s="212" t="s">
        <v>458</v>
      </c>
      <c r="H16" s="212" t="s">
        <v>459</v>
      </c>
      <c r="I16" s="212" t="s">
        <v>460</v>
      </c>
      <c r="J16" s="212" t="s">
        <v>461</v>
      </c>
      <c r="K16" s="342" t="s">
        <v>462</v>
      </c>
      <c r="L16" s="185" t="s">
        <v>462</v>
      </c>
      <c r="M16" s="185" t="s">
        <v>463</v>
      </c>
      <c r="N16" s="185" t="s">
        <v>464</v>
      </c>
      <c r="O16" s="181"/>
      <c r="P16" s="181"/>
      <c r="Q16" s="181"/>
    </row>
    <row r="17" spans="1:37" ht="12.75" hidden="1">
      <c r="A17" s="165">
        <v>1</v>
      </c>
      <c r="B17" s="212" t="s">
        <v>465</v>
      </c>
      <c r="C17" s="171">
        <v>3298951</v>
      </c>
      <c r="D17" s="171">
        <v>963839</v>
      </c>
      <c r="E17" s="171">
        <v>348748</v>
      </c>
      <c r="F17" s="171">
        <v>807047</v>
      </c>
      <c r="G17" s="171">
        <v>1220170</v>
      </c>
      <c r="H17" s="171">
        <f>C17-D17-E17-F17-G17</f>
        <v>-40853</v>
      </c>
      <c r="I17" s="171">
        <f>F17</f>
        <v>807047</v>
      </c>
      <c r="J17" s="171">
        <f>H17+I17</f>
        <v>766194</v>
      </c>
      <c r="K17" s="171"/>
      <c r="L17" s="186">
        <v>628460</v>
      </c>
      <c r="N17" s="186">
        <f>J17-L17</f>
        <v>137734</v>
      </c>
      <c r="S17" s="171"/>
      <c r="U17" s="171"/>
      <c r="W17" s="171"/>
      <c r="Y17" s="171"/>
      <c r="AA17" s="171"/>
      <c r="AC17" s="171"/>
      <c r="AE17" s="171"/>
      <c r="AG17" s="171"/>
      <c r="AK17" s="171"/>
    </row>
    <row r="18" ht="12.75" hidden="1">
      <c r="A18" s="165">
        <v>3</v>
      </c>
    </row>
    <row r="19" spans="1:37" ht="12.75" hidden="1">
      <c r="A19" s="165">
        <v>4</v>
      </c>
      <c r="B19" s="212" t="s">
        <v>466</v>
      </c>
      <c r="C19" s="171">
        <v>217534</v>
      </c>
      <c r="D19" s="171">
        <v>40331</v>
      </c>
      <c r="E19" s="171">
        <v>51130</v>
      </c>
      <c r="F19" s="171">
        <v>36511</v>
      </c>
      <c r="G19" s="171">
        <v>81883</v>
      </c>
      <c r="H19" s="171">
        <f>C19-D19-E19-F19-G19</f>
        <v>7679</v>
      </c>
      <c r="I19" s="171">
        <f>F19+10010</f>
        <v>46521</v>
      </c>
      <c r="J19" s="171">
        <f>H19+I19</f>
        <v>54200</v>
      </c>
      <c r="K19" s="171"/>
      <c r="L19" s="186">
        <v>6937</v>
      </c>
      <c r="N19" s="186">
        <f>J19-L19-M19</f>
        <v>47263</v>
      </c>
      <c r="S19" s="171"/>
      <c r="U19" s="171"/>
      <c r="W19" s="171"/>
      <c r="Y19" s="171"/>
      <c r="AA19" s="171"/>
      <c r="AC19" s="171"/>
      <c r="AE19" s="171"/>
      <c r="AG19" s="171"/>
      <c r="AK19" s="171"/>
    </row>
    <row r="20" spans="1:37" ht="12.75" hidden="1">
      <c r="A20" s="165">
        <v>5</v>
      </c>
      <c r="B20" s="212" t="s">
        <v>467</v>
      </c>
      <c r="C20" s="171">
        <v>189542</v>
      </c>
      <c r="D20" s="171">
        <f>9898+39449</f>
        <v>49347</v>
      </c>
      <c r="E20" s="171">
        <v>25195</v>
      </c>
      <c r="F20" s="171">
        <v>39083</v>
      </c>
      <c r="G20" s="171">
        <v>98889</v>
      </c>
      <c r="H20" s="171">
        <f>C20-D20-E20-F20-G20</f>
        <v>-22972</v>
      </c>
      <c r="I20" s="171">
        <f>F20+3503</f>
        <v>42586</v>
      </c>
      <c r="J20" s="171">
        <f>H20+I20</f>
        <v>19614</v>
      </c>
      <c r="K20" s="171"/>
      <c r="L20" s="186">
        <v>914</v>
      </c>
      <c r="N20" s="186">
        <f>J20-L20-M20</f>
        <v>18700</v>
      </c>
      <c r="S20" s="171"/>
      <c r="U20" s="171"/>
      <c r="W20" s="171"/>
      <c r="Y20" s="171"/>
      <c r="AA20" s="171"/>
      <c r="AC20" s="171"/>
      <c r="AE20" s="171"/>
      <c r="AG20" s="171"/>
      <c r="AK20" s="171"/>
    </row>
    <row r="21" spans="1:37" ht="12.75" hidden="1">
      <c r="A21" s="165">
        <v>6</v>
      </c>
      <c r="B21" s="212" t="s">
        <v>468</v>
      </c>
      <c r="C21" s="171">
        <v>341863</v>
      </c>
      <c r="D21" s="171">
        <v>76460</v>
      </c>
      <c r="E21" s="171">
        <f>89272+93471</f>
        <v>182743</v>
      </c>
      <c r="F21" s="171">
        <v>41237</v>
      </c>
      <c r="G21" s="171">
        <v>105740</v>
      </c>
      <c r="H21" s="171">
        <f>C21-D21-E21-F21-G21</f>
        <v>-64317</v>
      </c>
      <c r="I21" s="171">
        <f>F21+44210+8994</f>
        <v>94441</v>
      </c>
      <c r="J21" s="171">
        <f>H21+I21</f>
        <v>30124</v>
      </c>
      <c r="K21" s="171"/>
      <c r="L21" s="186">
        <v>73</v>
      </c>
      <c r="N21" s="186">
        <f>J21-L21-M21</f>
        <v>30051</v>
      </c>
      <c r="S21" s="171"/>
      <c r="U21" s="171"/>
      <c r="W21" s="171"/>
      <c r="Y21" s="171"/>
      <c r="AA21" s="171"/>
      <c r="AC21" s="171"/>
      <c r="AE21" s="171"/>
      <c r="AG21" s="171"/>
      <c r="AK21" s="171"/>
    </row>
    <row r="22" spans="1:37" ht="12.75" hidden="1">
      <c r="A22" s="165">
        <v>7</v>
      </c>
      <c r="B22" s="212" t="s">
        <v>469</v>
      </c>
      <c r="C22" s="171">
        <v>502589</v>
      </c>
      <c r="D22" s="171">
        <f>43497+49493</f>
        <v>92990</v>
      </c>
      <c r="E22" s="171">
        <f>205636+63989</f>
        <v>269625</v>
      </c>
      <c r="F22" s="171">
        <v>42870</v>
      </c>
      <c r="G22" s="171">
        <v>118861</v>
      </c>
      <c r="H22" s="171">
        <f>C22-D22-E22-F22-G22</f>
        <v>-21757</v>
      </c>
      <c r="I22" s="171">
        <f>F22+6071</f>
        <v>48941</v>
      </c>
      <c r="J22" s="171">
        <f>H22+I22</f>
        <v>27184</v>
      </c>
      <c r="K22" s="171"/>
      <c r="L22" s="186">
        <f>1650+2760</f>
        <v>4410</v>
      </c>
      <c r="N22" s="186">
        <f>J22-L22-M22</f>
        <v>22774</v>
      </c>
      <c r="S22" s="171"/>
      <c r="U22" s="171"/>
      <c r="W22" s="171"/>
      <c r="Y22" s="171"/>
      <c r="AA22" s="171"/>
      <c r="AC22" s="171"/>
      <c r="AE22" s="171"/>
      <c r="AG22" s="171"/>
      <c r="AH22" s="170"/>
      <c r="AK22" s="171"/>
    </row>
    <row r="23" spans="1:37" ht="12.75" hidden="1">
      <c r="A23" s="165">
        <v>8</v>
      </c>
      <c r="B23" s="212" t="s">
        <v>470</v>
      </c>
      <c r="C23" s="171">
        <v>1067604</v>
      </c>
      <c r="D23" s="171">
        <f>61354+55494-1418</f>
        <v>115430</v>
      </c>
      <c r="E23" s="171">
        <f>135662+381409+428371</f>
        <v>945442</v>
      </c>
      <c r="F23" s="171">
        <f>47937+1418</f>
        <v>49355</v>
      </c>
      <c r="G23" s="171">
        <v>145610</v>
      </c>
      <c r="H23" s="171">
        <f>C23-D23-E23-F23-G23</f>
        <v>-188233</v>
      </c>
      <c r="I23" s="171">
        <f>F23+6072</f>
        <v>55427</v>
      </c>
      <c r="J23" s="171">
        <f>H23+I23</f>
        <v>-132806</v>
      </c>
      <c r="K23" s="171"/>
      <c r="L23" s="186">
        <v>0</v>
      </c>
      <c r="N23" s="186">
        <f>J23-L23-M23</f>
        <v>-132806</v>
      </c>
      <c r="P23" s="186"/>
      <c r="S23" s="171"/>
      <c r="U23" s="171"/>
      <c r="W23" s="171"/>
      <c r="Y23" s="171"/>
      <c r="AA23" s="171"/>
      <c r="AC23" s="171"/>
      <c r="AE23" s="171"/>
      <c r="AG23" s="171"/>
      <c r="AH23" s="169"/>
      <c r="AK23" s="171"/>
    </row>
    <row r="24" spans="1:37" ht="12.75" hidden="1">
      <c r="A24" s="165">
        <v>9</v>
      </c>
      <c r="B24" s="212"/>
      <c r="C24" s="171"/>
      <c r="D24" s="171"/>
      <c r="E24" s="171"/>
      <c r="F24" s="171"/>
      <c r="G24" s="171"/>
      <c r="H24" s="171"/>
      <c r="I24" s="171"/>
      <c r="J24" s="171"/>
      <c r="K24" s="171"/>
      <c r="L24" s="186"/>
      <c r="N24" s="186"/>
      <c r="P24" s="186"/>
      <c r="S24" s="171"/>
      <c r="U24" s="171"/>
      <c r="W24" s="171"/>
      <c r="Y24" s="171"/>
      <c r="AA24" s="171"/>
      <c r="AC24" s="171"/>
      <c r="AE24" s="171"/>
      <c r="AG24" s="171"/>
      <c r="AH24" s="169"/>
      <c r="AK24" s="171"/>
    </row>
    <row r="25" spans="1:37" ht="12.75" hidden="1">
      <c r="A25" s="165">
        <v>10</v>
      </c>
      <c r="B25" s="212" t="s">
        <v>471</v>
      </c>
      <c r="C25" s="171">
        <f>1549866-64125</f>
        <v>1485741</v>
      </c>
      <c r="D25" s="171">
        <f>55616+64508-5164</f>
        <v>114960</v>
      </c>
      <c r="E25" s="171">
        <f>73334+633007+549469</f>
        <v>1255810</v>
      </c>
      <c r="F25" s="171">
        <f>52803+5164</f>
        <v>57967</v>
      </c>
      <c r="G25" s="171">
        <v>153763</v>
      </c>
      <c r="H25" s="171">
        <f>C25-D25-E25-F25-G25</f>
        <v>-96759</v>
      </c>
      <c r="I25" s="171">
        <f>F25+6072</f>
        <v>64039</v>
      </c>
      <c r="J25" s="171">
        <f>H25+I25</f>
        <v>-32720</v>
      </c>
      <c r="K25" s="171"/>
      <c r="L25" s="186">
        <v>0</v>
      </c>
      <c r="N25" s="186">
        <f>J25-L25-M25</f>
        <v>-32720</v>
      </c>
      <c r="S25" s="171"/>
      <c r="U25" s="171"/>
      <c r="W25" s="171"/>
      <c r="Y25" s="171"/>
      <c r="AA25" s="171"/>
      <c r="AC25" s="171"/>
      <c r="AE25" s="171"/>
      <c r="AG25" s="171"/>
      <c r="AH25" s="169"/>
      <c r="AK25" s="171"/>
    </row>
    <row r="26" spans="1:37" ht="12.75" hidden="1">
      <c r="A26" s="165">
        <v>11</v>
      </c>
      <c r="B26" s="212" t="s">
        <v>472</v>
      </c>
      <c r="C26" s="171">
        <v>2248654</v>
      </c>
      <c r="D26" s="171">
        <v>146870</v>
      </c>
      <c r="E26" s="171">
        <v>1898859</v>
      </c>
      <c r="F26" s="171">
        <f>54008+13636</f>
        <v>67644</v>
      </c>
      <c r="G26" s="171">
        <v>170942</v>
      </c>
      <c r="H26" s="171">
        <f>C26-D26-E26-F26-G26</f>
        <v>-35661</v>
      </c>
      <c r="I26" s="171">
        <f>F26+189738</f>
        <v>257382</v>
      </c>
      <c r="J26" s="171">
        <f>H26+I26</f>
        <v>221721</v>
      </c>
      <c r="K26" s="171"/>
      <c r="L26" s="186">
        <f>1342+190952</f>
        <v>192294</v>
      </c>
      <c r="N26" s="186">
        <f>J26-L26-M26</f>
        <v>29427</v>
      </c>
      <c r="S26" s="171"/>
      <c r="U26" s="171"/>
      <c r="W26" s="171"/>
      <c r="Y26" s="171"/>
      <c r="AA26" s="171"/>
      <c r="AC26" s="171"/>
      <c r="AE26" s="171"/>
      <c r="AG26" s="171"/>
      <c r="AH26" s="170"/>
      <c r="AK26" s="171"/>
    </row>
    <row r="27" spans="1:37" ht="12.75" hidden="1">
      <c r="A27" s="165">
        <v>12</v>
      </c>
      <c r="B27" s="212" t="s">
        <v>473</v>
      </c>
      <c r="C27" s="171">
        <v>2371829</v>
      </c>
      <c r="D27" s="171">
        <f>74671+44018+14627+4348</f>
        <v>137664</v>
      </c>
      <c r="E27" s="171">
        <f>51079+51816+206272+357843+206239+16166+1008762+1</f>
        <v>1898178</v>
      </c>
      <c r="F27" s="171">
        <f>57987+17724</f>
        <v>75711</v>
      </c>
      <c r="G27" s="171">
        <v>173888</v>
      </c>
      <c r="H27" s="171">
        <f>C27-D27-E27-F27-G27</f>
        <v>86388</v>
      </c>
      <c r="I27" s="171">
        <f>F27</f>
        <v>75711</v>
      </c>
      <c r="J27" s="171">
        <f>H27+I27</f>
        <v>162099</v>
      </c>
      <c r="K27" s="171"/>
      <c r="L27" s="186">
        <v>37354</v>
      </c>
      <c r="N27" s="186">
        <f>J27-L27-M27</f>
        <v>124745</v>
      </c>
      <c r="S27" s="171"/>
      <c r="U27" s="171"/>
      <c r="W27" s="171"/>
      <c r="Y27" s="171"/>
      <c r="AA27" s="171"/>
      <c r="AC27" s="171"/>
      <c r="AE27" s="171"/>
      <c r="AG27" s="171"/>
      <c r="AK27" s="171"/>
    </row>
    <row r="28" spans="1:37" ht="12.75" hidden="1">
      <c r="A28" s="165">
        <v>13</v>
      </c>
      <c r="B28" s="212" t="s">
        <v>474</v>
      </c>
      <c r="C28" s="171">
        <v>2179326</v>
      </c>
      <c r="D28" s="171">
        <f>76520+41909+13847+3356</f>
        <v>135632</v>
      </c>
      <c r="E28" s="171">
        <f>37500+54116+199046+375937+176102+6074+1046379-1</f>
        <v>1895153</v>
      </c>
      <c r="F28" s="171">
        <f>60548+23614</f>
        <v>84162</v>
      </c>
      <c r="G28" s="171">
        <v>175257</v>
      </c>
      <c r="H28" s="171">
        <f>C28-D28-E28-F28-G28</f>
        <v>-110878</v>
      </c>
      <c r="I28" s="171">
        <f>F28</f>
        <v>84162</v>
      </c>
      <c r="J28" s="171">
        <f>H28+I28</f>
        <v>-26716</v>
      </c>
      <c r="K28" s="171"/>
      <c r="L28" s="186">
        <v>10587</v>
      </c>
      <c r="N28" s="186">
        <f>J28-L28-M28</f>
        <v>-37303</v>
      </c>
      <c r="S28" s="171"/>
      <c r="U28" s="171"/>
      <c r="W28" s="171"/>
      <c r="Y28" s="171"/>
      <c r="AA28" s="171"/>
      <c r="AC28" s="171"/>
      <c r="AE28" s="171"/>
      <c r="AG28" s="171"/>
      <c r="AK28" s="171"/>
    </row>
    <row r="29" spans="1:37" ht="12.75" hidden="1">
      <c r="A29" s="165">
        <v>14</v>
      </c>
      <c r="B29" s="212" t="s">
        <v>475</v>
      </c>
      <c r="C29" s="171">
        <f>1217315+796725</f>
        <v>2014040</v>
      </c>
      <c r="D29" s="171">
        <f>149231+4953</f>
        <v>154184</v>
      </c>
      <c r="E29" s="171">
        <f>17100+56538+199668+346352+183669+9428+1013956</f>
        <v>1826711</v>
      </c>
      <c r="F29" s="171">
        <f>63134+28418</f>
        <v>91552</v>
      </c>
      <c r="G29" s="171">
        <v>199448</v>
      </c>
      <c r="H29" s="171">
        <f>C29-D29-E29-F29-G29</f>
        <v>-257855</v>
      </c>
      <c r="I29" s="171">
        <f>F29</f>
        <v>91552</v>
      </c>
      <c r="J29" s="171">
        <f>H29+I29</f>
        <v>-166303</v>
      </c>
      <c r="K29" s="171"/>
      <c r="L29" s="186">
        <v>2471</v>
      </c>
      <c r="N29" s="186">
        <f>J29-L29-M29</f>
        <v>-168774</v>
      </c>
      <c r="S29" s="171"/>
      <c r="U29" s="171"/>
      <c r="W29" s="171"/>
      <c r="Y29" s="171"/>
      <c r="AA29" s="171"/>
      <c r="AC29" s="171"/>
      <c r="AE29" s="171"/>
      <c r="AG29" s="171"/>
      <c r="AK29" s="171"/>
    </row>
    <row r="30" ht="12.75" hidden="1">
      <c r="A30" s="165">
        <v>15</v>
      </c>
    </row>
    <row r="31" spans="1:37" ht="12.75" hidden="1">
      <c r="A31" s="165">
        <v>16</v>
      </c>
      <c r="B31" s="212" t="s">
        <v>476</v>
      </c>
      <c r="C31" s="171">
        <f>1541742+761737</f>
        <v>2303479</v>
      </c>
      <c r="D31" s="171">
        <v>183326</v>
      </c>
      <c r="E31" s="171">
        <v>1796029</v>
      </c>
      <c r="F31" s="171">
        <v>98288</v>
      </c>
      <c r="G31" s="171">
        <v>204416</v>
      </c>
      <c r="H31" s="171">
        <f>C31-D31-E31-F31-G31</f>
        <v>21420</v>
      </c>
      <c r="I31" s="171">
        <f>F31</f>
        <v>98288</v>
      </c>
      <c r="J31" s="171">
        <f>H31+I31</f>
        <v>119708</v>
      </c>
      <c r="K31" s="171"/>
      <c r="L31" s="186">
        <v>149778</v>
      </c>
      <c r="N31" s="186">
        <f>J31-L31-M31</f>
        <v>-30070</v>
      </c>
      <c r="S31" s="171"/>
      <c r="U31" s="171"/>
      <c r="W31" s="171"/>
      <c r="Y31" s="171"/>
      <c r="AA31" s="171"/>
      <c r="AC31" s="171"/>
      <c r="AE31" s="171"/>
      <c r="AG31" s="171"/>
      <c r="AK31" s="171"/>
    </row>
    <row r="32" spans="1:37" ht="12.75" hidden="1">
      <c r="A32" s="165">
        <v>17</v>
      </c>
      <c r="B32" s="212" t="s">
        <v>477</v>
      </c>
      <c r="C32" s="171">
        <v>2273508</v>
      </c>
      <c r="D32" s="171">
        <v>173694</v>
      </c>
      <c r="E32" s="171">
        <v>1760205</v>
      </c>
      <c r="F32" s="171">
        <v>100104</v>
      </c>
      <c r="G32" s="171">
        <v>189446</v>
      </c>
      <c r="H32" s="171">
        <f>C32-D32-E32-F32-G32</f>
        <v>50059</v>
      </c>
      <c r="I32" s="171">
        <f>F32</f>
        <v>100104</v>
      </c>
      <c r="J32" s="171">
        <f>H32+I32</f>
        <v>150163</v>
      </c>
      <c r="K32" s="171"/>
      <c r="L32" s="186">
        <v>32875</v>
      </c>
      <c r="N32" s="186">
        <f>J32-L32-M32</f>
        <v>117288</v>
      </c>
      <c r="S32" s="171"/>
      <c r="U32" s="171"/>
      <c r="W32" s="171"/>
      <c r="Y32" s="171"/>
      <c r="AA32" s="171"/>
      <c r="AC32" s="171"/>
      <c r="AE32" s="171"/>
      <c r="AG32" s="171"/>
      <c r="AK32" s="171"/>
    </row>
    <row r="33" spans="1:37" ht="12.75" hidden="1">
      <c r="A33" s="165">
        <v>18</v>
      </c>
      <c r="B33" s="212" t="s">
        <v>478</v>
      </c>
      <c r="C33" s="171">
        <v>2315035</v>
      </c>
      <c r="D33" s="171">
        <v>198721</v>
      </c>
      <c r="E33" s="171">
        <v>1527829</v>
      </c>
      <c r="F33" s="171">
        <v>105338</v>
      </c>
      <c r="G33" s="171">
        <v>197462</v>
      </c>
      <c r="H33" s="171">
        <f>C33-D33-E33-F33-G33</f>
        <v>285685</v>
      </c>
      <c r="I33" s="171">
        <f>F33</f>
        <v>105338</v>
      </c>
      <c r="J33" s="171">
        <f>H33+I33</f>
        <v>391023</v>
      </c>
      <c r="K33" s="171"/>
      <c r="L33" s="186">
        <v>63336</v>
      </c>
      <c r="N33" s="186">
        <f>J33-L33-M33</f>
        <v>327687</v>
      </c>
      <c r="S33" s="171"/>
      <c r="U33" s="171"/>
      <c r="W33" s="171"/>
      <c r="Y33" s="171"/>
      <c r="AA33" s="171"/>
      <c r="AC33" s="171"/>
      <c r="AE33" s="171"/>
      <c r="AG33" s="171"/>
      <c r="AK33" s="171"/>
    </row>
    <row r="34" spans="1:37" ht="12.75" hidden="1">
      <c r="A34" s="165">
        <v>19</v>
      </c>
      <c r="B34" s="212" t="s">
        <v>479</v>
      </c>
      <c r="C34" s="171">
        <v>2482482</v>
      </c>
      <c r="D34" s="171">
        <v>216777</v>
      </c>
      <c r="E34" s="171">
        <v>1572046</v>
      </c>
      <c r="F34" s="171">
        <v>103047</v>
      </c>
      <c r="G34" s="171">
        <v>167559</v>
      </c>
      <c r="H34" s="171">
        <f>C34-D34-E34-F34-G34</f>
        <v>423053</v>
      </c>
      <c r="I34" s="171">
        <f>F34</f>
        <v>103047</v>
      </c>
      <c r="J34" s="171">
        <f>H34+I34</f>
        <v>526100</v>
      </c>
      <c r="K34" s="171"/>
      <c r="L34" s="186">
        <v>114583</v>
      </c>
      <c r="N34" s="186">
        <f>J34-L34-M34</f>
        <v>411517</v>
      </c>
      <c r="S34" s="171"/>
      <c r="U34" s="171"/>
      <c r="W34" s="171"/>
      <c r="Y34" s="171"/>
      <c r="AA34" s="171"/>
      <c r="AC34" s="171"/>
      <c r="AE34" s="171"/>
      <c r="AG34" s="171"/>
      <c r="AK34" s="171"/>
    </row>
    <row r="35" spans="1:37" ht="12.75" hidden="1">
      <c r="A35" s="165">
        <v>20</v>
      </c>
      <c r="B35" s="212" t="s">
        <v>480</v>
      </c>
      <c r="C35" s="171">
        <v>2142645</v>
      </c>
      <c r="D35" s="171">
        <v>287360</v>
      </c>
      <c r="E35" s="171">
        <v>1821930</v>
      </c>
      <c r="F35" s="171">
        <v>110403</v>
      </c>
      <c r="G35" s="171">
        <v>169711</v>
      </c>
      <c r="H35" s="171">
        <f>C35-D35-E35-F35-G35</f>
        <v>-246759</v>
      </c>
      <c r="I35" s="171">
        <f>F35</f>
        <v>110403</v>
      </c>
      <c r="J35" s="171">
        <f>H35+I35</f>
        <v>-136356</v>
      </c>
      <c r="K35" s="171"/>
      <c r="L35" s="186">
        <v>57543</v>
      </c>
      <c r="N35" s="186">
        <f>J35-L35-M35</f>
        <v>-193899</v>
      </c>
      <c r="S35" s="171"/>
      <c r="U35" s="171"/>
      <c r="W35" s="171"/>
      <c r="Y35" s="171"/>
      <c r="AA35" s="171"/>
      <c r="AC35" s="171"/>
      <c r="AE35" s="171"/>
      <c r="AG35" s="171"/>
      <c r="AK35" s="171"/>
    </row>
    <row r="36" spans="1:37" ht="12.75" hidden="1">
      <c r="A36" s="165">
        <v>21</v>
      </c>
      <c r="B36" s="212"/>
      <c r="C36" s="171"/>
      <c r="D36" s="171"/>
      <c r="E36" s="171"/>
      <c r="F36" s="171"/>
      <c r="G36" s="171"/>
      <c r="H36" s="171"/>
      <c r="I36" s="171"/>
      <c r="J36" s="171"/>
      <c r="K36" s="171"/>
      <c r="L36" s="186"/>
      <c r="N36" s="186"/>
      <c r="S36" s="171"/>
      <c r="U36" s="171"/>
      <c r="W36" s="171"/>
      <c r="Y36" s="171"/>
      <c r="AA36" s="171"/>
      <c r="AC36" s="171"/>
      <c r="AE36" s="171"/>
      <c r="AG36" s="171"/>
      <c r="AK36" s="171"/>
    </row>
    <row r="37" spans="1:37" ht="12.75" hidden="1">
      <c r="A37" s="165">
        <v>22</v>
      </c>
      <c r="B37" s="212" t="s">
        <v>481</v>
      </c>
      <c r="C37" s="171">
        <v>2233989</v>
      </c>
      <c r="D37" s="171">
        <v>309915</v>
      </c>
      <c r="E37" s="171">
        <v>1868863</v>
      </c>
      <c r="F37" s="172">
        <v>118143</v>
      </c>
      <c r="G37" s="171">
        <v>186455</v>
      </c>
      <c r="H37" s="171">
        <f>C37-D37-E37-F37-G37</f>
        <v>-249387</v>
      </c>
      <c r="I37" s="171">
        <f>F37</f>
        <v>118143</v>
      </c>
      <c r="J37" s="171">
        <f>H37+I37</f>
        <v>-131244</v>
      </c>
      <c r="K37" s="171"/>
      <c r="L37" s="186">
        <v>117974</v>
      </c>
      <c r="N37" s="186">
        <f>J37-L37-M37</f>
        <v>-249218</v>
      </c>
      <c r="S37" s="171"/>
      <c r="U37" s="171"/>
      <c r="W37" s="171"/>
      <c r="Y37" s="171"/>
      <c r="AA37" s="171"/>
      <c r="AC37" s="171"/>
      <c r="AE37" s="171"/>
      <c r="AG37" s="171"/>
      <c r="AK37" s="171"/>
    </row>
    <row r="38" spans="1:37" ht="12.75" hidden="1">
      <c r="A38" s="165">
        <v>23</v>
      </c>
      <c r="B38" s="173">
        <v>1994</v>
      </c>
      <c r="C38" s="174">
        <v>2536059</v>
      </c>
      <c r="D38" s="171">
        <v>316352</v>
      </c>
      <c r="E38" s="171">
        <v>1934944</v>
      </c>
      <c r="F38" s="172">
        <v>125396</v>
      </c>
      <c r="G38" s="171">
        <v>197222</v>
      </c>
      <c r="H38" s="171">
        <f>C38-D38-E38-F38-G38</f>
        <v>-37855</v>
      </c>
      <c r="I38" s="171">
        <f>F38</f>
        <v>125396</v>
      </c>
      <c r="J38" s="171">
        <f>H38+I38</f>
        <v>87541</v>
      </c>
      <c r="K38" s="171"/>
      <c r="L38" s="186">
        <v>135018</v>
      </c>
      <c r="N38" s="186">
        <f>J38-L38-M38</f>
        <v>-47477</v>
      </c>
      <c r="S38" s="171"/>
      <c r="U38" s="171"/>
      <c r="W38" s="171"/>
      <c r="Y38" s="171"/>
      <c r="AA38" s="171"/>
      <c r="AC38" s="171"/>
      <c r="AE38" s="171"/>
      <c r="AG38" s="171"/>
      <c r="AK38" s="171"/>
    </row>
    <row r="39" spans="1:37" ht="12.75" hidden="1">
      <c r="A39" s="165">
        <v>24</v>
      </c>
      <c r="B39" s="173">
        <v>1995</v>
      </c>
      <c r="C39" s="174">
        <v>2704285</v>
      </c>
      <c r="D39" s="171">
        <v>327420</v>
      </c>
      <c r="E39" s="171">
        <v>1915529</v>
      </c>
      <c r="F39" s="172">
        <v>141798</v>
      </c>
      <c r="G39" s="171">
        <v>215850</v>
      </c>
      <c r="H39" s="171">
        <f>C39-D39-E39-F39-G39</f>
        <v>103688</v>
      </c>
      <c r="I39" s="171">
        <f>F39</f>
        <v>141798</v>
      </c>
      <c r="J39" s="171">
        <f>H39+I39</f>
        <v>245486</v>
      </c>
      <c r="K39" s="171"/>
      <c r="L39" s="186">
        <v>196544</v>
      </c>
      <c r="N39" s="186">
        <f>J39-L39-M39</f>
        <v>48942</v>
      </c>
      <c r="S39" s="171"/>
      <c r="U39" s="171"/>
      <c r="W39" s="171"/>
      <c r="Y39" s="171"/>
      <c r="AA39" s="171"/>
      <c r="AC39" s="171"/>
      <c r="AE39" s="171"/>
      <c r="AG39" s="171"/>
      <c r="AK39" s="171"/>
    </row>
    <row r="40" spans="1:37" ht="12.75" hidden="1">
      <c r="A40" s="165">
        <v>25</v>
      </c>
      <c r="B40" s="173">
        <v>1996</v>
      </c>
      <c r="C40" s="171">
        <f>1893145+851365</f>
        <v>2744510</v>
      </c>
      <c r="D40" s="171">
        <v>366808</v>
      </c>
      <c r="E40" s="171">
        <v>1959406</v>
      </c>
      <c r="F40" s="171">
        <v>151122</v>
      </c>
      <c r="G40" s="171">
        <v>208509</v>
      </c>
      <c r="H40" s="171">
        <f>C40-D40-E40-F40-G40</f>
        <v>58665</v>
      </c>
      <c r="I40" s="171">
        <f>F40+2902</f>
        <v>154024</v>
      </c>
      <c r="J40" s="171">
        <f>H40+I40-15000</f>
        <v>197689</v>
      </c>
      <c r="K40" s="171"/>
      <c r="L40" s="186">
        <v>135010</v>
      </c>
      <c r="M40" s="186"/>
      <c r="N40" s="186">
        <f>J40-L40-M40</f>
        <v>62679</v>
      </c>
      <c r="S40" s="171"/>
      <c r="U40" s="171"/>
      <c r="W40" s="171"/>
      <c r="Y40" s="171"/>
      <c r="AA40" s="171"/>
      <c r="AC40" s="171"/>
      <c r="AE40" s="171"/>
      <c r="AF40" s="169"/>
      <c r="AG40" s="171"/>
      <c r="AK40" s="171"/>
    </row>
    <row r="41" spans="1:14" ht="12.75" hidden="1">
      <c r="A41" s="165">
        <v>26</v>
      </c>
      <c r="B41" s="173">
        <v>1997</v>
      </c>
      <c r="C41" s="171">
        <f>1996003+436</f>
        <v>1996439</v>
      </c>
      <c r="D41" s="166">
        <f>403212+209749</f>
        <v>612961</v>
      </c>
      <c r="E41" s="166">
        <v>924789</v>
      </c>
      <c r="F41" s="166">
        <f>76910+71305</f>
        <v>148215</v>
      </c>
      <c r="G41" s="166">
        <v>197238</v>
      </c>
      <c r="H41" s="171">
        <f>C41-D41-E41-F41-G41</f>
        <v>113236</v>
      </c>
      <c r="I41" s="171">
        <f>F41-43583+1324</f>
        <v>105956</v>
      </c>
      <c r="J41" s="171">
        <f>H41+I41</f>
        <v>219192</v>
      </c>
      <c r="K41" s="171"/>
      <c r="L41" s="181">
        <f>108114-M41</f>
        <v>82971</v>
      </c>
      <c r="M41" s="186">
        <v>25143</v>
      </c>
      <c r="N41" s="186">
        <f>J41-L41-M41</f>
        <v>111078</v>
      </c>
    </row>
    <row r="42" spans="1:15" ht="12.75" hidden="1">
      <c r="A42" s="165">
        <v>27</v>
      </c>
      <c r="B42" s="175"/>
      <c r="O42" s="187"/>
    </row>
    <row r="43" spans="1:15" ht="12.75" hidden="1">
      <c r="A43" s="165">
        <v>28</v>
      </c>
      <c r="B43" s="173">
        <v>1998</v>
      </c>
      <c r="C43" s="166">
        <f>2056052+4698</f>
        <v>2060750</v>
      </c>
      <c r="D43" s="166">
        <f>420912+244093</f>
        <v>665005</v>
      </c>
      <c r="E43" s="166">
        <v>1091678</v>
      </c>
      <c r="F43" s="166">
        <v>162562</v>
      </c>
      <c r="G43" s="166">
        <f>201930</f>
        <v>201930</v>
      </c>
      <c r="H43" s="171">
        <f>C43-D43-E43-F43-G43</f>
        <v>-60425</v>
      </c>
      <c r="I43" s="171">
        <f>F43-44122+452</f>
        <v>118892</v>
      </c>
      <c r="J43" s="171">
        <f>H43+I43+20000-1655</f>
        <v>76812</v>
      </c>
      <c r="K43" s="171"/>
      <c r="L43" s="181">
        <v>61000</v>
      </c>
      <c r="N43" s="186">
        <f>J43-L43-M43</f>
        <v>15812</v>
      </c>
      <c r="O43" s="185"/>
    </row>
    <row r="44" spans="1:15" ht="12.75" hidden="1">
      <c r="A44" s="165">
        <v>29</v>
      </c>
      <c r="B44" s="173">
        <v>1999</v>
      </c>
      <c r="C44" s="166">
        <v>2366423</v>
      </c>
      <c r="D44" s="166">
        <f>443669+259048</f>
        <v>702717</v>
      </c>
      <c r="E44" s="166">
        <v>1196308</v>
      </c>
      <c r="F44" s="166">
        <v>162008</v>
      </c>
      <c r="G44" s="166">
        <v>182079</v>
      </c>
      <c r="H44" s="171">
        <f>C44-D44-E44-F44-G44</f>
        <v>123311</v>
      </c>
      <c r="I44" s="171">
        <f>F44-44122+1065</f>
        <v>118951</v>
      </c>
      <c r="J44" s="171">
        <f>H44+I44+74000-5179</f>
        <v>311083</v>
      </c>
      <c r="K44" s="171"/>
      <c r="L44" s="181">
        <v>25000</v>
      </c>
      <c r="N44" s="186">
        <f>J44-L44-M44</f>
        <v>286083</v>
      </c>
      <c r="O44" s="185"/>
    </row>
    <row r="45" spans="1:37" ht="12.75" hidden="1">
      <c r="A45" s="165">
        <v>30</v>
      </c>
      <c r="B45" s="173">
        <v>2000</v>
      </c>
      <c r="C45" s="166">
        <v>2720940</v>
      </c>
      <c r="D45" s="166">
        <v>723377</v>
      </c>
      <c r="E45" s="166">
        <v>1410029</v>
      </c>
      <c r="F45" s="166">
        <v>165874</v>
      </c>
      <c r="G45" s="166">
        <v>169320</v>
      </c>
      <c r="H45" s="171">
        <f>C45-D45-E45-F45-G45</f>
        <v>252340</v>
      </c>
      <c r="I45" s="171">
        <f>F45-47755+1065</f>
        <v>119184</v>
      </c>
      <c r="J45" s="171">
        <f>H45+I45-5179</f>
        <v>366345</v>
      </c>
      <c r="K45" s="171"/>
      <c r="L45" s="181">
        <v>175338</v>
      </c>
      <c r="M45" s="186"/>
      <c r="N45" s="186">
        <f>J45-L45-M45</f>
        <v>191007</v>
      </c>
      <c r="S45" s="171"/>
      <c r="U45" s="171"/>
      <c r="W45" s="171"/>
      <c r="Y45" s="171"/>
      <c r="AA45" s="171"/>
      <c r="AC45" s="171"/>
      <c r="AE45" s="171"/>
      <c r="AF45" s="169"/>
      <c r="AG45" s="171"/>
      <c r="AI45" s="171"/>
      <c r="AK45" s="171"/>
    </row>
    <row r="46" spans="1:37" ht="12.75" hidden="1">
      <c r="A46" s="165">
        <v>31</v>
      </c>
      <c r="B46" s="173">
        <v>2001</v>
      </c>
      <c r="C46" s="171">
        <v>3888051</v>
      </c>
      <c r="D46" s="171">
        <v>819270</v>
      </c>
      <c r="E46" s="171">
        <v>2945886</v>
      </c>
      <c r="F46" s="171">
        <v>168433</v>
      </c>
      <c r="G46" s="171">
        <v>166504</v>
      </c>
      <c r="H46" s="171">
        <f>C46-D46-E46-F46-G46</f>
        <v>-212042</v>
      </c>
      <c r="I46" s="171">
        <f>F46-47992+1065</f>
        <v>121506</v>
      </c>
      <c r="J46" s="171">
        <f>H46+I46-53056</f>
        <v>-143592</v>
      </c>
      <c r="K46" s="171"/>
      <c r="L46" s="186">
        <f>167622-M46</f>
        <v>151062</v>
      </c>
      <c r="M46" s="181">
        <v>16560</v>
      </c>
      <c r="N46" s="186">
        <f>J46-L46-M46</f>
        <v>-311214</v>
      </c>
      <c r="P46" s="186"/>
      <c r="Q46" s="186"/>
      <c r="S46" s="171"/>
      <c r="U46" s="171"/>
      <c r="W46" s="171"/>
      <c r="Y46" s="171"/>
      <c r="AA46" s="171"/>
      <c r="AC46" s="171"/>
      <c r="AE46" s="171"/>
      <c r="AF46" s="169"/>
      <c r="AG46" s="171"/>
      <c r="AI46" s="171"/>
      <c r="AK46" s="171"/>
    </row>
    <row r="47" spans="1:37" ht="12.75" hidden="1">
      <c r="A47" s="165">
        <v>32</v>
      </c>
      <c r="B47" s="173">
        <f>B46+1</f>
        <v>2002</v>
      </c>
      <c r="C47" s="171">
        <v>3047803</v>
      </c>
      <c r="D47" s="171">
        <v>833606</v>
      </c>
      <c r="E47" s="171">
        <v>1925873</v>
      </c>
      <c r="F47" s="171">
        <v>174164</v>
      </c>
      <c r="G47" s="171">
        <v>201582</v>
      </c>
      <c r="H47" s="171">
        <f>C47-D47-E47-F47-G47</f>
        <v>-87422</v>
      </c>
      <c r="I47" s="171">
        <f>F47-47738+1065</f>
        <v>127491</v>
      </c>
      <c r="J47" s="171">
        <f>H47+I47-43483</f>
        <v>-3414</v>
      </c>
      <c r="K47" s="171"/>
      <c r="L47" s="186">
        <v>373345</v>
      </c>
      <c r="M47" s="186"/>
      <c r="N47" s="186">
        <f>J47-L47-M47</f>
        <v>-376759</v>
      </c>
      <c r="P47" s="186"/>
      <c r="Q47" s="186"/>
      <c r="S47" s="171"/>
      <c r="U47" s="171"/>
      <c r="W47" s="171"/>
      <c r="Y47" s="171"/>
      <c r="AA47" s="171"/>
      <c r="AC47" s="171"/>
      <c r="AE47" s="171"/>
      <c r="AG47" s="171"/>
      <c r="AI47" s="171"/>
      <c r="AK47" s="171"/>
    </row>
    <row r="48" spans="1:37" ht="12.75" hidden="1">
      <c r="A48" s="165">
        <v>33</v>
      </c>
      <c r="B48" s="173"/>
      <c r="C48" s="171"/>
      <c r="D48" s="171"/>
      <c r="E48" s="171"/>
      <c r="F48" s="171"/>
      <c r="G48" s="171"/>
      <c r="H48" s="171"/>
      <c r="I48" s="171"/>
      <c r="J48" s="171"/>
      <c r="K48" s="171"/>
      <c r="L48" s="186"/>
      <c r="M48" s="186"/>
      <c r="N48" s="186"/>
      <c r="P48" s="186"/>
      <c r="Q48" s="186"/>
      <c r="S48" s="171"/>
      <c r="U48" s="171"/>
      <c r="W48" s="171"/>
      <c r="Y48" s="171"/>
      <c r="AA48" s="171"/>
      <c r="AC48" s="171"/>
      <c r="AE48" s="171"/>
      <c r="AG48" s="171"/>
      <c r="AI48" s="171"/>
      <c r="AK48" s="171"/>
    </row>
    <row r="49" spans="1:37" ht="12.75" hidden="1">
      <c r="A49" s="165">
        <v>1</v>
      </c>
      <c r="B49" s="173">
        <v>2002</v>
      </c>
      <c r="C49" s="171">
        <f aca="true" t="shared" si="0" ref="C49:N49">SUM(C17:C48)</f>
        <v>53734071</v>
      </c>
      <c r="D49" s="171">
        <f t="shared" si="0"/>
        <v>8765016</v>
      </c>
      <c r="E49" s="171">
        <f t="shared" si="0"/>
        <v>36248938</v>
      </c>
      <c r="F49" s="171">
        <f t="shared" si="0"/>
        <v>3428034</v>
      </c>
      <c r="G49" s="171">
        <f t="shared" si="0"/>
        <v>5499734</v>
      </c>
      <c r="H49" s="171">
        <f t="shared" si="0"/>
        <v>-207651</v>
      </c>
      <c r="I49" s="171">
        <f t="shared" si="0"/>
        <v>3436330</v>
      </c>
      <c r="J49" s="171">
        <f t="shared" si="0"/>
        <v>3199127</v>
      </c>
      <c r="K49" s="171"/>
      <c r="L49" s="186">
        <f t="shared" si="0"/>
        <v>2754877</v>
      </c>
      <c r="M49" s="186">
        <f t="shared" si="0"/>
        <v>41703</v>
      </c>
      <c r="N49" s="186">
        <f t="shared" si="0"/>
        <v>402547</v>
      </c>
      <c r="P49" s="186"/>
      <c r="Q49" s="186"/>
      <c r="S49" s="171"/>
      <c r="U49" s="171"/>
      <c r="W49" s="171"/>
      <c r="Y49" s="171"/>
      <c r="AA49" s="171"/>
      <c r="AC49" s="171"/>
      <c r="AE49" s="171"/>
      <c r="AG49" s="171"/>
      <c r="AI49" s="171"/>
      <c r="AK49" s="171"/>
    </row>
    <row r="50" spans="1:37" ht="12.75" hidden="1">
      <c r="A50" s="165">
        <v>2</v>
      </c>
      <c r="B50" s="173"/>
      <c r="C50" s="171"/>
      <c r="D50" s="171"/>
      <c r="E50" s="171"/>
      <c r="F50" s="171"/>
      <c r="G50" s="171"/>
      <c r="H50" s="171"/>
      <c r="I50" s="171"/>
      <c r="J50" s="171"/>
      <c r="K50" s="171"/>
      <c r="L50" s="186"/>
      <c r="M50" s="186"/>
      <c r="N50" s="186"/>
      <c r="P50" s="186"/>
      <c r="Q50" s="186"/>
      <c r="S50" s="171"/>
      <c r="U50" s="171"/>
      <c r="W50" s="171"/>
      <c r="Y50" s="171"/>
      <c r="AA50" s="171"/>
      <c r="AC50" s="171"/>
      <c r="AE50" s="171"/>
      <c r="AG50" s="171"/>
      <c r="AI50" s="171"/>
      <c r="AK50" s="171"/>
    </row>
    <row r="51" spans="1:37" ht="12.75" hidden="1">
      <c r="A51" s="165">
        <v>3</v>
      </c>
      <c r="C51" s="171"/>
      <c r="D51" s="171"/>
      <c r="E51" s="171"/>
      <c r="F51" s="171"/>
      <c r="G51" s="171"/>
      <c r="H51" s="171"/>
      <c r="I51" s="171"/>
      <c r="J51" s="171"/>
      <c r="K51" s="171"/>
      <c r="L51" s="186"/>
      <c r="M51" s="186"/>
      <c r="N51" s="186"/>
      <c r="P51" s="186"/>
      <c r="Q51" s="186"/>
      <c r="S51" s="171"/>
      <c r="U51" s="171"/>
      <c r="W51" s="171"/>
      <c r="Y51" s="171"/>
      <c r="AA51" s="171"/>
      <c r="AC51" s="171"/>
      <c r="AE51" s="171"/>
      <c r="AG51" s="171"/>
      <c r="AI51" s="171"/>
      <c r="AK51" s="171"/>
    </row>
    <row r="52" spans="1:37" ht="12.75" hidden="1">
      <c r="A52" s="165">
        <v>4</v>
      </c>
      <c r="B52" s="173">
        <v>2003</v>
      </c>
      <c r="C52" s="171">
        <v>3144811</v>
      </c>
      <c r="D52" s="171">
        <v>705289</v>
      </c>
      <c r="E52" s="171">
        <v>1841035</v>
      </c>
      <c r="F52" s="171">
        <v>178896</v>
      </c>
      <c r="G52" s="171">
        <v>176595</v>
      </c>
      <c r="H52" s="171">
        <v>242996</v>
      </c>
      <c r="I52" s="171">
        <v>131592</v>
      </c>
      <c r="J52" s="171">
        <v>314144</v>
      </c>
      <c r="K52" s="171"/>
      <c r="L52" s="186">
        <v>73000</v>
      </c>
      <c r="M52" s="186"/>
      <c r="N52" s="186">
        <v>241144</v>
      </c>
      <c r="P52" s="186"/>
      <c r="Q52" s="186"/>
      <c r="S52" s="171"/>
      <c r="U52" s="171"/>
      <c r="W52" s="171"/>
      <c r="Y52" s="171"/>
      <c r="AA52" s="171"/>
      <c r="AC52" s="171"/>
      <c r="AE52" s="171"/>
      <c r="AG52" s="171"/>
      <c r="AI52" s="171"/>
      <c r="AK52" s="171"/>
    </row>
    <row r="53" spans="1:37" ht="12.75" hidden="1">
      <c r="A53" s="165">
        <v>5</v>
      </c>
      <c r="B53" s="173">
        <v>2004</v>
      </c>
      <c r="C53" s="171">
        <v>2738898</v>
      </c>
      <c r="D53" s="171">
        <v>713549</v>
      </c>
      <c r="E53" s="171">
        <v>1366265</v>
      </c>
      <c r="F53" s="171">
        <v>177298</v>
      </c>
      <c r="G53" s="171">
        <v>162531</v>
      </c>
      <c r="H53" s="171">
        <v>319255</v>
      </c>
      <c r="I53" s="171">
        <v>129789</v>
      </c>
      <c r="J53" s="171">
        <v>354413</v>
      </c>
      <c r="K53" s="171"/>
      <c r="L53" s="186">
        <v>233000</v>
      </c>
      <c r="M53" s="186">
        <v>739</v>
      </c>
      <c r="N53" s="186">
        <v>120674</v>
      </c>
      <c r="P53" s="186"/>
      <c r="Q53" s="186"/>
      <c r="S53" s="171"/>
      <c r="U53" s="171"/>
      <c r="W53" s="171"/>
      <c r="Y53" s="171"/>
      <c r="AA53" s="171"/>
      <c r="AC53" s="171"/>
      <c r="AE53" s="171"/>
      <c r="AG53" s="171"/>
      <c r="AI53" s="171"/>
      <c r="AK53" s="171"/>
    </row>
    <row r="54" spans="1:37" ht="12.75" hidden="1">
      <c r="A54" s="165">
        <v>6</v>
      </c>
      <c r="B54" s="173">
        <v>2005</v>
      </c>
      <c r="C54" s="171">
        <v>2814224</v>
      </c>
      <c r="D54" s="171">
        <v>711713</v>
      </c>
      <c r="E54" s="171">
        <v>1420735</v>
      </c>
      <c r="F54" s="171">
        <v>186099</v>
      </c>
      <c r="G54" s="171">
        <v>166610</v>
      </c>
      <c r="H54" s="171">
        <v>329067</v>
      </c>
      <c r="I54" s="171">
        <v>-98072</v>
      </c>
      <c r="J54" s="171">
        <v>320734</v>
      </c>
      <c r="K54" s="171"/>
      <c r="L54" s="186">
        <v>271301</v>
      </c>
      <c r="M54" s="186"/>
      <c r="N54" s="186">
        <v>49433</v>
      </c>
      <c r="P54" s="186"/>
      <c r="Q54" s="186"/>
      <c r="S54" s="171"/>
      <c r="U54" s="171"/>
      <c r="W54" s="171"/>
      <c r="Y54" s="171"/>
      <c r="AA54" s="171"/>
      <c r="AC54" s="171"/>
      <c r="AE54" s="171"/>
      <c r="AG54" s="171"/>
      <c r="AI54" s="171"/>
      <c r="AK54" s="171"/>
    </row>
    <row r="55" spans="1:37" ht="12.75" hidden="1">
      <c r="A55" s="165">
        <v>7</v>
      </c>
      <c r="B55" s="173">
        <v>2006</v>
      </c>
      <c r="C55" s="171">
        <v>2853659</v>
      </c>
      <c r="D55" s="171">
        <v>773510</v>
      </c>
      <c r="E55" s="171">
        <v>1436548</v>
      </c>
      <c r="F55" s="171">
        <v>181878</v>
      </c>
      <c r="G55" s="171">
        <v>157609</v>
      </c>
      <c r="H55" s="171">
        <v>304114</v>
      </c>
      <c r="I55" s="171">
        <v>-84357</v>
      </c>
      <c r="J55" s="171">
        <v>537237</v>
      </c>
      <c r="K55" s="171"/>
      <c r="L55" s="186">
        <v>261276</v>
      </c>
      <c r="N55" s="186">
        <v>275961</v>
      </c>
      <c r="P55" s="186"/>
      <c r="Q55" s="186"/>
      <c r="S55" s="171"/>
      <c r="U55" s="171"/>
      <c r="W55" s="171"/>
      <c r="Y55" s="171"/>
      <c r="AA55" s="171"/>
      <c r="AC55" s="171"/>
      <c r="AE55" s="171"/>
      <c r="AG55" s="171"/>
      <c r="AI55" s="171"/>
      <c r="AK55" s="171"/>
    </row>
    <row r="56" spans="1:37" ht="12.75" hidden="1">
      <c r="A56" s="165">
        <v>8</v>
      </c>
      <c r="B56" s="173">
        <f>B55+1</f>
        <v>2007</v>
      </c>
      <c r="C56" s="171">
        <v>2657891</v>
      </c>
      <c r="D56" s="171">
        <v>818494</v>
      </c>
      <c r="E56" s="171">
        <v>1361837</v>
      </c>
      <c r="F56" s="171">
        <v>176204</v>
      </c>
      <c r="G56" s="171">
        <v>145516</v>
      </c>
      <c r="H56" s="171">
        <v>155840</v>
      </c>
      <c r="I56" s="171">
        <v>133875</v>
      </c>
      <c r="J56" s="171">
        <v>289715</v>
      </c>
      <c r="K56" s="171"/>
      <c r="L56" s="186">
        <v>246300</v>
      </c>
      <c r="M56" s="186"/>
      <c r="N56" s="186">
        <v>43415</v>
      </c>
      <c r="P56" s="186"/>
      <c r="Q56" s="186"/>
      <c r="S56" s="171"/>
      <c r="U56" s="171"/>
      <c r="W56" s="171"/>
      <c r="Y56" s="171"/>
      <c r="AA56" s="171"/>
      <c r="AC56" s="171"/>
      <c r="AE56" s="171"/>
      <c r="AG56" s="171"/>
      <c r="AI56" s="171"/>
      <c r="AK56" s="171"/>
    </row>
    <row r="57" spans="1:37" ht="12.75" hidden="1">
      <c r="A57" s="165">
        <v>9</v>
      </c>
      <c r="B57" s="173">
        <f>B56+1</f>
        <v>2008</v>
      </c>
      <c r="C57" s="171">
        <v>2383688</v>
      </c>
      <c r="D57" s="171">
        <v>802849</v>
      </c>
      <c r="E57" s="171">
        <v>1224722</v>
      </c>
      <c r="F57" s="171">
        <v>183466</v>
      </c>
      <c r="G57" s="171">
        <v>142746</v>
      </c>
      <c r="H57" s="171">
        <v>29905</v>
      </c>
      <c r="I57" s="171">
        <v>28438</v>
      </c>
      <c r="J57" s="171">
        <v>195087</v>
      </c>
      <c r="K57" s="171"/>
      <c r="L57" s="186">
        <v>277483</v>
      </c>
      <c r="M57" s="181">
        <v>2950</v>
      </c>
      <c r="N57" s="186">
        <v>-85346</v>
      </c>
      <c r="P57" s="186"/>
      <c r="Q57" s="186"/>
      <c r="S57" s="171"/>
      <c r="U57" s="171"/>
      <c r="W57" s="171"/>
      <c r="Y57" s="171"/>
      <c r="AA57" s="171"/>
      <c r="AC57" s="171"/>
      <c r="AE57" s="171"/>
      <c r="AG57" s="171"/>
      <c r="AI57" s="171"/>
      <c r="AK57" s="171"/>
    </row>
    <row r="58" spans="1:37" ht="12.75" hidden="1">
      <c r="A58" s="165">
        <v>10</v>
      </c>
      <c r="B58" s="173">
        <f>B57+1</f>
        <v>2009</v>
      </c>
      <c r="C58" s="171">
        <v>2234695</v>
      </c>
      <c r="D58" s="171">
        <v>871705</v>
      </c>
      <c r="E58" s="171">
        <v>1265997</v>
      </c>
      <c r="F58" s="171">
        <v>180788</v>
      </c>
      <c r="G58" s="171">
        <v>151508</v>
      </c>
      <c r="H58" s="171">
        <v>-235303</v>
      </c>
      <c r="I58" s="171">
        <v>166189</v>
      </c>
      <c r="J58" s="171">
        <v>-69114</v>
      </c>
      <c r="K58" s="171"/>
      <c r="L58" s="186">
        <v>219360</v>
      </c>
      <c r="M58" s="186"/>
      <c r="N58" s="186">
        <v>-288474</v>
      </c>
      <c r="P58" s="186"/>
      <c r="Q58" s="186"/>
      <c r="S58" s="171"/>
      <c r="U58" s="171"/>
      <c r="W58" s="171"/>
      <c r="Y58" s="171"/>
      <c r="AA58" s="171"/>
      <c r="AC58" s="171"/>
      <c r="AE58" s="171"/>
      <c r="AG58" s="171"/>
      <c r="AI58" s="171"/>
      <c r="AK58" s="171"/>
    </row>
    <row r="59" spans="1:37" ht="12.75" hidden="1">
      <c r="A59" s="165">
        <v>11</v>
      </c>
      <c r="B59" s="176">
        <v>2010</v>
      </c>
      <c r="C59" s="171">
        <v>2385607</v>
      </c>
      <c r="D59" s="171">
        <v>883540</v>
      </c>
      <c r="E59" s="171">
        <v>1393796</v>
      </c>
      <c r="F59" s="171">
        <v>184989</v>
      </c>
      <c r="G59" s="171">
        <v>176928</v>
      </c>
      <c r="H59" s="171">
        <v>-253646</v>
      </c>
      <c r="I59" s="171">
        <v>120913</v>
      </c>
      <c r="J59" s="171">
        <v>-132733</v>
      </c>
      <c r="K59" s="171"/>
      <c r="L59" s="186">
        <v>244673</v>
      </c>
      <c r="M59" s="186"/>
      <c r="N59" s="186">
        <v>-377406</v>
      </c>
      <c r="P59" s="186"/>
      <c r="Q59" s="186"/>
      <c r="S59" s="171"/>
      <c r="U59" s="171"/>
      <c r="W59" s="171"/>
      <c r="Y59" s="171"/>
      <c r="AA59" s="171"/>
      <c r="AC59" s="171"/>
      <c r="AE59" s="171"/>
      <c r="AG59" s="171"/>
      <c r="AI59" s="171"/>
      <c r="AK59" s="171"/>
    </row>
    <row r="60" spans="1:37" ht="12.75" hidden="1">
      <c r="A60" s="165">
        <v>12</v>
      </c>
      <c r="B60" s="176">
        <v>2011</v>
      </c>
      <c r="C60" s="171">
        <v>2619038</v>
      </c>
      <c r="D60" s="171">
        <v>934466</v>
      </c>
      <c r="E60" s="171">
        <v>1283304</v>
      </c>
      <c r="F60" s="171">
        <v>201106</v>
      </c>
      <c r="G60" s="171">
        <v>182860</v>
      </c>
      <c r="H60" s="171">
        <v>17302</v>
      </c>
      <c r="I60" s="171">
        <v>155354</v>
      </c>
      <c r="J60" s="171">
        <v>169132</v>
      </c>
      <c r="K60" s="171"/>
      <c r="L60" s="186">
        <v>162163</v>
      </c>
      <c r="M60" s="186"/>
      <c r="N60" s="186">
        <v>6969</v>
      </c>
      <c r="P60" s="186"/>
      <c r="Q60" s="186"/>
      <c r="S60" s="171"/>
      <c r="U60" s="171"/>
      <c r="W60" s="171"/>
      <c r="Y60" s="171"/>
      <c r="AA60" s="171"/>
      <c r="AC60" s="171"/>
      <c r="AE60" s="171"/>
      <c r="AG60" s="171"/>
      <c r="AI60" s="171"/>
      <c r="AK60" s="171"/>
    </row>
    <row r="61" spans="1:37" ht="12.75" hidden="1">
      <c r="A61" s="165">
        <v>13</v>
      </c>
      <c r="B61" s="176">
        <v>2012</v>
      </c>
      <c r="C61" s="171">
        <v>2631334</v>
      </c>
      <c r="D61" s="171">
        <v>962711</v>
      </c>
      <c r="E61" s="171">
        <v>1260404</v>
      </c>
      <c r="F61" s="171">
        <v>199286</v>
      </c>
      <c r="G61" s="171">
        <v>169748</v>
      </c>
      <c r="H61" s="171">
        <v>39185</v>
      </c>
      <c r="I61" s="171">
        <v>153534</v>
      </c>
      <c r="J61" s="171">
        <v>174395</v>
      </c>
      <c r="K61" s="171"/>
      <c r="L61" s="186">
        <v>193000</v>
      </c>
      <c r="M61" s="186">
        <v>1182</v>
      </c>
      <c r="N61" s="186">
        <v>-19787</v>
      </c>
      <c r="P61" s="186"/>
      <c r="Q61" s="186"/>
      <c r="S61" s="171"/>
      <c r="U61" s="171"/>
      <c r="W61" s="171"/>
      <c r="Y61" s="171"/>
      <c r="AA61" s="171"/>
      <c r="AC61" s="171"/>
      <c r="AE61" s="171"/>
      <c r="AG61" s="171"/>
      <c r="AI61" s="171"/>
      <c r="AK61" s="171"/>
    </row>
    <row r="62" spans="1:37" ht="12.75" hidden="1">
      <c r="A62" s="165">
        <v>14</v>
      </c>
      <c r="B62" s="176">
        <v>2013</v>
      </c>
      <c r="C62" s="171">
        <v>2647095</v>
      </c>
      <c r="D62" s="171">
        <v>1011463</v>
      </c>
      <c r="E62" s="171">
        <v>1260527</v>
      </c>
      <c r="F62" s="171">
        <v>218103</v>
      </c>
      <c r="G62" s="171">
        <v>207798</v>
      </c>
      <c r="H62" s="171">
        <v>-50796</v>
      </c>
      <c r="I62" s="171">
        <v>164704</v>
      </c>
      <c r="J62" s="171">
        <v>110384</v>
      </c>
      <c r="K62" s="171"/>
      <c r="L62" s="186">
        <v>122799</v>
      </c>
      <c r="M62" s="186">
        <v>58823</v>
      </c>
      <c r="N62" s="186">
        <v>-71238</v>
      </c>
      <c r="P62" s="186"/>
      <c r="Q62" s="186"/>
      <c r="S62" s="171"/>
      <c r="U62" s="171"/>
      <c r="W62" s="171"/>
      <c r="Y62" s="171"/>
      <c r="AA62" s="171"/>
      <c r="AC62" s="171"/>
      <c r="AE62" s="171"/>
      <c r="AG62" s="171"/>
      <c r="AI62" s="171"/>
      <c r="AK62" s="171"/>
    </row>
    <row r="63" spans="1:37" ht="12.75" hidden="1">
      <c r="A63" s="165">
        <v>15</v>
      </c>
      <c r="B63" s="173">
        <v>2014</v>
      </c>
      <c r="C63" s="190">
        <v>2810919.3256600006</v>
      </c>
      <c r="D63" s="190">
        <v>1017269.02247</v>
      </c>
      <c r="E63" s="190">
        <v>896127.2825199999</v>
      </c>
      <c r="F63" s="190">
        <v>227267.03862</v>
      </c>
      <c r="G63" s="190">
        <v>196360.94574</v>
      </c>
      <c r="H63" s="190">
        <v>473895.0363100007</v>
      </c>
      <c r="I63" s="190">
        <v>143049.12777000002</v>
      </c>
      <c r="J63" s="190">
        <v>596116.3492438365</v>
      </c>
      <c r="K63" s="190"/>
      <c r="L63" s="227">
        <v>462575</v>
      </c>
      <c r="M63" s="227">
        <v>52546.864</v>
      </c>
      <c r="N63" s="228">
        <v>80994.48524383648</v>
      </c>
      <c r="P63" s="186"/>
      <c r="Q63" s="186"/>
      <c r="S63" s="171"/>
      <c r="U63" s="171"/>
      <c r="W63" s="171"/>
      <c r="Y63" s="171"/>
      <c r="AA63" s="171"/>
      <c r="AC63" s="171"/>
      <c r="AE63" s="171"/>
      <c r="AG63" s="171"/>
      <c r="AI63" s="171"/>
      <c r="AK63" s="171"/>
    </row>
    <row r="64" spans="2:37" ht="12.75" hidden="1">
      <c r="B64" s="173"/>
      <c r="C64" s="190"/>
      <c r="D64" s="190"/>
      <c r="E64" s="190"/>
      <c r="F64" s="190"/>
      <c r="G64" s="190"/>
      <c r="H64" s="190"/>
      <c r="I64" s="190"/>
      <c r="J64" s="190"/>
      <c r="K64" s="190"/>
      <c r="L64" s="227"/>
      <c r="M64" s="227"/>
      <c r="N64" s="228"/>
      <c r="P64" s="186"/>
      <c r="Q64" s="186"/>
      <c r="S64" s="171"/>
      <c r="U64" s="171"/>
      <c r="W64" s="171"/>
      <c r="Y64" s="171"/>
      <c r="AA64" s="171"/>
      <c r="AC64" s="171"/>
      <c r="AE64" s="171"/>
      <c r="AG64" s="171"/>
      <c r="AI64" s="171"/>
      <c r="AK64" s="171"/>
    </row>
    <row r="65" spans="1:37" ht="12.75">
      <c r="A65" s="165">
        <v>1</v>
      </c>
      <c r="B65" s="173" t="s">
        <v>749</v>
      </c>
      <c r="C65" s="190">
        <f>+'Revised Evans Table'!C62</f>
        <v>85655930.32566</v>
      </c>
      <c r="D65" s="190">
        <f>+'Revised Evans Table'!D62</f>
        <v>18971574.02247</v>
      </c>
      <c r="E65" s="190">
        <f>+'Revised Evans Table'!E62</f>
        <v>52260235.282519996</v>
      </c>
      <c r="F65" s="190">
        <f>+'Revised Evans Table'!F62</f>
        <v>5723414.03862</v>
      </c>
      <c r="G65" s="190">
        <f>+'Revised Evans Table'!G62</f>
        <v>7536543.94574</v>
      </c>
      <c r="H65" s="190">
        <f>+'Revised Evans Table'!H62</f>
        <v>1164163.0363100008</v>
      </c>
      <c r="I65" s="190">
        <f>+'Revised Evans Table'!I62</f>
        <v>4581338.12777</v>
      </c>
      <c r="J65" s="190">
        <f>+'Revised Evans Table'!J62</f>
        <v>5951783.3492438365</v>
      </c>
      <c r="K65" s="190"/>
      <c r="L65" s="190">
        <f>+'Revised Evans Table'!L62</f>
        <v>5521807</v>
      </c>
      <c r="M65" s="190">
        <f>+'Revised Evans Table'!M62</f>
        <v>157943.864</v>
      </c>
      <c r="N65" s="228">
        <f>+'Revised Evans Table'!N62</f>
        <v>272032.4852438365</v>
      </c>
      <c r="P65" s="186"/>
      <c r="Q65" s="186"/>
      <c r="S65" s="171"/>
      <c r="U65" s="171"/>
      <c r="W65" s="171"/>
      <c r="Y65" s="171"/>
      <c r="AA65" s="171"/>
      <c r="AC65" s="171"/>
      <c r="AE65" s="171"/>
      <c r="AG65" s="171"/>
      <c r="AI65" s="171"/>
      <c r="AK65" s="171"/>
    </row>
    <row r="66" spans="1:37" ht="12.75">
      <c r="A66" s="165">
        <v>2</v>
      </c>
      <c r="B66" s="173">
        <v>2015</v>
      </c>
      <c r="C66" s="190">
        <f>+'Revised Evans Table'!C63</f>
        <v>2588858.2325999998</v>
      </c>
      <c r="D66" s="219">
        <f>+'Statement E'!H41</f>
        <v>1009924.4493000001</v>
      </c>
      <c r="E66" s="219">
        <f>+'Statement E'!H23</f>
        <v>841782.4264300001</v>
      </c>
      <c r="F66" s="190">
        <f>+'Revised Evans Table'!F63</f>
        <v>224188.22295</v>
      </c>
      <c r="G66" s="219">
        <f>+'Statement D Table 1'!M16</f>
        <v>185925.42388000002</v>
      </c>
      <c r="H66" s="190">
        <f>C66-D66-E66-F66-G66</f>
        <v>327037.7100399997</v>
      </c>
      <c r="I66" s="219">
        <f>+F66+'Statement D Table 1'!J15+'Statement D Table 1'!I15</f>
        <v>192292.23895</v>
      </c>
      <c r="J66" s="190">
        <f>+'Revised Evans Table'!J63</f>
        <v>585597.9489899997</v>
      </c>
      <c r="K66" s="190"/>
      <c r="L66" s="268">
        <f>+'Revised Evans Table'!L63</f>
        <v>402532</v>
      </c>
      <c r="M66" s="268">
        <f>+'Revised Evans Table'!M63</f>
        <v>61066</v>
      </c>
      <c r="N66" s="186">
        <f>J66-L66-M66</f>
        <v>121999.94898999971</v>
      </c>
      <c r="P66" s="186"/>
      <c r="Q66" s="186"/>
      <c r="S66" s="171"/>
      <c r="U66" s="171"/>
      <c r="W66" s="171"/>
      <c r="Y66" s="171"/>
      <c r="AA66" s="171"/>
      <c r="AC66" s="171"/>
      <c r="AE66" s="171"/>
      <c r="AG66" s="171"/>
      <c r="AI66" s="171"/>
      <c r="AK66" s="171"/>
    </row>
    <row r="67" spans="1:37" ht="12.75">
      <c r="A67" s="165">
        <v>3</v>
      </c>
      <c r="B67" s="173">
        <v>2016</v>
      </c>
      <c r="C67" s="190">
        <f>+'Revised Evans Table'!C64</f>
        <v>2600726</v>
      </c>
      <c r="D67" s="190">
        <f>+'Revised Evans Table'!D64</f>
        <v>1140373.60079</v>
      </c>
      <c r="E67" s="190">
        <f>+'Revised Evans Table'!E64</f>
        <v>864697.80755</v>
      </c>
      <c r="F67" s="190">
        <f>+'Revised Evans Table'!F64</f>
        <v>222551.42</v>
      </c>
      <c r="G67" s="190">
        <f>+'Revised Evans Table'!G64</f>
        <v>185925.42388000002</v>
      </c>
      <c r="H67" s="190">
        <f>+'Revised Evans Table'!H64</f>
        <v>187177.74777999986</v>
      </c>
      <c r="I67" s="190">
        <f>+'Revised Evans Table'!I64</f>
        <v>690354.0672200001</v>
      </c>
      <c r="J67" s="190">
        <f>+'Revised Evans Table'!J64</f>
        <v>877531.815</v>
      </c>
      <c r="K67" s="190"/>
      <c r="L67" s="190">
        <f>+'Revised Evans Table'!L64</f>
        <v>1053348</v>
      </c>
      <c r="M67" s="190">
        <f>+'Revised Evans Table'!M64</f>
        <v>60183.815</v>
      </c>
      <c r="N67" s="228">
        <f>J67-L67-M67</f>
        <v>-236000.00000000006</v>
      </c>
      <c r="P67" s="186"/>
      <c r="Q67" s="186"/>
      <c r="S67" s="171"/>
      <c r="U67" s="171"/>
      <c r="W67" s="171"/>
      <c r="Y67" s="171"/>
      <c r="AA67" s="171"/>
      <c r="AC67" s="171"/>
      <c r="AE67" s="171"/>
      <c r="AG67" s="171"/>
      <c r="AI67" s="171"/>
      <c r="AK67" s="171"/>
    </row>
    <row r="68" spans="1:37" ht="12.75">
      <c r="A68" s="165">
        <v>4</v>
      </c>
      <c r="B68" s="173">
        <v>2017</v>
      </c>
      <c r="C68" s="190">
        <f>+'Revised Evans Table'!C65</f>
        <v>2721171.2600899995</v>
      </c>
      <c r="D68" s="190">
        <f>+'Revised Evans Table'!D65</f>
        <v>1171666.3228799999</v>
      </c>
      <c r="E68" s="190">
        <f>+'Revised Evans Table'!E65</f>
        <v>947790.0916499998</v>
      </c>
      <c r="F68" s="190">
        <f>+'Revised Evans Table'!F65</f>
        <v>224046.84852</v>
      </c>
      <c r="G68" s="190">
        <f>+'Revised Evans Table'!G65</f>
        <v>121677.76638000002</v>
      </c>
      <c r="H68" s="190">
        <f>+'Revised Evans Table'!H65</f>
        <v>255990.2306599998</v>
      </c>
      <c r="I68" s="190">
        <f>+'Revised Evans Table'!I65</f>
        <v>156656.79291</v>
      </c>
      <c r="J68" s="190">
        <f>+'Revised Evans Table'!J65</f>
        <v>844639.851</v>
      </c>
      <c r="K68" s="190"/>
      <c r="L68" s="190">
        <f>+'Revised Evans Table'!L65</f>
        <v>847413</v>
      </c>
      <c r="M68" s="190">
        <f>+'Revised Evans Table'!M65</f>
        <v>50768.851</v>
      </c>
      <c r="N68" s="228">
        <f>J68-L68-M68</f>
        <v>-53541.99999999998</v>
      </c>
      <c r="P68" s="186"/>
      <c r="Q68" s="186"/>
      <c r="S68" s="171"/>
      <c r="U68" s="171"/>
      <c r="W68" s="171"/>
      <c r="Y68" s="171"/>
      <c r="AA68" s="171"/>
      <c r="AC68" s="171"/>
      <c r="AE68" s="171"/>
      <c r="AG68" s="171"/>
      <c r="AI68" s="171"/>
      <c r="AK68" s="171"/>
    </row>
    <row r="69" spans="1:37" ht="12.75">
      <c r="A69" s="165">
        <v>5</v>
      </c>
      <c r="B69" s="173">
        <v>2018</v>
      </c>
      <c r="C69" s="190">
        <f>+'Revised Evans Table'!C66</f>
        <v>2862774</v>
      </c>
      <c r="D69" s="190">
        <f>+'Revised Evans Table'!D66</f>
        <v>1188441</v>
      </c>
      <c r="E69" s="190">
        <f>+'Revised Evans Table'!E66</f>
        <v>966795</v>
      </c>
      <c r="F69" s="190">
        <f>+'Revised Evans Table'!F66</f>
        <v>221031</v>
      </c>
      <c r="G69" s="190">
        <f>+'Revised Evans Table'!G66</f>
        <v>73686</v>
      </c>
      <c r="H69" s="190">
        <f>+'Revised Evans Table'!H66</f>
        <v>412821</v>
      </c>
      <c r="I69" s="190">
        <f>+'Revised Evans Table'!I66</f>
        <v>154714.02734</v>
      </c>
      <c r="J69" s="190">
        <f>+'Revised Evans Table'!J66</f>
        <v>323225</v>
      </c>
      <c r="K69" s="190"/>
      <c r="L69" s="190">
        <f>+'Revised Evans Table'!L66</f>
        <v>387766</v>
      </c>
      <c r="M69" s="190">
        <v>27234</v>
      </c>
      <c r="N69" s="190">
        <f>+'Revised Evans Table'!N66</f>
        <v>-91775</v>
      </c>
      <c r="P69" s="186"/>
      <c r="Q69" s="186"/>
      <c r="S69" s="171"/>
      <c r="U69" s="171"/>
      <c r="W69" s="171"/>
      <c r="Y69" s="171"/>
      <c r="AA69" s="171"/>
      <c r="AC69" s="171"/>
      <c r="AE69" s="171"/>
      <c r="AG69" s="171"/>
      <c r="AI69" s="171"/>
      <c r="AK69" s="171"/>
    </row>
    <row r="70" spans="1:37" ht="12.75">
      <c r="A70" s="165">
        <v>6</v>
      </c>
      <c r="B70" s="173"/>
      <c r="C70" s="190"/>
      <c r="D70" s="190"/>
      <c r="E70" s="190"/>
      <c r="F70" s="190"/>
      <c r="G70" s="190"/>
      <c r="H70" s="190"/>
      <c r="I70" s="190"/>
      <c r="J70" s="190"/>
      <c r="K70" s="190"/>
      <c r="L70" s="190"/>
      <c r="M70" s="190"/>
      <c r="N70" s="228"/>
      <c r="P70" s="186"/>
      <c r="Q70" s="186"/>
      <c r="S70" s="171"/>
      <c r="U70" s="171"/>
      <c r="W70" s="171"/>
      <c r="Y70" s="171"/>
      <c r="AA70" s="171"/>
      <c r="AC70" s="171"/>
      <c r="AE70" s="171"/>
      <c r="AG70" s="171"/>
      <c r="AI70" s="171"/>
      <c r="AK70" s="171"/>
    </row>
    <row r="71" spans="1:37" ht="12.75">
      <c r="A71" s="165">
        <v>7</v>
      </c>
      <c r="B71" s="177" t="s">
        <v>482</v>
      </c>
      <c r="C71" s="171"/>
      <c r="D71" s="171"/>
      <c r="E71" s="171"/>
      <c r="F71" s="171"/>
      <c r="G71" s="171"/>
      <c r="H71" s="171"/>
      <c r="I71" s="171"/>
      <c r="J71" s="171"/>
      <c r="K71" s="171"/>
      <c r="L71" s="186"/>
      <c r="N71" s="186"/>
      <c r="P71" s="186"/>
      <c r="Q71" s="186"/>
      <c r="S71" s="171"/>
      <c r="U71" s="171"/>
      <c r="W71" s="171"/>
      <c r="Y71" s="171"/>
      <c r="AA71" s="171"/>
      <c r="AC71" s="171"/>
      <c r="AE71" s="171"/>
      <c r="AG71" s="171"/>
      <c r="AI71" s="171"/>
      <c r="AK71" s="171"/>
    </row>
    <row r="72" spans="1:37" ht="12.75">
      <c r="A72" s="165">
        <v>8</v>
      </c>
      <c r="B72" s="173" t="s">
        <v>483</v>
      </c>
      <c r="C72" s="190"/>
      <c r="D72" s="190"/>
      <c r="E72" s="190"/>
      <c r="F72" s="190"/>
      <c r="G72" s="190"/>
      <c r="H72" s="190"/>
      <c r="I72" s="190"/>
      <c r="J72" s="190"/>
      <c r="K72" s="190"/>
      <c r="L72" s="228"/>
      <c r="M72" s="227"/>
      <c r="N72" s="228"/>
      <c r="P72" s="186"/>
      <c r="Q72" s="186"/>
      <c r="S72" s="171"/>
      <c r="U72" s="171"/>
      <c r="W72" s="171"/>
      <c r="Y72" s="171"/>
      <c r="AA72" s="171"/>
      <c r="AC72" s="171"/>
      <c r="AE72" s="171"/>
      <c r="AG72" s="171"/>
      <c r="AI72" s="171"/>
      <c r="AK72" s="171"/>
    </row>
    <row r="73" spans="1:37" ht="12.75">
      <c r="A73" s="165">
        <v>9</v>
      </c>
      <c r="B73" s="173">
        <v>2019</v>
      </c>
      <c r="C73" s="190">
        <f>+'Revised Evans Table'!C70</f>
        <v>2805133</v>
      </c>
      <c r="D73" s="190">
        <f>+'Revised Evans Table'!D70</f>
        <v>1177622.16451</v>
      </c>
      <c r="E73" s="190">
        <f>+'Revised Evans Table'!E70</f>
        <v>1129714.4061</v>
      </c>
      <c r="F73" s="190">
        <f>+'Revised Evans Table'!F70</f>
        <v>221031</v>
      </c>
      <c r="G73" s="190">
        <f>+'Revised Evans Table'!G70</f>
        <v>73686</v>
      </c>
      <c r="H73" s="190">
        <f>+'Revised Evans Table'!H70</f>
        <v>203079.42938999995</v>
      </c>
      <c r="I73" s="190">
        <f>+'Revised Evans Table'!I70</f>
        <v>234967</v>
      </c>
      <c r="J73" s="190">
        <f>+'Revised Evans Table'!J70</f>
        <v>768046.42939</v>
      </c>
      <c r="K73" s="190"/>
      <c r="L73" s="190">
        <f>+'Revised Evans Table'!L70</f>
        <v>423333.707</v>
      </c>
      <c r="M73" s="190">
        <f>+'Revised Evans Table'!M70</f>
        <v>56572.665</v>
      </c>
      <c r="N73" s="228">
        <f>+'Revised Evans Table'!N70</f>
        <v>288140.05739</v>
      </c>
      <c r="P73" s="188"/>
      <c r="Q73" s="188"/>
      <c r="S73" s="171"/>
      <c r="U73" s="171"/>
      <c r="W73" s="171"/>
      <c r="Y73" s="171"/>
      <c r="AA73" s="171"/>
      <c r="AC73" s="171"/>
      <c r="AE73" s="171"/>
      <c r="AG73" s="171"/>
      <c r="AI73" s="171"/>
      <c r="AK73" s="171"/>
    </row>
    <row r="74" spans="1:37" ht="12.75">
      <c r="A74" s="165">
        <v>10</v>
      </c>
      <c r="B74" s="177" t="s">
        <v>484</v>
      </c>
      <c r="L74" s="166"/>
      <c r="M74" s="166"/>
      <c r="P74" s="188"/>
      <c r="Q74" s="188"/>
      <c r="S74" s="171"/>
      <c r="U74" s="171"/>
      <c r="W74" s="171"/>
      <c r="Y74" s="171"/>
      <c r="AA74" s="171"/>
      <c r="AC74" s="171"/>
      <c r="AE74" s="171"/>
      <c r="AG74" s="171"/>
      <c r="AI74" s="171"/>
      <c r="AK74" s="171"/>
    </row>
    <row r="75" spans="1:37" ht="12.75">
      <c r="A75" s="165">
        <v>11</v>
      </c>
      <c r="B75" s="173" t="s">
        <v>483</v>
      </c>
      <c r="L75" s="166"/>
      <c r="M75" s="166"/>
      <c r="P75" s="188"/>
      <c r="Q75" s="188"/>
      <c r="S75" s="171"/>
      <c r="U75" s="171"/>
      <c r="W75" s="171"/>
      <c r="Y75" s="171"/>
      <c r="AA75" s="171"/>
      <c r="AC75" s="171"/>
      <c r="AE75" s="171"/>
      <c r="AG75" s="171"/>
      <c r="AI75" s="171"/>
      <c r="AK75" s="171"/>
    </row>
    <row r="76" spans="1:37" ht="12.75">
      <c r="A76" s="165">
        <v>12</v>
      </c>
      <c r="B76" s="173">
        <v>2020</v>
      </c>
      <c r="C76" s="171">
        <f>+'Modeling results'!B2</f>
        <v>2686228</v>
      </c>
      <c r="D76" s="171">
        <f>+'Revised Evans Table'!D73</f>
        <v>1224397.980759574</v>
      </c>
      <c r="E76" s="190">
        <f>+'Statement E'!M23</f>
        <v>649110.3192965541</v>
      </c>
      <c r="F76" s="171">
        <f>+'Income Statement Cash Flows'!E22+'Income Statement Cash Flows'!E23</f>
        <v>518294.54724507</v>
      </c>
      <c r="G76" s="171">
        <f>+'Current Revenue Test'!E39</f>
        <v>270995.83639123174</v>
      </c>
      <c r="H76" s="171">
        <f>C76-D76-E76-F76-G76</f>
        <v>23429.316307570087</v>
      </c>
      <c r="I76" s="171">
        <f>+F76+SUM('Current Revenue Test'!E61,'Current Revenue Test'!E63:E68)</f>
        <v>450204.30393396586</v>
      </c>
      <c r="J76" s="171">
        <f>+I76+H76</f>
        <v>473633.62024153594</v>
      </c>
      <c r="K76" s="171">
        <f>+'Revised Evans Table'!K73</f>
        <v>268581.1</v>
      </c>
      <c r="L76" s="180">
        <f>+'Inputs for Evans Tables'!G7</f>
        <v>173072.274</v>
      </c>
      <c r="M76" s="180">
        <f>+'Inputs for Evans Tables'!J7</f>
        <v>24330.805</v>
      </c>
      <c r="N76" s="186">
        <f>J76-L76-M76-K76</f>
        <v>7649.441241535998</v>
      </c>
      <c r="P76" s="349">
        <v>7649.520241536637</v>
      </c>
      <c r="S76" s="171"/>
      <c r="U76" s="171"/>
      <c r="W76" s="171"/>
      <c r="Y76" s="171"/>
      <c r="AA76" s="171"/>
      <c r="AC76" s="171"/>
      <c r="AE76" s="171"/>
      <c r="AG76" s="171"/>
      <c r="AI76" s="171"/>
      <c r="AK76" s="171"/>
    </row>
    <row r="77" spans="1:37" ht="12.75">
      <c r="A77" s="165">
        <v>13</v>
      </c>
      <c r="B77" s="173">
        <f>B76+1</f>
        <v>2021</v>
      </c>
      <c r="C77" s="171">
        <f>+'Modeling results'!C2</f>
        <v>2700442</v>
      </c>
      <c r="D77" s="171">
        <f>+'Statement E'!N41</f>
        <v>1201996.8834877</v>
      </c>
      <c r="E77" s="190">
        <f>+'Statement E'!N23</f>
        <v>692835.1392021653</v>
      </c>
      <c r="F77" s="171">
        <f>+'Income Statement Cash Flows'!F23+'Income Statement Cash Flows'!F22</f>
        <v>525414.1369780031</v>
      </c>
      <c r="G77" s="171">
        <f>+'Current Revenue Test'!F39</f>
        <v>201338.64323787513</v>
      </c>
      <c r="H77" s="171">
        <f>C77-D77-E77-F77-G77</f>
        <v>78857.19709425647</v>
      </c>
      <c r="I77" s="171">
        <f>+F77+SUM('Current Revenue Test'!F61,'Current Revenue Test'!F63:F68)</f>
        <v>454992.736870197</v>
      </c>
      <c r="J77" s="171">
        <f>+I77+H77</f>
        <v>533849.9339644534</v>
      </c>
      <c r="K77" s="171">
        <f>+'Revised Evans Table'!K74</f>
        <v>22870.600000000006</v>
      </c>
      <c r="L77" s="180">
        <f>+'Inputs for Evans Tables'!G8</f>
        <v>518064.668</v>
      </c>
      <c r="M77" s="180">
        <f>+'Inputs for Evans Tables'!J8</f>
        <v>14746.543</v>
      </c>
      <c r="N77" s="186">
        <f>J77-L77-M77-K77</f>
        <v>-21831.877035546604</v>
      </c>
      <c r="P77" s="180">
        <v>-21832.666035546485</v>
      </c>
      <c r="Q77" s="180"/>
      <c r="S77" s="171"/>
      <c r="U77" s="171"/>
      <c r="W77" s="171"/>
      <c r="Y77" s="171"/>
      <c r="AA77" s="171"/>
      <c r="AC77" s="171"/>
      <c r="AE77" s="171"/>
      <c r="AG77" s="171"/>
      <c r="AI77" s="171"/>
      <c r="AK77" s="171"/>
    </row>
    <row r="78" spans="1:37" ht="12.75">
      <c r="A78" s="165">
        <v>14</v>
      </c>
      <c r="B78" s="177" t="s">
        <v>485</v>
      </c>
      <c r="C78" s="171"/>
      <c r="D78" s="171"/>
      <c r="E78" s="171"/>
      <c r="F78" s="171"/>
      <c r="G78" s="171"/>
      <c r="H78" s="171"/>
      <c r="I78" s="171"/>
      <c r="J78" s="171"/>
      <c r="K78" s="171"/>
      <c r="L78" s="180"/>
      <c r="M78" s="180"/>
      <c r="N78" s="186"/>
      <c r="P78" s="180"/>
      <c r="Q78" s="180"/>
      <c r="S78" s="171"/>
      <c r="U78" s="171"/>
      <c r="W78" s="171"/>
      <c r="Y78" s="171"/>
      <c r="AA78" s="171"/>
      <c r="AC78" s="171"/>
      <c r="AE78" s="171"/>
      <c r="AG78" s="171"/>
      <c r="AI78" s="171"/>
      <c r="AK78" s="171"/>
    </row>
    <row r="79" spans="1:37" ht="12.75">
      <c r="A79" s="165">
        <v>15</v>
      </c>
      <c r="B79" s="173" t="s">
        <v>483</v>
      </c>
      <c r="C79" s="171"/>
      <c r="D79" s="171"/>
      <c r="E79" s="171"/>
      <c r="F79" s="171"/>
      <c r="G79" s="171"/>
      <c r="H79" s="171"/>
      <c r="I79" s="171"/>
      <c r="J79" s="171"/>
      <c r="K79" s="171"/>
      <c r="L79" s="180"/>
      <c r="M79" s="180"/>
      <c r="N79" s="186"/>
      <c r="P79" s="180"/>
      <c r="Q79" s="180"/>
      <c r="S79" s="171"/>
      <c r="U79" s="171"/>
      <c r="W79" s="171"/>
      <c r="Y79" s="171"/>
      <c r="AA79" s="171"/>
      <c r="AC79" s="171"/>
      <c r="AE79" s="171"/>
      <c r="AG79" s="171"/>
      <c r="AI79" s="171"/>
      <c r="AK79" s="171"/>
    </row>
    <row r="80" spans="1:37" ht="12.75">
      <c r="A80" s="165">
        <v>16</v>
      </c>
      <c r="B80" s="173">
        <f>B77+1</f>
        <v>2022</v>
      </c>
      <c r="C80" s="171">
        <f>+C77</f>
        <v>2700442</v>
      </c>
      <c r="D80" s="171">
        <f>+$D$77</f>
        <v>1201996.8834877</v>
      </c>
      <c r="E80" s="171">
        <f aca="true" t="shared" si="1" ref="E80:E111">+$E$151</f>
        <v>664339.7587021652</v>
      </c>
      <c r="F80" s="171">
        <f>+$F$77</f>
        <v>525414.1369780031</v>
      </c>
      <c r="G80" s="171" t="e">
        <f>'Inputs for Evans Tables'!N9+$G$151+$G$152+$G$153+'Statement D Table 1'!I26</f>
        <v>#REF!</v>
      </c>
      <c r="H80" s="171" t="e">
        <f>C80-D80-E80-F80-G80</f>
        <v>#REF!</v>
      </c>
      <c r="I80" s="171">
        <f>F80+SUM('Current Revenue Test'!$F$61,'Current Revenue Test'!$F$63:$F$68)</f>
        <v>454992.736870197</v>
      </c>
      <c r="J80" s="171" t="e">
        <f>H80+I80</f>
        <v>#REF!</v>
      </c>
      <c r="K80" s="171">
        <f>+'Revised Evans Table'!K77</f>
        <v>104961.4</v>
      </c>
      <c r="L80" s="180">
        <f>+'Inputs for Evans Tables'!G9</f>
        <v>324102.348</v>
      </c>
      <c r="M80" s="180">
        <f>+'Inputs for Evans Tables'!J9</f>
        <v>16059.879</v>
      </c>
      <c r="N80" s="186" t="e">
        <f>J80-L80-M80-K80</f>
        <v>#REF!</v>
      </c>
      <c r="P80" s="180"/>
      <c r="Q80" s="180"/>
      <c r="S80" s="171"/>
      <c r="U80" s="171"/>
      <c r="W80" s="171"/>
      <c r="Y80" s="171"/>
      <c r="AA80" s="171"/>
      <c r="AC80" s="171"/>
      <c r="AE80" s="171"/>
      <c r="AG80" s="171"/>
      <c r="AI80" s="171"/>
      <c r="AK80" s="171"/>
    </row>
    <row r="81" spans="1:37" ht="12.75">
      <c r="A81" s="165">
        <v>17</v>
      </c>
      <c r="B81" s="173">
        <f aca="true" t="shared" si="2" ref="B81:B129">B80+1</f>
        <v>2023</v>
      </c>
      <c r="C81" s="171">
        <f>+C80</f>
        <v>2700442</v>
      </c>
      <c r="D81" s="171">
        <f aca="true" t="shared" si="3" ref="D81:D129">+$D$77</f>
        <v>1201996.8834877</v>
      </c>
      <c r="E81" s="171">
        <f t="shared" si="1"/>
        <v>664339.7587021652</v>
      </c>
      <c r="F81" s="171">
        <f aca="true" t="shared" si="4" ref="F81:F129">+$F$77</f>
        <v>525414.1369780031</v>
      </c>
      <c r="G81" s="171" t="e">
        <f>'Inputs for Evans Tables'!N10+$G$151+$G$152+$G$153+'Statement D Table 1'!I27</f>
        <v>#REF!</v>
      </c>
      <c r="H81" s="171" t="e">
        <f aca="true" t="shared" si="5" ref="H81:H111">C81-D81-E81-F81-G81</f>
        <v>#REF!</v>
      </c>
      <c r="I81" s="171">
        <f>F81+SUM('Current Revenue Test'!$F$61,'Current Revenue Test'!$F$63:$F$68)</f>
        <v>454992.736870197</v>
      </c>
      <c r="J81" s="171" t="e">
        <f aca="true" t="shared" si="6" ref="J81:J129">H81+I81</f>
        <v>#REF!</v>
      </c>
      <c r="K81" s="171">
        <f>+'Revised Evans Table'!K78</f>
        <v>361933.9</v>
      </c>
      <c r="L81" s="180">
        <f>+'Inputs for Evans Tables'!G10</f>
        <v>104626.677</v>
      </c>
      <c r="M81" s="180">
        <f>+'Inputs for Evans Tables'!J10</f>
        <v>12851.998</v>
      </c>
      <c r="N81" s="186" t="e">
        <f aca="true" t="shared" si="7" ref="N81:N129">J81-L81-M81-K81</f>
        <v>#REF!</v>
      </c>
      <c r="P81" s="180"/>
      <c r="Q81" s="180"/>
      <c r="S81" s="171"/>
      <c r="U81" s="171"/>
      <c r="W81" s="171"/>
      <c r="Y81" s="171"/>
      <c r="AA81" s="171"/>
      <c r="AC81" s="171"/>
      <c r="AE81" s="171"/>
      <c r="AG81" s="171"/>
      <c r="AI81" s="171"/>
      <c r="AK81" s="171"/>
    </row>
    <row r="82" spans="1:37" ht="12.75">
      <c r="A82" s="165">
        <v>18</v>
      </c>
      <c r="B82" s="173">
        <f>B81+1</f>
        <v>2024</v>
      </c>
      <c r="C82" s="171">
        <f>+C81</f>
        <v>2700442</v>
      </c>
      <c r="D82" s="171">
        <f t="shared" si="3"/>
        <v>1201996.8834877</v>
      </c>
      <c r="E82" s="171">
        <f t="shared" si="1"/>
        <v>664339.7587021652</v>
      </c>
      <c r="F82" s="171">
        <f t="shared" si="4"/>
        <v>525414.1369780031</v>
      </c>
      <c r="G82" s="171" t="e">
        <f>'Inputs for Evans Tables'!N11+$G$151+$G$152+$G$153+'Statement D Table 1'!I28</f>
        <v>#REF!</v>
      </c>
      <c r="H82" s="171" t="e">
        <f t="shared" si="5"/>
        <v>#REF!</v>
      </c>
      <c r="I82" s="171">
        <f>F82+SUM('Current Revenue Test'!$F$61,'Current Revenue Test'!$F$63:$F$68)</f>
        <v>454992.736870197</v>
      </c>
      <c r="J82" s="171" t="e">
        <f t="shared" si="6"/>
        <v>#REF!</v>
      </c>
      <c r="K82" s="171">
        <f>+'Revised Evans Table'!K79</f>
        <v>372959.7</v>
      </c>
      <c r="L82" s="180">
        <f>+'Inputs for Evans Tables'!G11</f>
        <v>102808.116</v>
      </c>
      <c r="M82" s="180">
        <f>+'Inputs for Evans Tables'!J11</f>
        <v>15110.589</v>
      </c>
      <c r="N82" s="186" t="e">
        <f t="shared" si="7"/>
        <v>#REF!</v>
      </c>
      <c r="P82" s="180"/>
      <c r="Q82" s="180"/>
      <c r="S82" s="171"/>
      <c r="U82" s="171"/>
      <c r="W82" s="171"/>
      <c r="Y82" s="171"/>
      <c r="AA82" s="171"/>
      <c r="AC82" s="171"/>
      <c r="AE82" s="171"/>
      <c r="AG82" s="171"/>
      <c r="AI82" s="171"/>
      <c r="AK82" s="171"/>
    </row>
    <row r="83" spans="1:37" ht="12.75">
      <c r="A83" s="165">
        <v>19</v>
      </c>
      <c r="B83" s="173">
        <f t="shared" si="2"/>
        <v>2025</v>
      </c>
      <c r="C83" s="171">
        <f aca="true" t="shared" si="8" ref="C83:C129">+C82</f>
        <v>2700442</v>
      </c>
      <c r="D83" s="171">
        <f t="shared" si="3"/>
        <v>1201996.8834877</v>
      </c>
      <c r="E83" s="171">
        <f t="shared" si="1"/>
        <v>664339.7587021652</v>
      </c>
      <c r="F83" s="171">
        <f t="shared" si="4"/>
        <v>525414.1369780031</v>
      </c>
      <c r="G83" s="171" t="e">
        <f>'Inputs for Evans Tables'!N12+$G$151+$G$152+$G$153+'Statement D Table 1'!I29</f>
        <v>#REF!</v>
      </c>
      <c r="H83" s="171" t="e">
        <f t="shared" si="5"/>
        <v>#REF!</v>
      </c>
      <c r="I83" s="171">
        <f>F83+SUM('Current Revenue Test'!$F$61,'Current Revenue Test'!$F$63:$F$68)</f>
        <v>454992.736870197</v>
      </c>
      <c r="J83" s="171" t="e">
        <f t="shared" si="6"/>
        <v>#REF!</v>
      </c>
      <c r="K83" s="171">
        <f>+'Revised Evans Table'!K80</f>
        <v>387547.85</v>
      </c>
      <c r="L83" s="180">
        <f>+'Inputs for Evans Tables'!G12</f>
        <v>100065.393</v>
      </c>
      <c r="M83" s="180">
        <f>+'Inputs for Evans Tables'!J12</f>
        <v>13550.236</v>
      </c>
      <c r="N83" s="186" t="e">
        <f t="shared" si="7"/>
        <v>#REF!</v>
      </c>
      <c r="P83" s="180"/>
      <c r="Q83" s="180"/>
      <c r="S83" s="171"/>
      <c r="U83" s="171"/>
      <c r="W83" s="171"/>
      <c r="Y83" s="171"/>
      <c r="AA83" s="171"/>
      <c r="AC83" s="171"/>
      <c r="AE83" s="171"/>
      <c r="AG83" s="171"/>
      <c r="AI83" s="171"/>
      <c r="AK83" s="171"/>
    </row>
    <row r="84" spans="1:37" ht="12.75">
      <c r="A84" s="165">
        <v>20</v>
      </c>
      <c r="B84" s="173">
        <f t="shared" si="2"/>
        <v>2026</v>
      </c>
      <c r="C84" s="171">
        <f t="shared" si="8"/>
        <v>2700442</v>
      </c>
      <c r="D84" s="171">
        <f t="shared" si="3"/>
        <v>1201996.8834877</v>
      </c>
      <c r="E84" s="171">
        <f t="shared" si="1"/>
        <v>664339.7587021652</v>
      </c>
      <c r="F84" s="171">
        <f t="shared" si="4"/>
        <v>525414.1369780031</v>
      </c>
      <c r="G84" s="171" t="e">
        <f>'Inputs for Evans Tables'!N13+$G$151+$G$152+$G$153+'Statement D Table 1'!I30</f>
        <v>#REF!</v>
      </c>
      <c r="H84" s="171" t="e">
        <f t="shared" si="5"/>
        <v>#REF!</v>
      </c>
      <c r="I84" s="171">
        <f>F84+SUM('Current Revenue Test'!$F$61,'Current Revenue Test'!$F$63:$F$68)</f>
        <v>454992.736870197</v>
      </c>
      <c r="J84" s="171" t="e">
        <f t="shared" si="6"/>
        <v>#REF!</v>
      </c>
      <c r="K84" s="171">
        <f>+'Revised Evans Table'!K81</f>
        <v>402402.5</v>
      </c>
      <c r="L84" s="180">
        <f>+'Inputs for Evans Tables'!G13</f>
        <v>92756.197</v>
      </c>
      <c r="M84" s="180">
        <f>+'Inputs for Evans Tables'!J13</f>
        <v>20774.078</v>
      </c>
      <c r="N84" s="186" t="e">
        <f t="shared" si="7"/>
        <v>#REF!</v>
      </c>
      <c r="P84" s="180"/>
      <c r="Q84" s="180"/>
      <c r="S84" s="171"/>
      <c r="U84" s="171"/>
      <c r="W84" s="171"/>
      <c r="Y84" s="171"/>
      <c r="AA84" s="171"/>
      <c r="AC84" s="171"/>
      <c r="AE84" s="171"/>
      <c r="AG84" s="171"/>
      <c r="AI84" s="171"/>
      <c r="AK84" s="171"/>
    </row>
    <row r="85" spans="1:37" ht="12.75">
      <c r="A85" s="165">
        <v>21</v>
      </c>
      <c r="B85" s="173">
        <f t="shared" si="2"/>
        <v>2027</v>
      </c>
      <c r="C85" s="171">
        <f t="shared" si="8"/>
        <v>2700442</v>
      </c>
      <c r="D85" s="171">
        <f t="shared" si="3"/>
        <v>1201996.8834877</v>
      </c>
      <c r="E85" s="171">
        <f t="shared" si="1"/>
        <v>664339.7587021652</v>
      </c>
      <c r="F85" s="171">
        <f t="shared" si="4"/>
        <v>525414.1369780031</v>
      </c>
      <c r="G85" s="171" t="e">
        <f>'Inputs for Evans Tables'!N14+$G$151+$G$152+$G$153+'Statement D Table 1'!I31</f>
        <v>#REF!</v>
      </c>
      <c r="H85" s="171" t="e">
        <f t="shared" si="5"/>
        <v>#REF!</v>
      </c>
      <c r="I85" s="171">
        <f>F85+SUM('Current Revenue Test'!$F$61,'Current Revenue Test'!$F$63:$F$68)</f>
        <v>454992.736870197</v>
      </c>
      <c r="J85" s="171" t="e">
        <f t="shared" si="6"/>
        <v>#REF!</v>
      </c>
      <c r="K85" s="171">
        <f>+'Revised Evans Table'!K82</f>
        <v>415381.25</v>
      </c>
      <c r="L85" s="180">
        <f>+'Inputs for Evans Tables'!G14</f>
        <v>108455.104</v>
      </c>
      <c r="M85" s="180">
        <f>+'Inputs for Evans Tables'!J14</f>
        <v>6120.616</v>
      </c>
      <c r="N85" s="186" t="e">
        <f t="shared" si="7"/>
        <v>#REF!</v>
      </c>
      <c r="P85" s="180"/>
      <c r="Q85" s="180"/>
      <c r="S85" s="171"/>
      <c r="U85" s="171"/>
      <c r="W85" s="171"/>
      <c r="Y85" s="171"/>
      <c r="AA85" s="171"/>
      <c r="AC85" s="171"/>
      <c r="AE85" s="171"/>
      <c r="AG85" s="171"/>
      <c r="AI85" s="171"/>
      <c r="AK85" s="171"/>
    </row>
    <row r="86" spans="1:37" ht="12.75">
      <c r="A86" s="165">
        <v>22</v>
      </c>
      <c r="B86" s="173">
        <f t="shared" si="2"/>
        <v>2028</v>
      </c>
      <c r="C86" s="171">
        <f t="shared" si="8"/>
        <v>2700442</v>
      </c>
      <c r="D86" s="171">
        <f t="shared" si="3"/>
        <v>1201996.8834877</v>
      </c>
      <c r="E86" s="171">
        <f t="shared" si="1"/>
        <v>664339.7587021652</v>
      </c>
      <c r="F86" s="171">
        <f t="shared" si="4"/>
        <v>525414.1369780031</v>
      </c>
      <c r="G86" s="171" t="e">
        <f>'Inputs for Evans Tables'!N15+$G$151+$G$152+$G$153+'Statement D Table 1'!I32</f>
        <v>#REF!</v>
      </c>
      <c r="H86" s="171" t="e">
        <f t="shared" si="5"/>
        <v>#REF!</v>
      </c>
      <c r="I86" s="171">
        <f>F86+SUM('Current Revenue Test'!$F$61,'Current Revenue Test'!$F$63:$F$68)</f>
        <v>454992.736870197</v>
      </c>
      <c r="J86" s="171" t="e">
        <f t="shared" si="6"/>
        <v>#REF!</v>
      </c>
      <c r="K86" s="171">
        <f>+'Revised Evans Table'!K83</f>
        <v>426801.25</v>
      </c>
      <c r="L86" s="180">
        <f>+'Inputs for Evans Tables'!G15</f>
        <v>107007.138</v>
      </c>
      <c r="M86" s="180">
        <f>+'Inputs for Evans Tables'!J15</f>
        <v>11190.784</v>
      </c>
      <c r="N86" s="186" t="e">
        <f t="shared" si="7"/>
        <v>#REF!</v>
      </c>
      <c r="P86" s="180"/>
      <c r="Q86" s="180"/>
      <c r="S86" s="171"/>
      <c r="U86" s="171"/>
      <c r="W86" s="171"/>
      <c r="Y86" s="171"/>
      <c r="AA86" s="171"/>
      <c r="AC86" s="171"/>
      <c r="AE86" s="171"/>
      <c r="AG86" s="171"/>
      <c r="AI86" s="171"/>
      <c r="AK86" s="171"/>
    </row>
    <row r="87" spans="1:37" ht="12.75">
      <c r="A87" s="165">
        <v>23</v>
      </c>
      <c r="B87" s="173">
        <f t="shared" si="2"/>
        <v>2029</v>
      </c>
      <c r="C87" s="171">
        <f t="shared" si="8"/>
        <v>2700442</v>
      </c>
      <c r="D87" s="171">
        <f t="shared" si="3"/>
        <v>1201996.8834877</v>
      </c>
      <c r="E87" s="171">
        <f t="shared" si="1"/>
        <v>664339.7587021652</v>
      </c>
      <c r="F87" s="171">
        <f t="shared" si="4"/>
        <v>525414.1369780031</v>
      </c>
      <c r="G87" s="171" t="e">
        <f>'Inputs for Evans Tables'!N16+$G$151+$G$152+$G$153+'Statement D Table 1'!I33</f>
        <v>#REF!</v>
      </c>
      <c r="H87" s="171" t="e">
        <f t="shared" si="5"/>
        <v>#REF!</v>
      </c>
      <c r="I87" s="171">
        <f>F87+SUM('Current Revenue Test'!$F$61,'Current Revenue Test'!$F$63:$F$68)</f>
        <v>454992.736870197</v>
      </c>
      <c r="J87" s="171" t="e">
        <f t="shared" si="6"/>
        <v>#REF!</v>
      </c>
      <c r="K87" s="171">
        <f>+'Revised Evans Table'!K84</f>
        <v>125731.91825</v>
      </c>
      <c r="L87" s="180">
        <f>+'Inputs for Evans Tables'!G16</f>
        <v>434048.486</v>
      </c>
      <c r="M87" s="180">
        <f>+'Inputs for Evans Tables'!J16</f>
        <v>4064.635</v>
      </c>
      <c r="N87" s="186" t="e">
        <f t="shared" si="7"/>
        <v>#REF!</v>
      </c>
      <c r="P87" s="180"/>
      <c r="Q87" s="180"/>
      <c r="S87" s="171"/>
      <c r="U87" s="171"/>
      <c r="W87" s="171"/>
      <c r="Y87" s="171"/>
      <c r="AA87" s="171"/>
      <c r="AC87" s="171"/>
      <c r="AE87" s="171"/>
      <c r="AG87" s="171"/>
      <c r="AI87" s="171"/>
      <c r="AK87" s="171"/>
    </row>
    <row r="88" spans="1:37" ht="12.75">
      <c r="A88" s="165">
        <v>24</v>
      </c>
      <c r="B88" s="173">
        <f t="shared" si="2"/>
        <v>2030</v>
      </c>
      <c r="C88" s="171">
        <f t="shared" si="8"/>
        <v>2700442</v>
      </c>
      <c r="D88" s="171">
        <f t="shared" si="3"/>
        <v>1201996.8834877</v>
      </c>
      <c r="E88" s="171">
        <f t="shared" si="1"/>
        <v>664339.7587021652</v>
      </c>
      <c r="F88" s="171">
        <f t="shared" si="4"/>
        <v>525414.1369780031</v>
      </c>
      <c r="G88" s="171" t="e">
        <f>'Inputs for Evans Tables'!N17+$G$151+$G$152+$G$153+'Statement D Table 1'!I34</f>
        <v>#REF!</v>
      </c>
      <c r="H88" s="171" t="e">
        <f t="shared" si="5"/>
        <v>#REF!</v>
      </c>
      <c r="I88" s="171">
        <f>F88+SUM('Current Revenue Test'!$F$61,'Current Revenue Test'!$F$63:$F$68)</f>
        <v>454992.736870197</v>
      </c>
      <c r="J88" s="171" t="e">
        <f t="shared" si="6"/>
        <v>#REF!</v>
      </c>
      <c r="K88" s="171">
        <f>+'Revised Evans Table'!K85</f>
        <v>232849.3815</v>
      </c>
      <c r="L88" s="180">
        <f>+'Inputs for Evans Tables'!G17</f>
        <v>344216.768</v>
      </c>
      <c r="M88" s="180">
        <f>+'Inputs for Evans Tables'!J17</f>
        <v>1995.733</v>
      </c>
      <c r="N88" s="186" t="e">
        <f t="shared" si="7"/>
        <v>#REF!</v>
      </c>
      <c r="P88" s="180"/>
      <c r="Q88" s="180"/>
      <c r="S88" s="171"/>
      <c r="U88" s="171"/>
      <c r="W88" s="171"/>
      <c r="Y88" s="171"/>
      <c r="AA88" s="171"/>
      <c r="AC88" s="171"/>
      <c r="AE88" s="171"/>
      <c r="AG88" s="171"/>
      <c r="AI88" s="171"/>
      <c r="AK88" s="171"/>
    </row>
    <row r="89" spans="1:37" ht="12.75">
      <c r="A89" s="165">
        <v>25</v>
      </c>
      <c r="B89" s="173">
        <f t="shared" si="2"/>
        <v>2031</v>
      </c>
      <c r="C89" s="171">
        <f t="shared" si="8"/>
        <v>2700442</v>
      </c>
      <c r="D89" s="171">
        <f t="shared" si="3"/>
        <v>1201996.8834877</v>
      </c>
      <c r="E89" s="171">
        <f t="shared" si="1"/>
        <v>664339.7587021652</v>
      </c>
      <c r="F89" s="171">
        <f t="shared" si="4"/>
        <v>525414.1369780031</v>
      </c>
      <c r="G89" s="171" t="e">
        <f>'Inputs for Evans Tables'!N18+$G$151+$G$152+$G$153+'Statement D Table 1'!I35</f>
        <v>#REF!</v>
      </c>
      <c r="H89" s="171" t="e">
        <f t="shared" si="5"/>
        <v>#REF!</v>
      </c>
      <c r="I89" s="171">
        <f>F89+SUM('Current Revenue Test'!$F$61,'Current Revenue Test'!$F$63:$F$68)</f>
        <v>454992.736870197</v>
      </c>
      <c r="J89" s="171" t="e">
        <f t="shared" si="6"/>
        <v>#REF!</v>
      </c>
      <c r="K89" s="171">
        <f>+'Revised Evans Table'!K86</f>
        <v>228686.42225</v>
      </c>
      <c r="L89" s="180">
        <f>+'Inputs for Evans Tables'!G18</f>
        <v>357179.701</v>
      </c>
      <c r="M89" s="180">
        <f>+'Inputs for Evans Tables'!J18</f>
        <v>10530.176</v>
      </c>
      <c r="N89" s="186" t="e">
        <f t="shared" si="7"/>
        <v>#REF!</v>
      </c>
      <c r="P89" s="180"/>
      <c r="Q89" s="180"/>
      <c r="S89" s="171"/>
      <c r="U89" s="171"/>
      <c r="W89" s="171"/>
      <c r="Y89" s="171"/>
      <c r="AA89" s="171"/>
      <c r="AC89" s="171"/>
      <c r="AE89" s="171"/>
      <c r="AG89" s="171"/>
      <c r="AI89" s="171"/>
      <c r="AK89" s="171"/>
    </row>
    <row r="90" spans="1:37" ht="12.75">
      <c r="A90" s="165">
        <v>26</v>
      </c>
      <c r="B90" s="173">
        <f>B89+1</f>
        <v>2032</v>
      </c>
      <c r="C90" s="171">
        <f t="shared" si="8"/>
        <v>2700442</v>
      </c>
      <c r="D90" s="171">
        <f t="shared" si="3"/>
        <v>1201996.8834877</v>
      </c>
      <c r="E90" s="171">
        <f t="shared" si="1"/>
        <v>664339.7587021652</v>
      </c>
      <c r="F90" s="171">
        <f t="shared" si="4"/>
        <v>525414.1369780031</v>
      </c>
      <c r="G90" s="171" t="e">
        <f>'Inputs for Evans Tables'!N19+$G$151+$G$152+$G$153+'Statement D Table 1'!I36</f>
        <v>#REF!</v>
      </c>
      <c r="H90" s="171" t="e">
        <f t="shared" si="5"/>
        <v>#REF!</v>
      </c>
      <c r="I90" s="171">
        <f>F90+SUM('Current Revenue Test'!$F$61,'Current Revenue Test'!$F$63:$F$68)</f>
        <v>454992.736870197</v>
      </c>
      <c r="J90" s="171" t="e">
        <f t="shared" si="6"/>
        <v>#REF!</v>
      </c>
      <c r="K90" s="171">
        <f>+'Revised Evans Table'!K87</f>
        <v>185934.1415</v>
      </c>
      <c r="L90" s="180">
        <f>+'Inputs for Evans Tables'!G19</f>
        <v>423715.204</v>
      </c>
      <c r="M90" s="180">
        <f>+'Inputs for Evans Tables'!J19</f>
        <v>0</v>
      </c>
      <c r="N90" s="186" t="e">
        <f t="shared" si="7"/>
        <v>#REF!</v>
      </c>
      <c r="P90" s="180"/>
      <c r="Q90" s="180"/>
      <c r="S90" s="171"/>
      <c r="U90" s="171"/>
      <c r="W90" s="171"/>
      <c r="Y90" s="171"/>
      <c r="AA90" s="171"/>
      <c r="AC90" s="171"/>
      <c r="AE90" s="171"/>
      <c r="AG90" s="171"/>
      <c r="AI90" s="171"/>
      <c r="AK90" s="171"/>
    </row>
    <row r="91" spans="1:37" ht="12.75">
      <c r="A91" s="165">
        <v>27</v>
      </c>
      <c r="B91" s="173">
        <f t="shared" si="2"/>
        <v>2033</v>
      </c>
      <c r="C91" s="171">
        <f t="shared" si="8"/>
        <v>2700442</v>
      </c>
      <c r="D91" s="171">
        <f t="shared" si="3"/>
        <v>1201996.8834877</v>
      </c>
      <c r="E91" s="171">
        <f t="shared" si="1"/>
        <v>664339.7587021652</v>
      </c>
      <c r="F91" s="171">
        <f t="shared" si="4"/>
        <v>525414.1369780031</v>
      </c>
      <c r="G91" s="171" t="e">
        <f>'Inputs for Evans Tables'!N20+$G$151+$G$152+$G$153+'Statement D Table 1'!I37</f>
        <v>#REF!</v>
      </c>
      <c r="H91" s="171" t="e">
        <f t="shared" si="5"/>
        <v>#REF!</v>
      </c>
      <c r="I91" s="171">
        <f>F91+SUM('Current Revenue Test'!$F$61,'Current Revenue Test'!$F$63:$F$68)</f>
        <v>454992.736870197</v>
      </c>
      <c r="J91" s="171" t="e">
        <f t="shared" si="6"/>
        <v>#REF!</v>
      </c>
      <c r="K91" s="171">
        <f>+'Revised Evans Table'!K88</f>
        <v>184952.2825</v>
      </c>
      <c r="L91" s="180">
        <f>+'Inputs for Evans Tables'!G20</f>
        <v>433966.306</v>
      </c>
      <c r="M91" s="180">
        <f>+'Inputs for Evans Tables'!J20</f>
        <v>4346.935</v>
      </c>
      <c r="N91" s="186" t="e">
        <f t="shared" si="7"/>
        <v>#REF!</v>
      </c>
      <c r="P91" s="180"/>
      <c r="Q91" s="180"/>
      <c r="S91" s="171"/>
      <c r="U91" s="171"/>
      <c r="W91" s="171"/>
      <c r="Y91" s="171"/>
      <c r="AA91" s="171"/>
      <c r="AC91" s="171"/>
      <c r="AE91" s="171"/>
      <c r="AG91" s="171"/>
      <c r="AI91" s="171"/>
      <c r="AK91" s="171"/>
    </row>
    <row r="92" spans="1:37" ht="12.75">
      <c r="A92" s="165">
        <v>28</v>
      </c>
      <c r="B92" s="173">
        <f t="shared" si="2"/>
        <v>2034</v>
      </c>
      <c r="C92" s="171">
        <f t="shared" si="8"/>
        <v>2700442</v>
      </c>
      <c r="D92" s="171">
        <f t="shared" si="3"/>
        <v>1201996.8834877</v>
      </c>
      <c r="E92" s="171">
        <f t="shared" si="1"/>
        <v>664339.7587021652</v>
      </c>
      <c r="F92" s="171">
        <f t="shared" si="4"/>
        <v>525414.1369780031</v>
      </c>
      <c r="G92" s="171" t="e">
        <f>'Inputs for Evans Tables'!N21+$G$151+$G$152+$G$153+'Statement D Table 1'!I38</f>
        <v>#REF!</v>
      </c>
      <c r="H92" s="171" t="e">
        <f t="shared" si="5"/>
        <v>#REF!</v>
      </c>
      <c r="I92" s="171">
        <f>F92+SUM('Current Revenue Test'!$F$61,'Current Revenue Test'!$F$63:$F$68)</f>
        <v>454992.736870197</v>
      </c>
      <c r="J92" s="171" t="e">
        <f t="shared" si="6"/>
        <v>#REF!</v>
      </c>
      <c r="K92" s="171">
        <f>+'Revised Evans Table'!K89</f>
        <v>190005.36025</v>
      </c>
      <c r="L92" s="180">
        <f>+'Inputs for Evans Tables'!G21</f>
        <v>464830.812</v>
      </c>
      <c r="M92" s="180">
        <f>+'Inputs for Evans Tables'!J21</f>
        <v>0</v>
      </c>
      <c r="N92" s="186" t="e">
        <f t="shared" si="7"/>
        <v>#REF!</v>
      </c>
      <c r="P92" s="180"/>
      <c r="Q92" s="180"/>
      <c r="S92" s="171"/>
      <c r="U92" s="171"/>
      <c r="W92" s="171"/>
      <c r="Y92" s="171"/>
      <c r="AA92" s="171"/>
      <c r="AC92" s="171"/>
      <c r="AE92" s="171"/>
      <c r="AG92" s="171"/>
      <c r="AI92" s="171"/>
      <c r="AK92" s="171"/>
    </row>
    <row r="93" spans="1:37" ht="12.75">
      <c r="A93" s="165">
        <v>29</v>
      </c>
      <c r="B93" s="173">
        <f t="shared" si="2"/>
        <v>2035</v>
      </c>
      <c r="C93" s="171">
        <f t="shared" si="8"/>
        <v>2700442</v>
      </c>
      <c r="D93" s="171">
        <f t="shared" si="3"/>
        <v>1201996.8834877</v>
      </c>
      <c r="E93" s="171">
        <f t="shared" si="1"/>
        <v>664339.7587021652</v>
      </c>
      <c r="F93" s="171">
        <f t="shared" si="4"/>
        <v>525414.1369780031</v>
      </c>
      <c r="G93" s="171" t="e">
        <f>'Inputs for Evans Tables'!N22+$G$151+$G$152+$G$153+'Statement D Table 1'!I39</f>
        <v>#REF!</v>
      </c>
      <c r="H93" s="171" t="e">
        <f t="shared" si="5"/>
        <v>#REF!</v>
      </c>
      <c r="I93" s="171">
        <f>F93+SUM('Current Revenue Test'!$F$61,'Current Revenue Test'!$F$63:$F$68)</f>
        <v>454992.736870197</v>
      </c>
      <c r="J93" s="171" t="e">
        <f t="shared" si="6"/>
        <v>#REF!</v>
      </c>
      <c r="K93" s="171">
        <f>+'Revised Evans Table'!K90</f>
        <v>171844.1805</v>
      </c>
      <c r="L93" s="180">
        <f>+'Inputs for Evans Tables'!G22</f>
        <v>508545.78</v>
      </c>
      <c r="M93" s="180">
        <f>+'Inputs for Evans Tables'!J22</f>
        <v>7766.083</v>
      </c>
      <c r="N93" s="186" t="e">
        <f t="shared" si="7"/>
        <v>#REF!</v>
      </c>
      <c r="P93" s="180"/>
      <c r="Q93" s="180"/>
      <c r="S93" s="171"/>
      <c r="U93" s="171"/>
      <c r="W93" s="171"/>
      <c r="Y93" s="171"/>
      <c r="AA93" s="171"/>
      <c r="AC93" s="171"/>
      <c r="AE93" s="171"/>
      <c r="AG93" s="171"/>
      <c r="AI93" s="171"/>
      <c r="AK93" s="171"/>
    </row>
    <row r="94" spans="1:37" ht="12.75">
      <c r="A94" s="165">
        <v>30</v>
      </c>
      <c r="B94" s="173">
        <f t="shared" si="2"/>
        <v>2036</v>
      </c>
      <c r="C94" s="171">
        <f t="shared" si="8"/>
        <v>2700442</v>
      </c>
      <c r="D94" s="171">
        <f t="shared" si="3"/>
        <v>1201996.8834877</v>
      </c>
      <c r="E94" s="171">
        <f t="shared" si="1"/>
        <v>664339.7587021652</v>
      </c>
      <c r="F94" s="171">
        <f t="shared" si="4"/>
        <v>525414.1369780031</v>
      </c>
      <c r="G94" s="171" t="e">
        <f>'Inputs for Evans Tables'!N23+$G$151+$G$152+$G$153+'Statement D Table 1'!I40</f>
        <v>#REF!</v>
      </c>
      <c r="H94" s="171" t="e">
        <f t="shared" si="5"/>
        <v>#REF!</v>
      </c>
      <c r="I94" s="171">
        <f>F94+SUM('Current Revenue Test'!$F$61,'Current Revenue Test'!$F$63:$F$68)</f>
        <v>454992.736870197</v>
      </c>
      <c r="J94" s="171" t="e">
        <f t="shared" si="6"/>
        <v>#REF!</v>
      </c>
      <c r="K94" s="171">
        <f>+'Revised Evans Table'!K91</f>
        <v>163763.34325</v>
      </c>
      <c r="L94" s="180">
        <f>+'Inputs for Evans Tables'!G23</f>
        <v>479144.2682</v>
      </c>
      <c r="M94" s="180">
        <f>+'Inputs for Evans Tables'!J23</f>
        <v>28920.449</v>
      </c>
      <c r="N94" s="186" t="e">
        <f t="shared" si="7"/>
        <v>#REF!</v>
      </c>
      <c r="P94" s="180"/>
      <c r="Q94" s="180"/>
      <c r="S94" s="171"/>
      <c r="U94" s="171"/>
      <c r="W94" s="171"/>
      <c r="Y94" s="171"/>
      <c r="AA94" s="171"/>
      <c r="AC94" s="171"/>
      <c r="AE94" s="171"/>
      <c r="AG94" s="171"/>
      <c r="AI94" s="171"/>
      <c r="AK94" s="171"/>
    </row>
    <row r="95" spans="1:37" ht="12.75">
      <c r="A95" s="165">
        <v>31</v>
      </c>
      <c r="B95" s="173">
        <f>B94+1</f>
        <v>2037</v>
      </c>
      <c r="C95" s="171">
        <f t="shared" si="8"/>
        <v>2700442</v>
      </c>
      <c r="D95" s="171">
        <f t="shared" si="3"/>
        <v>1201996.8834877</v>
      </c>
      <c r="E95" s="171">
        <f t="shared" si="1"/>
        <v>664339.7587021652</v>
      </c>
      <c r="F95" s="171">
        <f t="shared" si="4"/>
        <v>525414.1369780031</v>
      </c>
      <c r="G95" s="171" t="e">
        <f>'Inputs for Evans Tables'!N24+$G$151+$G$152+$G$153+'Statement D Table 1'!I41</f>
        <v>#REF!</v>
      </c>
      <c r="H95" s="171" t="e">
        <f t="shared" si="5"/>
        <v>#REF!</v>
      </c>
      <c r="I95" s="171">
        <f>F95+SUM('Current Revenue Test'!$F$61,'Current Revenue Test'!$F$63:$F$68)</f>
        <v>454992.736870197</v>
      </c>
      <c r="J95" s="171" t="e">
        <f t="shared" si="6"/>
        <v>#REF!</v>
      </c>
      <c r="K95" s="171">
        <f>+'Revised Evans Table'!K92</f>
        <v>166016.2465</v>
      </c>
      <c r="L95" s="180">
        <f>+'Inputs for Evans Tables'!G24</f>
        <v>509032.6018</v>
      </c>
      <c r="M95" s="180">
        <f>+'Inputs for Evans Tables'!J24</f>
        <v>15709.88</v>
      </c>
      <c r="N95" s="186" t="e">
        <f t="shared" si="7"/>
        <v>#REF!</v>
      </c>
      <c r="P95" s="180"/>
      <c r="Q95" s="180"/>
      <c r="S95" s="171"/>
      <c r="U95" s="171"/>
      <c r="W95" s="171"/>
      <c r="Y95" s="171"/>
      <c r="AA95" s="171"/>
      <c r="AC95" s="171"/>
      <c r="AE95" s="171"/>
      <c r="AG95" s="171"/>
      <c r="AI95" s="171"/>
      <c r="AK95" s="171"/>
    </row>
    <row r="96" spans="1:37" ht="12.75">
      <c r="A96" s="165">
        <v>32</v>
      </c>
      <c r="B96" s="173">
        <f t="shared" si="2"/>
        <v>2038</v>
      </c>
      <c r="C96" s="171">
        <f t="shared" si="8"/>
        <v>2700442</v>
      </c>
      <c r="D96" s="171">
        <f t="shared" si="3"/>
        <v>1201996.8834877</v>
      </c>
      <c r="E96" s="171">
        <f t="shared" si="1"/>
        <v>664339.7587021652</v>
      </c>
      <c r="F96" s="171">
        <f t="shared" si="4"/>
        <v>525414.1369780031</v>
      </c>
      <c r="G96" s="171" t="e">
        <f>'Inputs for Evans Tables'!N25+$G$151+$G$152+$G$153+'Statement D Table 1'!I42</f>
        <v>#REF!</v>
      </c>
      <c r="H96" s="171" t="e">
        <f t="shared" si="5"/>
        <v>#REF!</v>
      </c>
      <c r="I96" s="171">
        <f>F96+SUM('Current Revenue Test'!$F$61,'Current Revenue Test'!$F$63:$F$68)</f>
        <v>454992.736870197</v>
      </c>
      <c r="J96" s="171" t="e">
        <f t="shared" si="6"/>
        <v>#REF!</v>
      </c>
      <c r="K96" s="171">
        <f>+'Revised Evans Table'!K93</f>
        <v>142400.087</v>
      </c>
      <c r="L96" s="180">
        <f>+'Inputs for Evans Tables'!G25</f>
        <v>569403.7982</v>
      </c>
      <c r="M96" s="180">
        <f>+'Inputs for Evans Tables'!J25</f>
        <v>0</v>
      </c>
      <c r="N96" s="186" t="e">
        <f t="shared" si="7"/>
        <v>#REF!</v>
      </c>
      <c r="P96" s="180"/>
      <c r="Q96" s="180"/>
      <c r="S96" s="171"/>
      <c r="U96" s="171"/>
      <c r="W96" s="171"/>
      <c r="Y96" s="171"/>
      <c r="AA96" s="171"/>
      <c r="AC96" s="171"/>
      <c r="AE96" s="171"/>
      <c r="AG96" s="171"/>
      <c r="AI96" s="171"/>
      <c r="AK96" s="171"/>
    </row>
    <row r="97" spans="1:37" ht="12.75">
      <c r="A97" s="165">
        <v>33</v>
      </c>
      <c r="B97" s="173">
        <f t="shared" si="2"/>
        <v>2039</v>
      </c>
      <c r="C97" s="171">
        <f t="shared" si="8"/>
        <v>2700442</v>
      </c>
      <c r="D97" s="171">
        <f t="shared" si="3"/>
        <v>1201996.8834877</v>
      </c>
      <c r="E97" s="171">
        <f t="shared" si="1"/>
        <v>664339.7587021652</v>
      </c>
      <c r="F97" s="171">
        <f t="shared" si="4"/>
        <v>525414.1369780031</v>
      </c>
      <c r="G97" s="171" t="e">
        <f>'Inputs for Evans Tables'!N26+$G$151+$G$152+$G$153+'Statement D Table 1'!I43</f>
        <v>#REF!</v>
      </c>
      <c r="H97" s="171" t="e">
        <f t="shared" si="5"/>
        <v>#REF!</v>
      </c>
      <c r="I97" s="171">
        <f>F97+SUM('Current Revenue Test'!$F$61,'Current Revenue Test'!$F$63:$F$68)</f>
        <v>454992.736870197</v>
      </c>
      <c r="J97" s="171" t="e">
        <f t="shared" si="6"/>
        <v>#REF!</v>
      </c>
      <c r="K97" s="171">
        <f>+'Revised Evans Table'!K94</f>
        <v>63017.1145</v>
      </c>
      <c r="L97" s="180">
        <f>+'Inputs for Evans Tables'!G26</f>
        <v>658014.3912</v>
      </c>
      <c r="M97" s="180">
        <f>+'Inputs for Evans Tables'!J26</f>
        <v>14069.258</v>
      </c>
      <c r="N97" s="186" t="e">
        <f t="shared" si="7"/>
        <v>#REF!</v>
      </c>
      <c r="O97" s="349"/>
      <c r="P97" s="349"/>
      <c r="Q97" s="349"/>
      <c r="R97" s="349"/>
      <c r="S97" s="349"/>
      <c r="T97" s="349"/>
      <c r="U97" s="349"/>
      <c r="V97" s="349"/>
      <c r="W97" s="349"/>
      <c r="X97" s="349"/>
      <c r="Y97" s="349"/>
      <c r="Z97" s="349"/>
      <c r="AA97" s="349"/>
      <c r="AC97" s="171"/>
      <c r="AE97" s="171"/>
      <c r="AG97" s="171"/>
      <c r="AI97" s="171"/>
      <c r="AK97" s="171"/>
    </row>
    <row r="98" spans="1:37" ht="12.75">
      <c r="A98" s="165">
        <v>34</v>
      </c>
      <c r="B98" s="173">
        <f>B97+1</f>
        <v>2040</v>
      </c>
      <c r="C98" s="171">
        <f>+C97</f>
        <v>2700442</v>
      </c>
      <c r="D98" s="171">
        <f t="shared" si="3"/>
        <v>1201996.8834877</v>
      </c>
      <c r="E98" s="171">
        <f t="shared" si="1"/>
        <v>664339.7587021652</v>
      </c>
      <c r="F98" s="171">
        <f t="shared" si="4"/>
        <v>525414.1369780031</v>
      </c>
      <c r="G98" s="171" t="e">
        <f>'Inputs for Evans Tables'!N27+$G$151+$G$152+$G$153+'Statement D Table 1'!I44</f>
        <v>#REF!</v>
      </c>
      <c r="H98" s="171" t="e">
        <f t="shared" si="5"/>
        <v>#REF!</v>
      </c>
      <c r="I98" s="171">
        <f>F98+SUM('Current Revenue Test'!$F$61,'Current Revenue Test'!$F$63:$F$68)</f>
        <v>454992.736870197</v>
      </c>
      <c r="J98" s="171" t="e">
        <f t="shared" si="6"/>
        <v>#REF!</v>
      </c>
      <c r="K98" s="171">
        <f>+'Revised Evans Table'!K95</f>
        <v>61720.88675</v>
      </c>
      <c r="L98" s="180">
        <f>+'Inputs for Evans Tables'!G27</f>
        <v>695096.1752</v>
      </c>
      <c r="M98" s="180">
        <f>+'Inputs for Evans Tables'!J27</f>
        <v>0</v>
      </c>
      <c r="N98" s="186" t="e">
        <f t="shared" si="7"/>
        <v>#REF!</v>
      </c>
      <c r="P98" s="180"/>
      <c r="Q98" s="180"/>
      <c r="S98" s="171"/>
      <c r="U98" s="171"/>
      <c r="W98" s="171"/>
      <c r="Y98" s="171"/>
      <c r="AA98" s="171"/>
      <c r="AC98" s="171"/>
      <c r="AE98" s="171"/>
      <c r="AG98" s="171"/>
      <c r="AI98" s="171"/>
      <c r="AK98" s="171"/>
    </row>
    <row r="99" spans="1:37" ht="12.75">
      <c r="A99" s="165">
        <v>35</v>
      </c>
      <c r="B99" s="173">
        <f t="shared" si="2"/>
        <v>2041</v>
      </c>
      <c r="C99" s="171">
        <f t="shared" si="8"/>
        <v>2700442</v>
      </c>
      <c r="D99" s="171">
        <f t="shared" si="3"/>
        <v>1201996.8834877</v>
      </c>
      <c r="E99" s="171">
        <f t="shared" si="1"/>
        <v>664339.7587021652</v>
      </c>
      <c r="F99" s="171">
        <f t="shared" si="4"/>
        <v>525414.1369780031</v>
      </c>
      <c r="G99" s="171" t="e">
        <f>'Inputs for Evans Tables'!N28+$G$151+$G$152+$G$153+'Statement D Table 1'!I45</f>
        <v>#REF!</v>
      </c>
      <c r="H99" s="171" t="e">
        <f t="shared" si="5"/>
        <v>#REF!</v>
      </c>
      <c r="I99" s="171">
        <f>F99+SUM('Current Revenue Test'!$F$61,'Current Revenue Test'!$F$63:$F$68)</f>
        <v>454992.736870197</v>
      </c>
      <c r="J99" s="171" t="e">
        <f t="shared" si="6"/>
        <v>#REF!</v>
      </c>
      <c r="K99" s="171">
        <f>+'Revised Evans Table'!K96</f>
        <v>55735.01875</v>
      </c>
      <c r="L99" s="180">
        <f>+'Inputs for Evans Tables'!G28</f>
        <v>648923.1062</v>
      </c>
      <c r="M99" s="180">
        <f>+'Inputs for Evans Tables'!J28</f>
        <v>73659</v>
      </c>
      <c r="N99" s="186" t="e">
        <f t="shared" si="7"/>
        <v>#REF!</v>
      </c>
      <c r="P99" s="180"/>
      <c r="Q99" s="180"/>
      <c r="S99" s="171"/>
      <c r="U99" s="171"/>
      <c r="W99" s="171"/>
      <c r="Y99" s="171"/>
      <c r="AA99" s="171"/>
      <c r="AC99" s="171"/>
      <c r="AE99" s="171"/>
      <c r="AG99" s="171"/>
      <c r="AI99" s="171"/>
      <c r="AK99" s="171"/>
    </row>
    <row r="100" spans="1:37" ht="12.75">
      <c r="A100" s="165">
        <v>36</v>
      </c>
      <c r="B100" s="173">
        <f>B99+1</f>
        <v>2042</v>
      </c>
      <c r="C100" s="171">
        <f t="shared" si="8"/>
        <v>2700442</v>
      </c>
      <c r="D100" s="171">
        <f t="shared" si="3"/>
        <v>1201996.8834877</v>
      </c>
      <c r="E100" s="171">
        <f t="shared" si="1"/>
        <v>664339.7587021652</v>
      </c>
      <c r="F100" s="171">
        <f t="shared" si="4"/>
        <v>525414.1369780031</v>
      </c>
      <c r="G100" s="171" t="e">
        <f>'Inputs for Evans Tables'!N29+$G$151+$G$152+$G$153+'Statement D Table 1'!I46</f>
        <v>#REF!</v>
      </c>
      <c r="H100" s="171" t="e">
        <f t="shared" si="5"/>
        <v>#REF!</v>
      </c>
      <c r="I100" s="171">
        <f>F100+SUM('Current Revenue Test'!$F$61,'Current Revenue Test'!$F$63:$F$68)</f>
        <v>454992.736870197</v>
      </c>
      <c r="J100" s="171" t="e">
        <f t="shared" si="6"/>
        <v>#REF!</v>
      </c>
      <c r="K100" s="171">
        <f>+'Revised Evans Table'!K97</f>
        <v>56376.94</v>
      </c>
      <c r="L100" s="180">
        <f>+'Inputs for Evans Tables'!G29</f>
        <v>526290.8092</v>
      </c>
      <c r="M100" s="180">
        <f>+'Inputs for Evans Tables'!J29</f>
        <v>0</v>
      </c>
      <c r="N100" s="186" t="e">
        <f t="shared" si="7"/>
        <v>#REF!</v>
      </c>
      <c r="P100" s="180"/>
      <c r="Q100" s="180"/>
      <c r="S100" s="171"/>
      <c r="U100" s="171"/>
      <c r="W100" s="171"/>
      <c r="Y100" s="171"/>
      <c r="AA100" s="171"/>
      <c r="AC100" s="171"/>
      <c r="AE100" s="171"/>
      <c r="AG100" s="171"/>
      <c r="AI100" s="171"/>
      <c r="AK100" s="171"/>
    </row>
    <row r="101" spans="1:37" ht="12.75">
      <c r="A101" s="165">
        <v>37</v>
      </c>
      <c r="B101" s="173">
        <f t="shared" si="2"/>
        <v>2043</v>
      </c>
      <c r="C101" s="171">
        <f t="shared" si="8"/>
        <v>2700442</v>
      </c>
      <c r="D101" s="171">
        <f t="shared" si="3"/>
        <v>1201996.8834877</v>
      </c>
      <c r="E101" s="171">
        <f t="shared" si="1"/>
        <v>664339.7587021652</v>
      </c>
      <c r="F101" s="171">
        <f t="shared" si="4"/>
        <v>525414.1369780031</v>
      </c>
      <c r="G101" s="171" t="e">
        <f>'Inputs for Evans Tables'!N30+$G$151+$G$152+$G$153+'Statement D Table 1'!I47</f>
        <v>#REF!</v>
      </c>
      <c r="H101" s="171" t="e">
        <f t="shared" si="5"/>
        <v>#REF!</v>
      </c>
      <c r="I101" s="171">
        <f>F101+SUM('Current Revenue Test'!$F$61,'Current Revenue Test'!$F$63:$F$68)</f>
        <v>454992.736870197</v>
      </c>
      <c r="J101" s="171" t="e">
        <f t="shared" si="6"/>
        <v>#REF!</v>
      </c>
      <c r="K101" s="171">
        <f>+'Revised Evans Table'!K98</f>
        <v>57046.64725</v>
      </c>
      <c r="L101" s="180">
        <f>+'Inputs for Evans Tables'!G30</f>
        <v>213149.8324</v>
      </c>
      <c r="M101" s="180">
        <f>+'Inputs for Evans Tables'!J30</f>
        <v>0</v>
      </c>
      <c r="N101" s="186" t="e">
        <f t="shared" si="7"/>
        <v>#REF!</v>
      </c>
      <c r="P101" s="180"/>
      <c r="Q101" s="180"/>
      <c r="S101" s="171"/>
      <c r="U101" s="171"/>
      <c r="W101" s="171"/>
      <c r="Y101" s="171"/>
      <c r="AA101" s="171"/>
      <c r="AC101" s="171"/>
      <c r="AE101" s="171"/>
      <c r="AG101" s="171"/>
      <c r="AI101" s="171"/>
      <c r="AK101" s="171"/>
    </row>
    <row r="102" spans="1:37" ht="12.75">
      <c r="A102" s="165">
        <v>38</v>
      </c>
      <c r="B102" s="173">
        <f t="shared" si="2"/>
        <v>2044</v>
      </c>
      <c r="C102" s="171">
        <f t="shared" si="8"/>
        <v>2700442</v>
      </c>
      <c r="D102" s="171">
        <f t="shared" si="3"/>
        <v>1201996.8834877</v>
      </c>
      <c r="E102" s="171">
        <f t="shared" si="1"/>
        <v>664339.7587021652</v>
      </c>
      <c r="F102" s="171">
        <f t="shared" si="4"/>
        <v>525414.1369780031</v>
      </c>
      <c r="G102" s="171" t="e">
        <f>'Inputs for Evans Tables'!N31+$G$151+$G$152+$G$153+'Statement D Table 1'!I48</f>
        <v>#REF!</v>
      </c>
      <c r="H102" s="171" t="e">
        <f t="shared" si="5"/>
        <v>#REF!</v>
      </c>
      <c r="I102" s="171">
        <f>F102+SUM('Current Revenue Test'!$F$61,'Current Revenue Test'!$F$63:$F$68)</f>
        <v>454992.736870197</v>
      </c>
      <c r="J102" s="171" t="e">
        <f t="shared" si="6"/>
        <v>#REF!</v>
      </c>
      <c r="K102" s="171">
        <f>+'Revised Evans Table'!K99</f>
        <v>166138.59775</v>
      </c>
      <c r="L102" s="180">
        <f>+'Inputs for Evans Tables'!G31</f>
        <v>213149.8324</v>
      </c>
      <c r="M102" s="180">
        <f>+'Inputs for Evans Tables'!J31</f>
        <v>0</v>
      </c>
      <c r="N102" s="186" t="e">
        <f t="shared" si="7"/>
        <v>#REF!</v>
      </c>
      <c r="P102" s="180"/>
      <c r="Q102" s="180"/>
      <c r="S102" s="171"/>
      <c r="U102" s="171"/>
      <c r="W102" s="171"/>
      <c r="Y102" s="171"/>
      <c r="AA102" s="171"/>
      <c r="AC102" s="171"/>
      <c r="AE102" s="171"/>
      <c r="AG102" s="171"/>
      <c r="AI102" s="171"/>
      <c r="AK102" s="171"/>
    </row>
    <row r="103" spans="1:37" ht="12.75">
      <c r="A103" s="165">
        <v>39</v>
      </c>
      <c r="B103" s="173">
        <f t="shared" si="2"/>
        <v>2045</v>
      </c>
      <c r="C103" s="171">
        <f t="shared" si="8"/>
        <v>2700442</v>
      </c>
      <c r="D103" s="171">
        <f t="shared" si="3"/>
        <v>1201996.8834877</v>
      </c>
      <c r="E103" s="171">
        <f t="shared" si="1"/>
        <v>664339.7587021652</v>
      </c>
      <c r="F103" s="171">
        <f t="shared" si="4"/>
        <v>525414.1369780031</v>
      </c>
      <c r="G103" s="171" t="e">
        <f>'Inputs for Evans Tables'!N32+$G$151+$G$152+$G$153+'Statement D Table 1'!I49</f>
        <v>#REF!</v>
      </c>
      <c r="H103" s="171" t="e">
        <f t="shared" si="5"/>
        <v>#REF!</v>
      </c>
      <c r="I103" s="171">
        <f>F103+SUM('Current Revenue Test'!$F$61,'Current Revenue Test'!$F$63:$F$68)</f>
        <v>454992.736870197</v>
      </c>
      <c r="J103" s="171" t="e">
        <f t="shared" si="6"/>
        <v>#REF!</v>
      </c>
      <c r="K103" s="171">
        <f>+'Revised Evans Table'!K100</f>
        <v>489036.0925</v>
      </c>
      <c r="L103" s="180">
        <f>+'Inputs for Evans Tables'!G32</f>
        <v>213149.8324</v>
      </c>
      <c r="M103" s="180">
        <f>+'Inputs for Evans Tables'!J32</f>
        <v>11586.122</v>
      </c>
      <c r="N103" s="186" t="e">
        <f t="shared" si="7"/>
        <v>#REF!</v>
      </c>
      <c r="P103" s="180"/>
      <c r="Q103" s="180"/>
      <c r="S103" s="171"/>
      <c r="U103" s="171"/>
      <c r="W103" s="171"/>
      <c r="Y103" s="171"/>
      <c r="AA103" s="171"/>
      <c r="AC103" s="171"/>
      <c r="AE103" s="171"/>
      <c r="AG103" s="171"/>
      <c r="AI103" s="171"/>
      <c r="AK103" s="171"/>
    </row>
    <row r="104" spans="1:37" ht="12.75">
      <c r="A104" s="165">
        <v>40</v>
      </c>
      <c r="B104" s="173">
        <f t="shared" si="2"/>
        <v>2046</v>
      </c>
      <c r="C104" s="171">
        <f t="shared" si="8"/>
        <v>2700442</v>
      </c>
      <c r="D104" s="171">
        <f t="shared" si="3"/>
        <v>1201996.8834877</v>
      </c>
      <c r="E104" s="171">
        <f t="shared" si="1"/>
        <v>664339.7587021652</v>
      </c>
      <c r="F104" s="171">
        <f t="shared" si="4"/>
        <v>525414.1369780031</v>
      </c>
      <c r="G104" s="171" t="e">
        <f>'Inputs for Evans Tables'!N33+$G$151+$G$152+$G$153+'Statement D Table 1'!I50</f>
        <v>#REF!</v>
      </c>
      <c r="H104" s="171" t="e">
        <f t="shared" si="5"/>
        <v>#REF!</v>
      </c>
      <c r="I104" s="171">
        <f>F104+SUM('Current Revenue Test'!$F$61,'Current Revenue Test'!$F$63:$F$68)</f>
        <v>454992.736870197</v>
      </c>
      <c r="J104" s="171" t="e">
        <f t="shared" si="6"/>
        <v>#REF!</v>
      </c>
      <c r="K104" s="171">
        <f>+'Revised Evans Table'!K101</f>
        <v>489035.1625</v>
      </c>
      <c r="L104" s="180">
        <f>+'Inputs for Evans Tables'!G33</f>
        <v>213149.8324</v>
      </c>
      <c r="M104" s="180">
        <f>+'Inputs for Evans Tables'!J33</f>
        <v>0</v>
      </c>
      <c r="N104" s="186" t="e">
        <f t="shared" si="7"/>
        <v>#REF!</v>
      </c>
      <c r="P104" s="180"/>
      <c r="Q104" s="180"/>
      <c r="S104" s="171"/>
      <c r="U104" s="171"/>
      <c r="W104" s="171"/>
      <c r="Y104" s="171"/>
      <c r="AA104" s="171"/>
      <c r="AC104" s="171"/>
      <c r="AE104" s="171"/>
      <c r="AG104" s="171"/>
      <c r="AI104" s="171"/>
      <c r="AK104" s="171"/>
    </row>
    <row r="105" spans="1:37" ht="12.75">
      <c r="A105" s="165">
        <v>41</v>
      </c>
      <c r="B105" s="173">
        <f>B104+1</f>
        <v>2047</v>
      </c>
      <c r="C105" s="171">
        <f t="shared" si="8"/>
        <v>2700442</v>
      </c>
      <c r="D105" s="171">
        <f t="shared" si="3"/>
        <v>1201996.8834877</v>
      </c>
      <c r="E105" s="171">
        <f t="shared" si="1"/>
        <v>664339.7587021652</v>
      </c>
      <c r="F105" s="171">
        <f t="shared" si="4"/>
        <v>525414.1369780031</v>
      </c>
      <c r="G105" s="171" t="e">
        <f>'Inputs for Evans Tables'!N34+$G$151+$G$152+$G$153+'Statement D Table 1'!I51</f>
        <v>#REF!</v>
      </c>
      <c r="H105" s="171" t="e">
        <f t="shared" si="5"/>
        <v>#REF!</v>
      </c>
      <c r="I105" s="171">
        <f>F105+SUM('Current Revenue Test'!$F$61,'Current Revenue Test'!$F$63:$F$68)</f>
        <v>454992.736870197</v>
      </c>
      <c r="J105" s="171" t="e">
        <f t="shared" si="6"/>
        <v>#REF!</v>
      </c>
      <c r="K105" s="171">
        <f>+'Revised Evans Table'!K102</f>
        <v>489037.305</v>
      </c>
      <c r="L105" s="180">
        <f>+'Inputs for Evans Tables'!G34</f>
        <v>213149.8324</v>
      </c>
      <c r="M105" s="180">
        <f>+'Inputs for Evans Tables'!J34</f>
        <v>0</v>
      </c>
      <c r="N105" s="186" t="e">
        <f t="shared" si="7"/>
        <v>#REF!</v>
      </c>
      <c r="P105" s="180"/>
      <c r="Q105" s="180"/>
      <c r="S105" s="171"/>
      <c r="U105" s="171"/>
      <c r="W105" s="171"/>
      <c r="Y105" s="171"/>
      <c r="AA105" s="171"/>
      <c r="AC105" s="171"/>
      <c r="AE105" s="171"/>
      <c r="AG105" s="171"/>
      <c r="AI105" s="171"/>
      <c r="AK105" s="171"/>
    </row>
    <row r="106" spans="1:37" ht="12.75">
      <c r="A106" s="165">
        <v>42</v>
      </c>
      <c r="B106" s="173">
        <f t="shared" si="2"/>
        <v>2048</v>
      </c>
      <c r="C106" s="171">
        <f t="shared" si="8"/>
        <v>2700442</v>
      </c>
      <c r="D106" s="171">
        <f t="shared" si="3"/>
        <v>1201996.8834877</v>
      </c>
      <c r="E106" s="171">
        <f t="shared" si="1"/>
        <v>664339.7587021652</v>
      </c>
      <c r="F106" s="171">
        <f t="shared" si="4"/>
        <v>525414.1369780031</v>
      </c>
      <c r="G106" s="171" t="e">
        <f>'Inputs for Evans Tables'!N35+$G$151+$G$152+$G$153+'Statement D Table 1'!I52</f>
        <v>#REF!</v>
      </c>
      <c r="H106" s="171" t="e">
        <f t="shared" si="5"/>
        <v>#REF!</v>
      </c>
      <c r="I106" s="171">
        <f>F106+SUM('Current Revenue Test'!$F$61,'Current Revenue Test'!$F$63:$F$68)</f>
        <v>454992.736870197</v>
      </c>
      <c r="J106" s="171" t="e">
        <f t="shared" si="6"/>
        <v>#REF!</v>
      </c>
      <c r="K106" s="171">
        <f>+'Revised Evans Table'!K103</f>
        <v>489035.14</v>
      </c>
      <c r="L106" s="180">
        <f>+'Inputs for Evans Tables'!G35</f>
        <v>213149.8324</v>
      </c>
      <c r="M106" s="180">
        <f>+'Inputs for Evans Tables'!J35</f>
        <v>0</v>
      </c>
      <c r="N106" s="186" t="e">
        <f t="shared" si="7"/>
        <v>#REF!</v>
      </c>
      <c r="P106" s="180"/>
      <c r="Q106" s="180"/>
      <c r="S106" s="171"/>
      <c r="U106" s="171"/>
      <c r="W106" s="171"/>
      <c r="Y106" s="171"/>
      <c r="AA106" s="171"/>
      <c r="AC106" s="171"/>
      <c r="AE106" s="171"/>
      <c r="AG106" s="171"/>
      <c r="AI106" s="171"/>
      <c r="AK106" s="171"/>
    </row>
    <row r="107" spans="1:37" ht="12.75">
      <c r="A107" s="165">
        <v>43</v>
      </c>
      <c r="B107" s="173">
        <f t="shared" si="2"/>
        <v>2049</v>
      </c>
      <c r="C107" s="171">
        <f t="shared" si="8"/>
        <v>2700442</v>
      </c>
      <c r="D107" s="171">
        <f t="shared" si="3"/>
        <v>1201996.8834877</v>
      </c>
      <c r="E107" s="171">
        <f t="shared" si="1"/>
        <v>664339.7587021652</v>
      </c>
      <c r="F107" s="171">
        <f t="shared" si="4"/>
        <v>525414.1369780031</v>
      </c>
      <c r="G107" s="171" t="e">
        <f>'Inputs for Evans Tables'!N36+$G$151+$G$152+$G$153+'Statement D Table 1'!I53</f>
        <v>#REF!</v>
      </c>
      <c r="H107" s="171" t="e">
        <f t="shared" si="5"/>
        <v>#REF!</v>
      </c>
      <c r="I107" s="171">
        <f>F107+SUM('Current Revenue Test'!$F$61,'Current Revenue Test'!$F$63:$F$68)</f>
        <v>454992.736870197</v>
      </c>
      <c r="J107" s="171" t="e">
        <f t="shared" si="6"/>
        <v>#REF!</v>
      </c>
      <c r="K107" s="171">
        <f>+'Revised Evans Table'!K104</f>
        <v>489035.925</v>
      </c>
      <c r="L107" s="180">
        <f>+'Inputs for Evans Tables'!G36</f>
        <v>213149.8324</v>
      </c>
      <c r="M107" s="180">
        <f>+'Inputs for Evans Tables'!J36</f>
        <v>0</v>
      </c>
      <c r="N107" s="186" t="e">
        <f t="shared" si="7"/>
        <v>#REF!</v>
      </c>
      <c r="P107" s="180"/>
      <c r="Q107" s="180"/>
      <c r="S107" s="171"/>
      <c r="U107" s="171"/>
      <c r="W107" s="171"/>
      <c r="Y107" s="171"/>
      <c r="AA107" s="171"/>
      <c r="AC107" s="171"/>
      <c r="AE107" s="171"/>
      <c r="AG107" s="171"/>
      <c r="AI107" s="171"/>
      <c r="AK107" s="171"/>
    </row>
    <row r="108" spans="1:37" ht="12.75">
      <c r="A108" s="165">
        <v>44</v>
      </c>
      <c r="B108" s="173">
        <f t="shared" si="2"/>
        <v>2050</v>
      </c>
      <c r="C108" s="171">
        <f t="shared" si="8"/>
        <v>2700442</v>
      </c>
      <c r="D108" s="171">
        <f t="shared" si="3"/>
        <v>1201996.8834877</v>
      </c>
      <c r="E108" s="171">
        <f t="shared" si="1"/>
        <v>664339.7587021652</v>
      </c>
      <c r="F108" s="171">
        <f t="shared" si="4"/>
        <v>525414.1369780031</v>
      </c>
      <c r="G108" s="171" t="e">
        <f>'Inputs for Evans Tables'!N37+$G$151+$G$152+$G$153+'Statement D Table 1'!I54</f>
        <v>#REF!</v>
      </c>
      <c r="H108" s="171" t="e">
        <f t="shared" si="5"/>
        <v>#REF!</v>
      </c>
      <c r="I108" s="171">
        <f>F108+SUM('Current Revenue Test'!$F$61,'Current Revenue Test'!$F$63:$F$68)</f>
        <v>454992.736870197</v>
      </c>
      <c r="J108" s="171" t="e">
        <f t="shared" si="6"/>
        <v>#REF!</v>
      </c>
      <c r="K108" s="171">
        <f>+'Revised Evans Table'!K105</f>
        <v>489035.685</v>
      </c>
      <c r="L108" s="180">
        <f>+'Inputs for Evans Tables'!G37</f>
        <v>213149.8324</v>
      </c>
      <c r="M108" s="180">
        <f>+'Inputs for Evans Tables'!J37</f>
        <v>0</v>
      </c>
      <c r="N108" s="186" t="e">
        <f t="shared" si="7"/>
        <v>#REF!</v>
      </c>
      <c r="P108" s="180"/>
      <c r="Q108" s="180"/>
      <c r="S108" s="171"/>
      <c r="U108" s="171"/>
      <c r="W108" s="171"/>
      <c r="Y108" s="171"/>
      <c r="AA108" s="171"/>
      <c r="AC108" s="171"/>
      <c r="AE108" s="171"/>
      <c r="AG108" s="171"/>
      <c r="AI108" s="171"/>
      <c r="AK108" s="171"/>
    </row>
    <row r="109" spans="1:37" ht="12.75">
      <c r="A109" s="165">
        <v>45</v>
      </c>
      <c r="B109" s="173">
        <f t="shared" si="2"/>
        <v>2051</v>
      </c>
      <c r="C109" s="171">
        <f t="shared" si="8"/>
        <v>2700442</v>
      </c>
      <c r="D109" s="171">
        <f t="shared" si="3"/>
        <v>1201996.8834877</v>
      </c>
      <c r="E109" s="171">
        <f t="shared" si="1"/>
        <v>664339.7587021652</v>
      </c>
      <c r="F109" s="171">
        <f t="shared" si="4"/>
        <v>525414.1369780031</v>
      </c>
      <c r="G109" s="171" t="e">
        <f>'Inputs for Evans Tables'!N38+$G$151+$G$152+$G$153+'Statement D Table 1'!I55</f>
        <v>#REF!</v>
      </c>
      <c r="H109" s="171" t="e">
        <f t="shared" si="5"/>
        <v>#REF!</v>
      </c>
      <c r="I109" s="171">
        <f>F109+SUM('Current Revenue Test'!$F$61,'Current Revenue Test'!$F$63:$F$68)</f>
        <v>454992.736870197</v>
      </c>
      <c r="J109" s="171" t="e">
        <f t="shared" si="6"/>
        <v>#REF!</v>
      </c>
      <c r="K109" s="171">
        <f>+'Revised Evans Table'!K106</f>
        <v>489034.7925</v>
      </c>
      <c r="L109" s="180">
        <f>+'Inputs for Evans Tables'!G38</f>
        <v>213149.8324</v>
      </c>
      <c r="M109" s="180">
        <f>+'Inputs for Evans Tables'!J38</f>
        <v>0</v>
      </c>
      <c r="N109" s="186" t="e">
        <f t="shared" si="7"/>
        <v>#REF!</v>
      </c>
      <c r="P109" s="180"/>
      <c r="Q109" s="180"/>
      <c r="S109" s="171"/>
      <c r="U109" s="171"/>
      <c r="W109" s="171"/>
      <c r="Y109" s="171"/>
      <c r="AA109" s="171"/>
      <c r="AC109" s="171"/>
      <c r="AE109" s="171"/>
      <c r="AG109" s="171"/>
      <c r="AI109" s="171"/>
      <c r="AK109" s="171"/>
    </row>
    <row r="110" spans="1:37" ht="12.75">
      <c r="A110" s="165">
        <v>46</v>
      </c>
      <c r="B110" s="173">
        <f>B109+1</f>
        <v>2052</v>
      </c>
      <c r="C110" s="171">
        <f t="shared" si="8"/>
        <v>2700442</v>
      </c>
      <c r="D110" s="171">
        <f t="shared" si="3"/>
        <v>1201996.8834877</v>
      </c>
      <c r="E110" s="171">
        <f t="shared" si="1"/>
        <v>664339.7587021652</v>
      </c>
      <c r="F110" s="171">
        <f t="shared" si="4"/>
        <v>525414.1369780031</v>
      </c>
      <c r="G110" s="171" t="e">
        <f>'Inputs for Evans Tables'!N39+$G$151+$G$152+$G$153+'Statement D Table 1'!I56</f>
        <v>#REF!</v>
      </c>
      <c r="H110" s="171" t="e">
        <f t="shared" si="5"/>
        <v>#REF!</v>
      </c>
      <c r="I110" s="171">
        <f>F110+SUM('Current Revenue Test'!$F$61,'Current Revenue Test'!$F$63:$F$68)</f>
        <v>454992.736870197</v>
      </c>
      <c r="J110" s="171" t="e">
        <f t="shared" si="6"/>
        <v>#REF!</v>
      </c>
      <c r="K110" s="171">
        <f>+'Revised Evans Table'!K107</f>
        <v>489035.1775</v>
      </c>
      <c r="L110" s="180">
        <f>+'Inputs for Evans Tables'!G39</f>
        <v>213149.8324</v>
      </c>
      <c r="M110" s="180">
        <f>+'Inputs for Evans Tables'!J39</f>
        <v>0</v>
      </c>
      <c r="N110" s="186" t="e">
        <f t="shared" si="7"/>
        <v>#REF!</v>
      </c>
      <c r="P110" s="180"/>
      <c r="Q110" s="180"/>
      <c r="S110" s="171"/>
      <c r="U110" s="171"/>
      <c r="W110" s="171"/>
      <c r="Y110" s="171"/>
      <c r="AA110" s="171"/>
      <c r="AC110" s="171"/>
      <c r="AE110" s="171"/>
      <c r="AG110" s="171"/>
      <c r="AI110" s="171"/>
      <c r="AK110" s="171"/>
    </row>
    <row r="111" spans="1:37" ht="12.75">
      <c r="A111" s="165">
        <v>47</v>
      </c>
      <c r="B111" s="173">
        <f t="shared" si="2"/>
        <v>2053</v>
      </c>
      <c r="C111" s="171">
        <f t="shared" si="8"/>
        <v>2700442</v>
      </c>
      <c r="D111" s="171">
        <f t="shared" si="3"/>
        <v>1201996.8834877</v>
      </c>
      <c r="E111" s="171">
        <f t="shared" si="1"/>
        <v>664339.7587021652</v>
      </c>
      <c r="F111" s="171">
        <f t="shared" si="4"/>
        <v>525414.1369780031</v>
      </c>
      <c r="G111" s="171" t="e">
        <f>'Inputs for Evans Tables'!N40+$G$151+$G$152+$G$153+'Statement D Table 1'!I57</f>
        <v>#REF!</v>
      </c>
      <c r="H111" s="171" t="e">
        <f t="shared" si="5"/>
        <v>#REF!</v>
      </c>
      <c r="I111" s="171">
        <f>F111+SUM('Current Revenue Test'!$F$61,'Current Revenue Test'!$F$63:$F$68)</f>
        <v>454992.736870197</v>
      </c>
      <c r="J111" s="171" t="e">
        <f t="shared" si="6"/>
        <v>#REF!</v>
      </c>
      <c r="K111" s="171">
        <f>+'Revised Evans Table'!K108</f>
        <v>489035.1825</v>
      </c>
      <c r="L111" s="180">
        <f>+'Inputs for Evans Tables'!G40</f>
        <v>213149.8324</v>
      </c>
      <c r="M111" s="180">
        <f>+'Inputs for Evans Tables'!J40</f>
        <v>0</v>
      </c>
      <c r="N111" s="186" t="e">
        <f t="shared" si="7"/>
        <v>#REF!</v>
      </c>
      <c r="P111" s="180"/>
      <c r="Q111" s="180"/>
      <c r="S111" s="171"/>
      <c r="U111" s="171"/>
      <c r="W111" s="171"/>
      <c r="Y111" s="171"/>
      <c r="AA111" s="171"/>
      <c r="AC111" s="171"/>
      <c r="AE111" s="171"/>
      <c r="AG111" s="171"/>
      <c r="AI111" s="171"/>
      <c r="AK111" s="171"/>
    </row>
    <row r="112" spans="1:37" ht="12.75">
      <c r="A112" s="165">
        <v>48</v>
      </c>
      <c r="B112" s="173">
        <f t="shared" si="2"/>
        <v>2054</v>
      </c>
      <c r="C112" s="171">
        <f t="shared" si="8"/>
        <v>2700442</v>
      </c>
      <c r="D112" s="171">
        <f t="shared" si="3"/>
        <v>1201996.8834877</v>
      </c>
      <c r="E112" s="171">
        <f aca="true" t="shared" si="9" ref="E112:E129">+$E$151</f>
        <v>664339.7587021652</v>
      </c>
      <c r="F112" s="171">
        <f t="shared" si="4"/>
        <v>525414.1369780031</v>
      </c>
      <c r="G112" s="171" t="e">
        <f>'Inputs for Evans Tables'!N41+$G$151+$G$152+$G$153+'Statement D Table 1'!I58</f>
        <v>#REF!</v>
      </c>
      <c r="H112" s="171" t="e">
        <f aca="true" t="shared" si="10" ref="H112:H129">C112-D112-E112-F112-G112</f>
        <v>#REF!</v>
      </c>
      <c r="I112" s="171">
        <f>F112+SUM('Current Revenue Test'!$F$61,'Current Revenue Test'!$F$63:$F$68)</f>
        <v>454992.736870197</v>
      </c>
      <c r="J112" s="171" t="e">
        <f t="shared" si="6"/>
        <v>#REF!</v>
      </c>
      <c r="K112" s="171">
        <f>+'Revised Evans Table'!K109</f>
        <v>489035.9575</v>
      </c>
      <c r="L112" s="180">
        <f>+'Inputs for Evans Tables'!G41</f>
        <v>213149.8324</v>
      </c>
      <c r="M112" s="180">
        <f>+'Inputs for Evans Tables'!J41</f>
        <v>0</v>
      </c>
      <c r="N112" s="186" t="e">
        <f t="shared" si="7"/>
        <v>#REF!</v>
      </c>
      <c r="P112" s="180"/>
      <c r="Q112" s="180"/>
      <c r="S112" s="171"/>
      <c r="U112" s="171"/>
      <c r="W112" s="171"/>
      <c r="Y112" s="171"/>
      <c r="AA112" s="171"/>
      <c r="AC112" s="171"/>
      <c r="AE112" s="171"/>
      <c r="AG112" s="171"/>
      <c r="AI112" s="171"/>
      <c r="AK112" s="171"/>
    </row>
    <row r="113" spans="1:37" ht="12.75">
      <c r="A113" s="165">
        <v>49</v>
      </c>
      <c r="B113" s="173">
        <f t="shared" si="2"/>
        <v>2055</v>
      </c>
      <c r="C113" s="171">
        <f t="shared" si="8"/>
        <v>2700442</v>
      </c>
      <c r="D113" s="171">
        <f t="shared" si="3"/>
        <v>1201996.8834877</v>
      </c>
      <c r="E113" s="171">
        <f t="shared" si="9"/>
        <v>664339.7587021652</v>
      </c>
      <c r="F113" s="171">
        <f t="shared" si="4"/>
        <v>525414.1369780031</v>
      </c>
      <c r="G113" s="171" t="e">
        <f>'Inputs for Evans Tables'!N42+$G$151+$G$152+$G$153+'Statement D Table 1'!I59</f>
        <v>#REF!</v>
      </c>
      <c r="H113" s="171" t="e">
        <f t="shared" si="10"/>
        <v>#REF!</v>
      </c>
      <c r="I113" s="171">
        <f>F113+SUM('Current Revenue Test'!$F$61,'Current Revenue Test'!$F$63:$F$68)</f>
        <v>454992.736870197</v>
      </c>
      <c r="J113" s="171" t="e">
        <f t="shared" si="6"/>
        <v>#REF!</v>
      </c>
      <c r="K113" s="171">
        <f>+'Revised Evans Table'!K110</f>
        <v>489036.2425</v>
      </c>
      <c r="L113" s="180">
        <f>+'Inputs for Evans Tables'!G42</f>
        <v>213149.8324</v>
      </c>
      <c r="M113" s="180">
        <f>+'Inputs for Evans Tables'!J42</f>
        <v>0</v>
      </c>
      <c r="N113" s="186" t="e">
        <f t="shared" si="7"/>
        <v>#REF!</v>
      </c>
      <c r="P113" s="180"/>
      <c r="Q113" s="180"/>
      <c r="S113" s="171"/>
      <c r="U113" s="171"/>
      <c r="W113" s="171"/>
      <c r="Y113" s="171"/>
      <c r="AA113" s="171"/>
      <c r="AC113" s="171"/>
      <c r="AE113" s="171"/>
      <c r="AG113" s="171"/>
      <c r="AI113" s="171"/>
      <c r="AK113" s="171"/>
    </row>
    <row r="114" spans="1:37" ht="12.75">
      <c r="A114" s="165">
        <v>50</v>
      </c>
      <c r="B114" s="173">
        <f t="shared" si="2"/>
        <v>2056</v>
      </c>
      <c r="C114" s="171">
        <f t="shared" si="8"/>
        <v>2700442</v>
      </c>
      <c r="D114" s="171">
        <f t="shared" si="3"/>
        <v>1201996.8834877</v>
      </c>
      <c r="E114" s="171">
        <f t="shared" si="9"/>
        <v>664339.7587021652</v>
      </c>
      <c r="F114" s="171">
        <f t="shared" si="4"/>
        <v>525414.1369780031</v>
      </c>
      <c r="G114" s="171" t="e">
        <f>'Inputs for Evans Tables'!N43+$G$151+$G$152+$G$153+'Statement D Table 1'!I60</f>
        <v>#REF!</v>
      </c>
      <c r="H114" s="171" t="e">
        <f t="shared" si="10"/>
        <v>#REF!</v>
      </c>
      <c r="I114" s="171">
        <f>F114+SUM('Current Revenue Test'!$F$61,'Current Revenue Test'!$F$63:$F$68)</f>
        <v>454992.736870197</v>
      </c>
      <c r="J114" s="171" t="e">
        <f t="shared" si="6"/>
        <v>#REF!</v>
      </c>
      <c r="K114" s="171">
        <f>+'Revised Evans Table'!K111</f>
        <v>489033.69</v>
      </c>
      <c r="L114" s="180">
        <f>+'Inputs for Evans Tables'!G43</f>
        <v>213149.8324</v>
      </c>
      <c r="M114" s="180">
        <f>+'Inputs for Evans Tables'!J43</f>
        <v>0</v>
      </c>
      <c r="N114" s="186" t="e">
        <f t="shared" si="7"/>
        <v>#REF!</v>
      </c>
      <c r="P114" s="180"/>
      <c r="Q114" s="180"/>
      <c r="S114" s="171"/>
      <c r="U114" s="171"/>
      <c r="W114" s="171"/>
      <c r="Y114" s="171"/>
      <c r="AA114" s="171"/>
      <c r="AC114" s="171"/>
      <c r="AE114" s="171"/>
      <c r="AG114" s="171"/>
      <c r="AI114" s="171"/>
      <c r="AK114" s="171"/>
    </row>
    <row r="115" spans="1:37" ht="12" customHeight="1">
      <c r="A115" s="165">
        <v>51</v>
      </c>
      <c r="B115" s="173">
        <f>B114+1</f>
        <v>2057</v>
      </c>
      <c r="C115" s="171">
        <f t="shared" si="8"/>
        <v>2700442</v>
      </c>
      <c r="D115" s="171">
        <f t="shared" si="3"/>
        <v>1201996.8834877</v>
      </c>
      <c r="E115" s="171">
        <f t="shared" si="9"/>
        <v>664339.7587021652</v>
      </c>
      <c r="F115" s="171">
        <f t="shared" si="4"/>
        <v>525414.1369780031</v>
      </c>
      <c r="G115" s="171" t="e">
        <f>'Inputs for Evans Tables'!N44+$G$151+$G$152+$G$153+'Statement D Table 1'!I61</f>
        <v>#REF!</v>
      </c>
      <c r="H115" s="171" t="e">
        <f t="shared" si="10"/>
        <v>#REF!</v>
      </c>
      <c r="I115" s="171">
        <f>F115+SUM('Current Revenue Test'!$F$61,'Current Revenue Test'!$F$63:$F$68)</f>
        <v>454992.736870197</v>
      </c>
      <c r="J115" s="171" t="e">
        <f t="shared" si="6"/>
        <v>#REF!</v>
      </c>
      <c r="K115" s="171">
        <f>+'Revised Evans Table'!K112</f>
        <v>489033.615</v>
      </c>
      <c r="L115" s="180">
        <f>+'Inputs for Evans Tables'!G44</f>
        <v>213149.8324</v>
      </c>
      <c r="M115" s="180">
        <f>+'Inputs for Evans Tables'!J44</f>
        <v>0</v>
      </c>
      <c r="N115" s="186" t="e">
        <f t="shared" si="7"/>
        <v>#REF!</v>
      </c>
      <c r="P115" s="180"/>
      <c r="Q115" s="180"/>
      <c r="S115" s="171"/>
      <c r="U115" s="171"/>
      <c r="W115" s="171"/>
      <c r="Y115" s="171"/>
      <c r="AA115" s="171"/>
      <c r="AC115" s="171"/>
      <c r="AE115" s="171"/>
      <c r="AG115" s="171"/>
      <c r="AI115" s="171"/>
      <c r="AK115" s="171"/>
    </row>
    <row r="116" spans="1:37" ht="12" customHeight="1">
      <c r="A116" s="165">
        <v>52</v>
      </c>
      <c r="B116" s="173">
        <f t="shared" si="2"/>
        <v>2058</v>
      </c>
      <c r="C116" s="171">
        <f t="shared" si="8"/>
        <v>2700442</v>
      </c>
      <c r="D116" s="171">
        <f t="shared" si="3"/>
        <v>1201996.8834877</v>
      </c>
      <c r="E116" s="171">
        <f t="shared" si="9"/>
        <v>664339.7587021652</v>
      </c>
      <c r="F116" s="171">
        <f t="shared" si="4"/>
        <v>525414.1369780031</v>
      </c>
      <c r="G116" s="171" t="e">
        <f>'Inputs for Evans Tables'!N45+$G$151+$G$152+$G$153+'Statement D Table 1'!I62</f>
        <v>#REF!</v>
      </c>
      <c r="H116" s="171" t="e">
        <f t="shared" si="10"/>
        <v>#REF!</v>
      </c>
      <c r="I116" s="171">
        <f>F116+SUM('Current Revenue Test'!$F$61,'Current Revenue Test'!$F$63:$F$68)</f>
        <v>454992.736870197</v>
      </c>
      <c r="J116" s="171" t="e">
        <f t="shared" si="6"/>
        <v>#REF!</v>
      </c>
      <c r="K116" s="171">
        <f>+'Revised Evans Table'!K113</f>
        <v>489034.7375</v>
      </c>
      <c r="L116" s="180">
        <f>+'Inputs for Evans Tables'!G45</f>
        <v>213149.8324</v>
      </c>
      <c r="M116" s="180">
        <f>+'Inputs for Evans Tables'!J45</f>
        <v>0</v>
      </c>
      <c r="N116" s="186" t="e">
        <f t="shared" si="7"/>
        <v>#REF!</v>
      </c>
      <c r="P116" s="180"/>
      <c r="Q116" s="180"/>
      <c r="S116" s="171"/>
      <c r="U116" s="171"/>
      <c r="W116" s="171"/>
      <c r="Y116" s="171"/>
      <c r="AA116" s="171"/>
      <c r="AC116" s="171"/>
      <c r="AE116" s="171"/>
      <c r="AG116" s="171"/>
      <c r="AI116" s="171"/>
      <c r="AK116" s="171"/>
    </row>
    <row r="117" spans="1:37" ht="12.75">
      <c r="A117" s="165">
        <v>53</v>
      </c>
      <c r="B117" s="173">
        <f t="shared" si="2"/>
        <v>2059</v>
      </c>
      <c r="C117" s="171">
        <f t="shared" si="8"/>
        <v>2700442</v>
      </c>
      <c r="D117" s="171">
        <f t="shared" si="3"/>
        <v>1201996.8834877</v>
      </c>
      <c r="E117" s="171">
        <f t="shared" si="9"/>
        <v>664339.7587021652</v>
      </c>
      <c r="F117" s="171">
        <f t="shared" si="4"/>
        <v>525414.1369780031</v>
      </c>
      <c r="G117" s="171" t="e">
        <f>'Inputs for Evans Tables'!N46+$G$151+$G$152+$G$153+'Statement D Table 1'!I63</f>
        <v>#REF!</v>
      </c>
      <c r="H117" s="171" t="e">
        <f t="shared" si="10"/>
        <v>#REF!</v>
      </c>
      <c r="I117" s="171">
        <f>F117+SUM('Current Revenue Test'!$F$61,'Current Revenue Test'!$F$63:$F$68)</f>
        <v>454992.736870197</v>
      </c>
      <c r="J117" s="171" t="e">
        <f t="shared" si="6"/>
        <v>#REF!</v>
      </c>
      <c r="K117" s="171">
        <f>+'Revised Evans Table'!K114</f>
        <v>489038.2225</v>
      </c>
      <c r="L117" s="180">
        <f>+'Inputs for Evans Tables'!G46</f>
        <v>213149.8324</v>
      </c>
      <c r="M117" s="180">
        <f>+'Inputs for Evans Tables'!J46</f>
        <v>0</v>
      </c>
      <c r="N117" s="186" t="e">
        <f t="shared" si="7"/>
        <v>#REF!</v>
      </c>
      <c r="P117" s="180"/>
      <c r="Q117" s="180"/>
      <c r="S117" s="171"/>
      <c r="U117" s="171"/>
      <c r="W117" s="171"/>
      <c r="Y117" s="171"/>
      <c r="AA117" s="171"/>
      <c r="AC117" s="171"/>
      <c r="AE117" s="171"/>
      <c r="AG117" s="171"/>
      <c r="AI117" s="171"/>
      <c r="AK117" s="171"/>
    </row>
    <row r="118" spans="1:37" ht="12.75">
      <c r="A118" s="165">
        <v>54</v>
      </c>
      <c r="B118" s="173">
        <f t="shared" si="2"/>
        <v>2060</v>
      </c>
      <c r="C118" s="171">
        <f t="shared" si="8"/>
        <v>2700442</v>
      </c>
      <c r="D118" s="171">
        <f t="shared" si="3"/>
        <v>1201996.8834877</v>
      </c>
      <c r="E118" s="171">
        <f t="shared" si="9"/>
        <v>664339.7587021652</v>
      </c>
      <c r="F118" s="171">
        <f t="shared" si="4"/>
        <v>525414.1369780031</v>
      </c>
      <c r="G118" s="171" t="e">
        <f>'Inputs for Evans Tables'!N47+$G$151+$G$152+$G$153+'Statement D Table 1'!I64</f>
        <v>#REF!</v>
      </c>
      <c r="H118" s="171" t="e">
        <f t="shared" si="10"/>
        <v>#REF!</v>
      </c>
      <c r="I118" s="171">
        <f>F118+SUM('Current Revenue Test'!$F$61,'Current Revenue Test'!$F$63:$F$68)</f>
        <v>454992.736870197</v>
      </c>
      <c r="J118" s="171" t="e">
        <f t="shared" si="6"/>
        <v>#REF!</v>
      </c>
      <c r="K118" s="171">
        <f>+'Revised Evans Table'!K115</f>
        <v>489037.4625</v>
      </c>
      <c r="L118" s="180">
        <f>+'Inputs for Evans Tables'!G47</f>
        <v>213149.8324</v>
      </c>
      <c r="M118" s="180">
        <f>+'Inputs for Evans Tables'!J47</f>
        <v>0</v>
      </c>
      <c r="N118" s="186" t="e">
        <f t="shared" si="7"/>
        <v>#REF!</v>
      </c>
      <c r="P118" s="180"/>
      <c r="Q118" s="180"/>
      <c r="S118" s="171"/>
      <c r="U118" s="171"/>
      <c r="W118" s="171"/>
      <c r="Y118" s="171"/>
      <c r="AA118" s="171"/>
      <c r="AC118" s="171"/>
      <c r="AE118" s="171"/>
      <c r="AG118" s="171"/>
      <c r="AI118" s="171"/>
      <c r="AK118" s="171"/>
    </row>
    <row r="119" spans="1:37" ht="12.75">
      <c r="A119" s="165">
        <v>55</v>
      </c>
      <c r="B119" s="173">
        <f t="shared" si="2"/>
        <v>2061</v>
      </c>
      <c r="C119" s="171">
        <f t="shared" si="8"/>
        <v>2700442</v>
      </c>
      <c r="D119" s="171">
        <f t="shared" si="3"/>
        <v>1201996.8834877</v>
      </c>
      <c r="E119" s="171">
        <f t="shared" si="9"/>
        <v>664339.7587021652</v>
      </c>
      <c r="F119" s="171">
        <f t="shared" si="4"/>
        <v>525414.1369780031</v>
      </c>
      <c r="G119" s="171" t="e">
        <f>'Inputs for Evans Tables'!N48+$G$151+$G$152+$G$153+'Statement D Table 1'!I65</f>
        <v>#REF!</v>
      </c>
      <c r="H119" s="171" t="e">
        <f t="shared" si="10"/>
        <v>#REF!</v>
      </c>
      <c r="I119" s="171">
        <f>F119+SUM('Current Revenue Test'!$F$61,'Current Revenue Test'!$F$63:$F$68)</f>
        <v>454992.736870197</v>
      </c>
      <c r="J119" s="171" t="e">
        <f t="shared" si="6"/>
        <v>#REF!</v>
      </c>
      <c r="K119" s="171">
        <f>+'Revised Evans Table'!K116</f>
        <v>489037.19</v>
      </c>
      <c r="L119" s="180">
        <f>+'Inputs for Evans Tables'!G48</f>
        <v>213149.8324</v>
      </c>
      <c r="M119" s="180">
        <f>+'Inputs for Evans Tables'!J48</f>
        <v>0</v>
      </c>
      <c r="N119" s="186" t="e">
        <f t="shared" si="7"/>
        <v>#REF!</v>
      </c>
      <c r="P119" s="180"/>
      <c r="Q119" s="180"/>
      <c r="S119" s="171"/>
      <c r="U119" s="171"/>
      <c r="W119" s="171"/>
      <c r="Y119" s="171"/>
      <c r="AA119" s="171"/>
      <c r="AC119" s="171"/>
      <c r="AE119" s="171"/>
      <c r="AG119" s="171"/>
      <c r="AI119" s="171"/>
      <c r="AK119" s="171"/>
    </row>
    <row r="120" spans="1:37" ht="12.75">
      <c r="A120" s="165">
        <v>56</v>
      </c>
      <c r="B120" s="173">
        <f>B119+1</f>
        <v>2062</v>
      </c>
      <c r="C120" s="171">
        <f t="shared" si="8"/>
        <v>2700442</v>
      </c>
      <c r="D120" s="171">
        <f t="shared" si="3"/>
        <v>1201996.8834877</v>
      </c>
      <c r="E120" s="171">
        <f t="shared" si="9"/>
        <v>664339.7587021652</v>
      </c>
      <c r="F120" s="171">
        <f t="shared" si="4"/>
        <v>525414.1369780031</v>
      </c>
      <c r="G120" s="171" t="e">
        <f>'Inputs for Evans Tables'!N49+$G$151+$G$152+$G$153+'Statement D Table 1'!I66</f>
        <v>#REF!</v>
      </c>
      <c r="H120" s="171" t="e">
        <f t="shared" si="10"/>
        <v>#REF!</v>
      </c>
      <c r="I120" s="171">
        <f>F120+SUM('Current Revenue Test'!$F$61,'Current Revenue Test'!$F$63:$F$68)</f>
        <v>454992.736870197</v>
      </c>
      <c r="J120" s="171" t="e">
        <f t="shared" si="6"/>
        <v>#REF!</v>
      </c>
      <c r="K120" s="171">
        <f>+'Revised Evans Table'!K117</f>
        <v>489035.2525</v>
      </c>
      <c r="L120" s="180">
        <f>+'Inputs for Evans Tables'!G49</f>
        <v>213149.8324</v>
      </c>
      <c r="M120" s="180">
        <f>+'Inputs for Evans Tables'!J49</f>
        <v>0</v>
      </c>
      <c r="N120" s="186" t="e">
        <f t="shared" si="7"/>
        <v>#REF!</v>
      </c>
      <c r="P120" s="180"/>
      <c r="Q120" s="180"/>
      <c r="S120" s="171"/>
      <c r="U120" s="171"/>
      <c r="W120" s="171"/>
      <c r="Y120" s="171"/>
      <c r="AA120" s="171"/>
      <c r="AC120" s="171"/>
      <c r="AE120" s="171"/>
      <c r="AG120" s="171"/>
      <c r="AI120" s="171"/>
      <c r="AK120" s="171"/>
    </row>
    <row r="121" spans="1:37" ht="12.75">
      <c r="A121" s="165">
        <v>57</v>
      </c>
      <c r="B121" s="173">
        <f t="shared" si="2"/>
        <v>2063</v>
      </c>
      <c r="C121" s="171">
        <f t="shared" si="8"/>
        <v>2700442</v>
      </c>
      <c r="D121" s="171">
        <f t="shared" si="3"/>
        <v>1201996.8834877</v>
      </c>
      <c r="E121" s="171">
        <f t="shared" si="9"/>
        <v>664339.7587021652</v>
      </c>
      <c r="F121" s="171">
        <f t="shared" si="4"/>
        <v>525414.1369780031</v>
      </c>
      <c r="G121" s="171" t="e">
        <f>'Inputs for Evans Tables'!N50+$G$151+$G$152+$G$153+'Statement D Table 1'!I67</f>
        <v>#REF!</v>
      </c>
      <c r="H121" s="171" t="e">
        <f t="shared" si="10"/>
        <v>#REF!</v>
      </c>
      <c r="I121" s="171">
        <f>F121+SUM('Current Revenue Test'!$F$61,'Current Revenue Test'!$F$63:$F$68)</f>
        <v>454992.736870197</v>
      </c>
      <c r="J121" s="171" t="e">
        <f t="shared" si="6"/>
        <v>#REF!</v>
      </c>
      <c r="K121" s="171">
        <f>+'Revised Evans Table'!K118</f>
        <v>489035.4025</v>
      </c>
      <c r="L121" s="180">
        <f>+'Inputs for Evans Tables'!G50</f>
        <v>213149.8324</v>
      </c>
      <c r="M121" s="180">
        <f>+'Inputs for Evans Tables'!J50</f>
        <v>0</v>
      </c>
      <c r="N121" s="186" t="e">
        <f t="shared" si="7"/>
        <v>#REF!</v>
      </c>
      <c r="P121" s="180"/>
      <c r="Q121" s="180"/>
      <c r="S121" s="171"/>
      <c r="U121" s="171"/>
      <c r="W121" s="171"/>
      <c r="Y121" s="171"/>
      <c r="AA121" s="171"/>
      <c r="AC121" s="171"/>
      <c r="AE121" s="171"/>
      <c r="AG121" s="171"/>
      <c r="AI121" s="171"/>
      <c r="AK121" s="171"/>
    </row>
    <row r="122" spans="1:37" ht="12.75">
      <c r="A122" s="165">
        <v>58</v>
      </c>
      <c r="B122" s="173">
        <f t="shared" si="2"/>
        <v>2064</v>
      </c>
      <c r="C122" s="171">
        <f t="shared" si="8"/>
        <v>2700442</v>
      </c>
      <c r="D122" s="171">
        <f t="shared" si="3"/>
        <v>1201996.8834877</v>
      </c>
      <c r="E122" s="171">
        <f t="shared" si="9"/>
        <v>664339.7587021652</v>
      </c>
      <c r="F122" s="171">
        <f t="shared" si="4"/>
        <v>525414.1369780031</v>
      </c>
      <c r="G122" s="171" t="e">
        <f>'Inputs for Evans Tables'!N51+$G$151+$G$152+$G$153+'Statement D Table 1'!I68</f>
        <v>#REF!</v>
      </c>
      <c r="H122" s="171" t="e">
        <f t="shared" si="10"/>
        <v>#REF!</v>
      </c>
      <c r="I122" s="171">
        <f>F122+SUM('Current Revenue Test'!$F$61,'Current Revenue Test'!$F$63:$F$68)</f>
        <v>454992.736870197</v>
      </c>
      <c r="J122" s="171" t="e">
        <f t="shared" si="6"/>
        <v>#REF!</v>
      </c>
      <c r="K122" s="171">
        <f>+'Revised Evans Table'!K119</f>
        <v>489036.8625</v>
      </c>
      <c r="L122" s="180">
        <f>+'Inputs for Evans Tables'!G51</f>
        <v>213149.8324</v>
      </c>
      <c r="M122" s="180">
        <f>+'Inputs for Evans Tables'!J51</f>
        <v>0</v>
      </c>
      <c r="N122" s="186" t="e">
        <f t="shared" si="7"/>
        <v>#REF!</v>
      </c>
      <c r="P122" s="180"/>
      <c r="Q122" s="180"/>
      <c r="S122" s="171"/>
      <c r="U122" s="171"/>
      <c r="W122" s="171"/>
      <c r="Y122" s="171"/>
      <c r="AA122" s="171"/>
      <c r="AC122" s="171"/>
      <c r="AE122" s="171"/>
      <c r="AG122" s="171"/>
      <c r="AI122" s="171"/>
      <c r="AK122" s="171"/>
    </row>
    <row r="123" spans="1:37" ht="12.75">
      <c r="A123" s="165">
        <v>59</v>
      </c>
      <c r="B123" s="173">
        <f t="shared" si="2"/>
        <v>2065</v>
      </c>
      <c r="C123" s="171">
        <f t="shared" si="8"/>
        <v>2700442</v>
      </c>
      <c r="D123" s="171">
        <f t="shared" si="3"/>
        <v>1201996.8834877</v>
      </c>
      <c r="E123" s="171">
        <f t="shared" si="9"/>
        <v>664339.7587021652</v>
      </c>
      <c r="F123" s="171">
        <f t="shared" si="4"/>
        <v>525414.1369780031</v>
      </c>
      <c r="G123" s="171" t="e">
        <f>'Inputs for Evans Tables'!N52+$G$151+$G$152+$G$153+'Statement D Table 1'!I69</f>
        <v>#REF!</v>
      </c>
      <c r="H123" s="171" t="e">
        <f t="shared" si="10"/>
        <v>#REF!</v>
      </c>
      <c r="I123" s="171">
        <f>F123+SUM('Current Revenue Test'!$F$61,'Current Revenue Test'!$F$63:$F$68)</f>
        <v>454992.736870197</v>
      </c>
      <c r="J123" s="171" t="e">
        <f t="shared" si="6"/>
        <v>#REF!</v>
      </c>
      <c r="K123" s="171">
        <f>+'Revised Evans Table'!K120</f>
        <v>489034.47</v>
      </c>
      <c r="L123" s="180">
        <f>+'Inputs for Evans Tables'!G52</f>
        <v>213149.8324</v>
      </c>
      <c r="M123" s="180">
        <f>+'Inputs for Evans Tables'!J52</f>
        <v>0</v>
      </c>
      <c r="N123" s="186" t="e">
        <f t="shared" si="7"/>
        <v>#REF!</v>
      </c>
      <c r="P123" s="180"/>
      <c r="Q123" s="180"/>
      <c r="S123" s="171"/>
      <c r="U123" s="171"/>
      <c r="W123" s="171"/>
      <c r="Y123" s="171"/>
      <c r="AA123" s="171"/>
      <c r="AC123" s="171"/>
      <c r="AE123" s="171"/>
      <c r="AG123" s="171"/>
      <c r="AI123" s="171"/>
      <c r="AK123" s="171"/>
    </row>
    <row r="124" spans="1:37" ht="12.75">
      <c r="A124" s="165">
        <v>60</v>
      </c>
      <c r="B124" s="173">
        <f t="shared" si="2"/>
        <v>2066</v>
      </c>
      <c r="C124" s="171">
        <f t="shared" si="8"/>
        <v>2700442</v>
      </c>
      <c r="D124" s="171">
        <f t="shared" si="3"/>
        <v>1201996.8834877</v>
      </c>
      <c r="E124" s="171">
        <f t="shared" si="9"/>
        <v>664339.7587021652</v>
      </c>
      <c r="F124" s="171">
        <f t="shared" si="4"/>
        <v>525414.1369780031</v>
      </c>
      <c r="G124" s="171" t="e">
        <f>'Inputs for Evans Tables'!N53+$G$151+$G$152+$G$153+'Statement D Table 1'!I70</f>
        <v>#REF!</v>
      </c>
      <c r="H124" s="171" t="e">
        <f t="shared" si="10"/>
        <v>#REF!</v>
      </c>
      <c r="I124" s="171">
        <f>F124+SUM('Current Revenue Test'!$F$61,'Current Revenue Test'!$F$63:$F$68)</f>
        <v>454992.736870197</v>
      </c>
      <c r="J124" s="171" t="e">
        <f t="shared" si="6"/>
        <v>#REF!</v>
      </c>
      <c r="K124" s="171">
        <f>+'Revised Evans Table'!K121</f>
        <v>489035.0725</v>
      </c>
      <c r="L124" s="180">
        <f>+'Inputs for Evans Tables'!G53</f>
        <v>213149.8324</v>
      </c>
      <c r="M124" s="180">
        <f>+'Inputs for Evans Tables'!J53</f>
        <v>0</v>
      </c>
      <c r="N124" s="186" t="e">
        <f t="shared" si="7"/>
        <v>#REF!</v>
      </c>
      <c r="P124" s="180"/>
      <c r="Q124" s="180"/>
      <c r="S124" s="171"/>
      <c r="U124" s="171"/>
      <c r="W124" s="171"/>
      <c r="Y124" s="171"/>
      <c r="AA124" s="171"/>
      <c r="AC124" s="171"/>
      <c r="AE124" s="171"/>
      <c r="AG124" s="171"/>
      <c r="AI124" s="171"/>
      <c r="AK124" s="171"/>
    </row>
    <row r="125" spans="1:37" ht="12.75">
      <c r="A125" s="165">
        <v>61</v>
      </c>
      <c r="B125" s="173">
        <f>B124+1</f>
        <v>2067</v>
      </c>
      <c r="C125" s="171">
        <f t="shared" si="8"/>
        <v>2700442</v>
      </c>
      <c r="D125" s="171">
        <f t="shared" si="3"/>
        <v>1201996.8834877</v>
      </c>
      <c r="E125" s="171">
        <f t="shared" si="9"/>
        <v>664339.7587021652</v>
      </c>
      <c r="F125" s="171">
        <f t="shared" si="4"/>
        <v>525414.1369780031</v>
      </c>
      <c r="G125" s="171" t="e">
        <f>'Inputs for Evans Tables'!N54+$G$151+$G$152+$G$153+'Statement D Table 1'!I71</f>
        <v>#REF!</v>
      </c>
      <c r="H125" s="171" t="e">
        <f t="shared" si="10"/>
        <v>#REF!</v>
      </c>
      <c r="I125" s="171">
        <f>F125+SUM('Current Revenue Test'!$F$61,'Current Revenue Test'!$F$63:$F$68)</f>
        <v>454992.736870197</v>
      </c>
      <c r="J125" s="171" t="e">
        <f t="shared" si="6"/>
        <v>#REF!</v>
      </c>
      <c r="K125" s="171">
        <f>+'Revised Evans Table'!K122</f>
        <v>489036.73</v>
      </c>
      <c r="L125" s="180">
        <f>+'Inputs for Evans Tables'!G54</f>
        <v>213149.8324</v>
      </c>
      <c r="M125" s="180">
        <f>+'Inputs for Evans Tables'!J54</f>
        <v>0</v>
      </c>
      <c r="N125" s="186" t="e">
        <f t="shared" si="7"/>
        <v>#REF!</v>
      </c>
      <c r="P125" s="180"/>
      <c r="Q125" s="180"/>
      <c r="S125" s="171"/>
      <c r="U125" s="171"/>
      <c r="W125" s="171"/>
      <c r="Y125" s="171"/>
      <c r="AA125" s="171"/>
      <c r="AC125" s="171"/>
      <c r="AE125" s="171"/>
      <c r="AG125" s="171"/>
      <c r="AI125" s="171"/>
      <c r="AK125" s="171"/>
    </row>
    <row r="126" spans="1:37" ht="12.75">
      <c r="A126" s="165">
        <v>62</v>
      </c>
      <c r="B126" s="173">
        <f t="shared" si="2"/>
        <v>2068</v>
      </c>
      <c r="C126" s="171">
        <f t="shared" si="8"/>
        <v>2700442</v>
      </c>
      <c r="D126" s="171">
        <f t="shared" si="3"/>
        <v>1201996.8834877</v>
      </c>
      <c r="E126" s="171">
        <f t="shared" si="9"/>
        <v>664339.7587021652</v>
      </c>
      <c r="F126" s="171">
        <f t="shared" si="4"/>
        <v>525414.1369780031</v>
      </c>
      <c r="G126" s="171" t="e">
        <f>'Inputs for Evans Tables'!N55+$G$151+$G$152+$G$153+'Statement D Table 1'!I72</f>
        <v>#REF!</v>
      </c>
      <c r="H126" s="171" t="e">
        <f t="shared" si="10"/>
        <v>#REF!</v>
      </c>
      <c r="I126" s="171">
        <f>F126+SUM('Current Revenue Test'!$F$61,'Current Revenue Test'!$F$63:$F$68)</f>
        <v>454992.736870197</v>
      </c>
      <c r="J126" s="171" t="e">
        <f t="shared" si="6"/>
        <v>#REF!</v>
      </c>
      <c r="K126" s="171">
        <f>+'Revised Evans Table'!K123</f>
        <v>489034.0775</v>
      </c>
      <c r="L126" s="180">
        <f>+'Inputs for Evans Tables'!G55</f>
        <v>213149.8324</v>
      </c>
      <c r="M126" s="180">
        <f>+'Inputs for Evans Tables'!J55</f>
        <v>0</v>
      </c>
      <c r="N126" s="186" t="e">
        <f t="shared" si="7"/>
        <v>#REF!</v>
      </c>
      <c r="P126" s="180"/>
      <c r="Q126" s="180"/>
      <c r="S126" s="171"/>
      <c r="U126" s="171"/>
      <c r="W126" s="171"/>
      <c r="Y126" s="171"/>
      <c r="AA126" s="171"/>
      <c r="AC126" s="171"/>
      <c r="AE126" s="171"/>
      <c r="AG126" s="171"/>
      <c r="AI126" s="171"/>
      <c r="AK126" s="171"/>
    </row>
    <row r="127" spans="1:37" ht="12.75">
      <c r="A127" s="165">
        <v>63</v>
      </c>
      <c r="B127" s="173">
        <f t="shared" si="2"/>
        <v>2069</v>
      </c>
      <c r="C127" s="171">
        <f t="shared" si="8"/>
        <v>2700442</v>
      </c>
      <c r="D127" s="171">
        <f t="shared" si="3"/>
        <v>1201996.8834877</v>
      </c>
      <c r="E127" s="171">
        <f t="shared" si="9"/>
        <v>664339.7587021652</v>
      </c>
      <c r="F127" s="171">
        <f t="shared" si="4"/>
        <v>525414.1369780031</v>
      </c>
      <c r="G127" s="171" t="e">
        <f>'Inputs for Evans Tables'!N56+$G$151+$G$152+$G$153+'Statement D Table 1'!I73</f>
        <v>#REF!</v>
      </c>
      <c r="H127" s="171" t="e">
        <f t="shared" si="10"/>
        <v>#REF!</v>
      </c>
      <c r="I127" s="171">
        <f>F127+SUM('Current Revenue Test'!$F$61,'Current Revenue Test'!$F$63:$F$68)</f>
        <v>454992.736870197</v>
      </c>
      <c r="J127" s="171" t="e">
        <f t="shared" si="6"/>
        <v>#REF!</v>
      </c>
      <c r="K127" s="171">
        <f>+'Revised Evans Table'!K124</f>
        <v>489034.6475</v>
      </c>
      <c r="L127" s="180">
        <f>+'Inputs for Evans Tables'!G56</f>
        <v>213149.8324</v>
      </c>
      <c r="M127" s="180">
        <f>+'Inputs for Evans Tables'!J56</f>
        <v>0</v>
      </c>
      <c r="N127" s="186" t="e">
        <f t="shared" si="7"/>
        <v>#REF!</v>
      </c>
      <c r="P127" s="180"/>
      <c r="Q127" s="180"/>
      <c r="S127" s="171"/>
      <c r="U127" s="171"/>
      <c r="W127" s="171"/>
      <c r="Y127" s="171"/>
      <c r="AA127" s="171"/>
      <c r="AC127" s="171"/>
      <c r="AE127" s="171"/>
      <c r="AG127" s="171"/>
      <c r="AI127" s="171"/>
      <c r="AK127" s="171"/>
    </row>
    <row r="128" spans="1:37" ht="12.75">
      <c r="A128" s="165">
        <v>64</v>
      </c>
      <c r="B128" s="173">
        <f t="shared" si="2"/>
        <v>2070</v>
      </c>
      <c r="C128" s="171">
        <f t="shared" si="8"/>
        <v>2700442</v>
      </c>
      <c r="D128" s="171">
        <f t="shared" si="3"/>
        <v>1201996.8834877</v>
      </c>
      <c r="E128" s="171">
        <f t="shared" si="9"/>
        <v>664339.7587021652</v>
      </c>
      <c r="F128" s="171">
        <f t="shared" si="4"/>
        <v>525414.1369780031</v>
      </c>
      <c r="G128" s="171" t="e">
        <f>'Inputs for Evans Tables'!N57+$G$151+$G$152+$G$153+'Statement D Table 1'!I74</f>
        <v>#REF!</v>
      </c>
      <c r="H128" s="171" t="e">
        <f t="shared" si="10"/>
        <v>#REF!</v>
      </c>
      <c r="I128" s="171">
        <f>F128+SUM('Current Revenue Test'!$F$61,'Current Revenue Test'!$F$63:$F$68)</f>
        <v>454992.736870197</v>
      </c>
      <c r="J128" s="171" t="e">
        <f t="shared" si="6"/>
        <v>#REF!</v>
      </c>
      <c r="K128" s="171">
        <f>+'Revised Evans Table'!K125</f>
        <v>489034.25</v>
      </c>
      <c r="L128" s="180">
        <f>+'Inputs for Evans Tables'!G57</f>
        <v>213149.8324</v>
      </c>
      <c r="M128" s="180">
        <f>+'Inputs for Evans Tables'!J57</f>
        <v>0</v>
      </c>
      <c r="N128" s="186" t="e">
        <f t="shared" si="7"/>
        <v>#REF!</v>
      </c>
      <c r="P128" s="180"/>
      <c r="Q128" s="180"/>
      <c r="S128" s="171"/>
      <c r="U128" s="171"/>
      <c r="W128" s="171"/>
      <c r="Y128" s="171"/>
      <c r="AA128" s="171"/>
      <c r="AC128" s="171"/>
      <c r="AE128" s="171"/>
      <c r="AG128" s="171"/>
      <c r="AI128" s="171"/>
      <c r="AK128" s="171"/>
    </row>
    <row r="129" spans="1:37" ht="12.75">
      <c r="A129" s="165">
        <v>65</v>
      </c>
      <c r="B129" s="173">
        <f t="shared" si="2"/>
        <v>2071</v>
      </c>
      <c r="C129" s="171">
        <f t="shared" si="8"/>
        <v>2700442</v>
      </c>
      <c r="D129" s="171">
        <f t="shared" si="3"/>
        <v>1201996.8834877</v>
      </c>
      <c r="E129" s="171">
        <f t="shared" si="9"/>
        <v>664339.7587021652</v>
      </c>
      <c r="F129" s="171">
        <f t="shared" si="4"/>
        <v>525414.1369780031</v>
      </c>
      <c r="G129" s="171" t="e">
        <f>'Inputs for Evans Tables'!N58+$G$151+$G$152+$G$153+'Statement D Table 1'!I75</f>
        <v>#REF!</v>
      </c>
      <c r="H129" s="171" t="e">
        <f t="shared" si="10"/>
        <v>#REF!</v>
      </c>
      <c r="I129" s="171">
        <f>F129+SUM('Current Revenue Test'!$F$61,'Current Revenue Test'!$F$63:$F$68)</f>
        <v>454992.736870197</v>
      </c>
      <c r="J129" s="171" t="e">
        <f t="shared" si="6"/>
        <v>#REF!</v>
      </c>
      <c r="K129" s="171">
        <f>+'Revised Evans Table'!K126</f>
        <v>489034.98</v>
      </c>
      <c r="L129" s="180">
        <f>+'Inputs for Evans Tables'!G58</f>
        <v>213149.8324</v>
      </c>
      <c r="M129" s="180">
        <f>+'Inputs for Evans Tables'!J58</f>
        <v>0</v>
      </c>
      <c r="N129" s="186" t="e">
        <f t="shared" si="7"/>
        <v>#REF!</v>
      </c>
      <c r="P129" s="180"/>
      <c r="Q129" s="180"/>
      <c r="S129" s="171"/>
      <c r="U129" s="171"/>
      <c r="W129" s="171"/>
      <c r="Y129" s="171"/>
      <c r="AA129" s="171"/>
      <c r="AC129" s="171"/>
      <c r="AE129" s="171"/>
      <c r="AG129" s="171"/>
      <c r="AI129" s="171"/>
      <c r="AK129" s="171"/>
    </row>
    <row r="130" spans="1:37" ht="12.75">
      <c r="A130" s="165">
        <v>66</v>
      </c>
      <c r="B130" s="173"/>
      <c r="C130" s="171"/>
      <c r="D130" s="171"/>
      <c r="E130" s="171"/>
      <c r="F130" s="171"/>
      <c r="G130" s="171"/>
      <c r="H130" s="171"/>
      <c r="I130" s="171"/>
      <c r="J130" s="171"/>
      <c r="K130" s="171"/>
      <c r="L130" s="180"/>
      <c r="M130" s="180"/>
      <c r="N130" s="186"/>
      <c r="P130" s="180"/>
      <c r="Q130" s="180"/>
      <c r="S130" s="171"/>
      <c r="U130" s="171"/>
      <c r="W130" s="171"/>
      <c r="Y130" s="171"/>
      <c r="AA130" s="171"/>
      <c r="AC130" s="171"/>
      <c r="AE130" s="171"/>
      <c r="AG130" s="171"/>
      <c r="AI130" s="171"/>
      <c r="AK130" s="171"/>
    </row>
    <row r="131" spans="1:23" ht="12.75">
      <c r="A131" s="165">
        <v>67</v>
      </c>
      <c r="B131" s="170" t="s">
        <v>332</v>
      </c>
      <c r="S131" s="171"/>
      <c r="U131" s="171"/>
      <c r="W131" s="171"/>
    </row>
    <row r="132" spans="1:37" ht="12.75">
      <c r="A132" s="165">
        <v>68</v>
      </c>
      <c r="B132" s="212" t="s">
        <v>486</v>
      </c>
      <c r="C132" s="171">
        <f>SUM(C49:C129)</f>
        <v>325299293.14401</v>
      </c>
      <c r="D132" s="171">
        <f aca="true" t="shared" si="11" ref="D132:N132">SUM(D49:D129)</f>
        <v>106157414.62105234</v>
      </c>
      <c r="E132" s="171">
        <f t="shared" si="11"/>
        <v>143830183.69037667</v>
      </c>
      <c r="F132" s="171">
        <f t="shared" si="11"/>
        <v>39874092.10183322</v>
      </c>
      <c r="G132" s="171" t="e">
        <f t="shared" si="11"/>
        <v>#REF!</v>
      </c>
      <c r="H132" s="171" t="e">
        <f t="shared" si="11"/>
        <v>#REF!</v>
      </c>
      <c r="I132" s="171">
        <f t="shared" si="11"/>
        <v>34246494.266273975</v>
      </c>
      <c r="J132" s="171" t="e">
        <f t="shared" si="11"/>
        <v>#REF!</v>
      </c>
      <c r="K132" s="171">
        <f t="shared" si="11"/>
        <v>18219617.4435</v>
      </c>
      <c r="L132" s="171">
        <f t="shared" si="11"/>
        <v>29022717.968600042</v>
      </c>
      <c r="M132" s="171">
        <f t="shared" si="11"/>
        <v>879096.8580000001</v>
      </c>
      <c r="N132" s="186" t="e">
        <f t="shared" si="11"/>
        <v>#REF!</v>
      </c>
      <c r="P132" s="186"/>
      <c r="Q132" s="186"/>
      <c r="S132" s="171"/>
      <c r="U132" s="171"/>
      <c r="W132" s="171"/>
      <c r="Y132" s="171"/>
      <c r="AA132" s="171"/>
      <c r="AC132" s="171"/>
      <c r="AE132" s="171"/>
      <c r="AG132" s="171"/>
      <c r="AI132" s="171"/>
      <c r="AK132" s="171"/>
    </row>
    <row r="133" spans="1:17" ht="12.75">
      <c r="A133" s="166"/>
      <c r="M133" s="186"/>
      <c r="O133" s="166"/>
      <c r="P133" s="166"/>
      <c r="Q133" s="166"/>
    </row>
    <row r="134" spans="1:17" ht="12.75">
      <c r="A134" s="375" t="s">
        <v>235</v>
      </c>
      <c r="B134" s="178" t="s">
        <v>739</v>
      </c>
      <c r="N134" s="166"/>
      <c r="O134" s="166"/>
      <c r="P134" s="166"/>
      <c r="Q134" s="166"/>
    </row>
    <row r="135" spans="1:17" ht="24.75" customHeight="1">
      <c r="A135" s="375" t="s">
        <v>333</v>
      </c>
      <c r="B135" s="398" t="s">
        <v>740</v>
      </c>
      <c r="C135" s="398"/>
      <c r="D135" s="398"/>
      <c r="E135" s="398"/>
      <c r="F135" s="398"/>
      <c r="G135" s="398"/>
      <c r="H135" s="398"/>
      <c r="I135" s="398"/>
      <c r="J135" s="398"/>
      <c r="K135" s="398"/>
      <c r="L135" s="398"/>
      <c r="M135" s="398"/>
      <c r="N135" s="398"/>
      <c r="O135" s="166"/>
      <c r="P135" s="166"/>
      <c r="Q135" s="166"/>
    </row>
    <row r="136" spans="1:17" ht="12.75">
      <c r="A136" s="375" t="s">
        <v>334</v>
      </c>
      <c r="B136" s="178" t="s">
        <v>741</v>
      </c>
      <c r="N136" s="166"/>
      <c r="O136" s="166"/>
      <c r="P136" s="166"/>
      <c r="Q136" s="166"/>
    </row>
    <row r="137" spans="1:17" ht="12.75">
      <c r="A137" s="166"/>
      <c r="B137" s="178"/>
      <c r="O137" s="166"/>
      <c r="P137" s="166"/>
      <c r="Q137" s="166"/>
    </row>
    <row r="138" ht="12.75">
      <c r="B138" s="178"/>
    </row>
    <row r="139" spans="1:17" ht="12.75">
      <c r="A139" s="166"/>
      <c r="B139" s="178"/>
      <c r="O139" s="166"/>
      <c r="P139" s="166"/>
      <c r="Q139" s="166"/>
    </row>
    <row r="140" ht="12.75">
      <c r="B140" s="178"/>
    </row>
    <row r="145" spans="1:17" ht="12.75">
      <c r="A145" s="166"/>
      <c r="B145" s="169"/>
      <c r="O145" s="166"/>
      <c r="P145" s="166"/>
      <c r="Q145" s="166"/>
    </row>
    <row r="146" spans="1:17" ht="12.75">
      <c r="A146" s="166"/>
      <c r="B146" s="178"/>
      <c r="O146" s="166"/>
      <c r="P146" s="166"/>
      <c r="Q146" s="166"/>
    </row>
    <row r="147" spans="1:17" ht="12.75">
      <c r="A147" s="166"/>
      <c r="B147" s="178"/>
      <c r="O147" s="166"/>
      <c r="P147" s="166"/>
      <c r="Q147" s="166"/>
    </row>
    <row r="151" spans="1:17" ht="12.75">
      <c r="A151" s="166"/>
      <c r="C151" s="178" t="s">
        <v>594</v>
      </c>
      <c r="E151" s="189">
        <f>E77+'Statement E'!R23</f>
        <v>664339.7587021652</v>
      </c>
      <c r="F151" s="170" t="s">
        <v>487</v>
      </c>
      <c r="G151" s="171" t="e">
        <f>-#REF!</f>
        <v>#REF!</v>
      </c>
      <c r="L151" s="166"/>
      <c r="M151" s="166"/>
      <c r="O151" s="166"/>
      <c r="P151" s="166"/>
      <c r="Q151" s="166"/>
    </row>
    <row r="152" spans="1:17" ht="12.75">
      <c r="A152" s="166"/>
      <c r="C152" s="166" t="s">
        <v>488</v>
      </c>
      <c r="F152" s="169" t="s">
        <v>119</v>
      </c>
      <c r="G152" s="166">
        <f>+'Income Statement Cash Flows'!F33</f>
        <v>-16493</v>
      </c>
      <c r="L152" s="166"/>
      <c r="M152" s="166"/>
      <c r="O152" s="166"/>
      <c r="P152" s="166"/>
      <c r="Q152" s="166"/>
    </row>
    <row r="153" spans="1:17" ht="12.75">
      <c r="A153" s="166"/>
      <c r="C153" s="166" t="s">
        <v>489</v>
      </c>
      <c r="F153" s="169" t="s">
        <v>490</v>
      </c>
      <c r="G153" s="166">
        <f>-45937</f>
        <v>-45937</v>
      </c>
      <c r="L153" s="166"/>
      <c r="M153" s="166"/>
      <c r="O153" s="166"/>
      <c r="P153" s="166"/>
      <c r="Q153" s="166"/>
    </row>
    <row r="154" spans="1:17" ht="12.75">
      <c r="A154" s="166"/>
      <c r="C154" s="166" t="s">
        <v>491</v>
      </c>
      <c r="F154" s="169" t="s">
        <v>492</v>
      </c>
      <c r="G154" s="166">
        <f>+'Federal Capital Costs'!E6</f>
        <v>8862.537513691579</v>
      </c>
      <c r="L154" s="166"/>
      <c r="M154" s="166"/>
      <c r="O154" s="166"/>
      <c r="P154" s="166"/>
      <c r="Q154" s="166"/>
    </row>
    <row r="155" spans="1:17" ht="12.75">
      <c r="A155" s="166"/>
      <c r="C155" s="166" t="s">
        <v>493</v>
      </c>
      <c r="L155" s="166"/>
      <c r="M155" s="166"/>
      <c r="O155" s="166"/>
      <c r="P155" s="166"/>
      <c r="Q155" s="166"/>
    </row>
  </sheetData>
  <mergeCells count="6">
    <mergeCell ref="B135:N135"/>
    <mergeCell ref="B2:N2"/>
    <mergeCell ref="B3:N3"/>
    <mergeCell ref="B4:N4"/>
    <mergeCell ref="B5:N5"/>
    <mergeCell ref="B6:N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G148"/>
  <sheetViews>
    <sheetView workbookViewId="0" topLeftCell="A76">
      <selection activeCell="E67" sqref="E67"/>
    </sheetView>
  </sheetViews>
  <sheetFormatPr defaultColWidth="9.140625" defaultRowHeight="12.75"/>
  <cols>
    <col min="1" max="1" width="3.7109375" style="214" customWidth="1"/>
    <col min="2" max="2" width="4.421875" style="214" customWidth="1"/>
    <col min="3" max="3" width="4.28125" style="214" customWidth="1"/>
    <col min="4" max="4" width="58.7109375" style="214" customWidth="1"/>
    <col min="5" max="5" width="11.28125" style="214" customWidth="1"/>
    <col min="6" max="6" width="11.00390625" style="214" customWidth="1"/>
    <col min="7" max="7" width="10.421875" style="214" customWidth="1"/>
    <col min="8" max="9" width="9.140625" style="181" customWidth="1"/>
    <col min="10" max="242" width="9.140625" style="214" customWidth="1"/>
    <col min="243" max="243" width="3.7109375" style="214" customWidth="1"/>
    <col min="244" max="244" width="4.421875" style="214" customWidth="1"/>
    <col min="245" max="245" width="4.28125" style="214" customWidth="1"/>
    <col min="246" max="246" width="58.7109375" style="214" customWidth="1"/>
    <col min="247" max="247" width="11.28125" style="214" customWidth="1"/>
    <col min="248" max="248" width="10.00390625" style="214" customWidth="1"/>
    <col min="249" max="249" width="10.421875" style="214" customWidth="1"/>
    <col min="250" max="250" width="9.7109375" style="214" bestFit="1" customWidth="1"/>
    <col min="251" max="251" width="9.57421875" style="214" customWidth="1"/>
    <col min="252" max="252" width="9.140625" style="214" customWidth="1"/>
    <col min="253" max="256" width="9.7109375" style="214" bestFit="1" customWidth="1"/>
    <col min="257" max="498" width="9.140625" style="214" customWidth="1"/>
    <col min="499" max="499" width="3.7109375" style="214" customWidth="1"/>
    <col min="500" max="500" width="4.421875" style="214" customWidth="1"/>
    <col min="501" max="501" width="4.28125" style="214" customWidth="1"/>
    <col min="502" max="502" width="58.7109375" style="214" customWidth="1"/>
    <col min="503" max="503" width="11.28125" style="214" customWidth="1"/>
    <col min="504" max="504" width="10.00390625" style="214" customWidth="1"/>
    <col min="505" max="505" width="10.421875" style="214" customWidth="1"/>
    <col min="506" max="506" width="9.7109375" style="214" bestFit="1" customWidth="1"/>
    <col min="507" max="507" width="9.57421875" style="214" customWidth="1"/>
    <col min="508" max="508" width="9.140625" style="214" customWidth="1"/>
    <col min="509" max="512" width="9.7109375" style="214" bestFit="1" customWidth="1"/>
    <col min="513" max="754" width="9.140625" style="214" customWidth="1"/>
    <col min="755" max="755" width="3.7109375" style="214" customWidth="1"/>
    <col min="756" max="756" width="4.421875" style="214" customWidth="1"/>
    <col min="757" max="757" width="4.28125" style="214" customWidth="1"/>
    <col min="758" max="758" width="58.7109375" style="214" customWidth="1"/>
    <col min="759" max="759" width="11.28125" style="214" customWidth="1"/>
    <col min="760" max="760" width="10.00390625" style="214" customWidth="1"/>
    <col min="761" max="761" width="10.421875" style="214" customWidth="1"/>
    <col min="762" max="762" width="9.7109375" style="214" bestFit="1" customWidth="1"/>
    <col min="763" max="763" width="9.57421875" style="214" customWidth="1"/>
    <col min="764" max="764" width="9.140625" style="214" customWidth="1"/>
    <col min="765" max="768" width="9.7109375" style="214" bestFit="1" customWidth="1"/>
    <col min="769" max="1010" width="9.140625" style="214" customWidth="1"/>
    <col min="1011" max="1011" width="3.7109375" style="214" customWidth="1"/>
    <col min="1012" max="1012" width="4.421875" style="214" customWidth="1"/>
    <col min="1013" max="1013" width="4.28125" style="214" customWidth="1"/>
    <col min="1014" max="1014" width="58.7109375" style="214" customWidth="1"/>
    <col min="1015" max="1015" width="11.28125" style="214" customWidth="1"/>
    <col min="1016" max="1016" width="10.00390625" style="214" customWidth="1"/>
    <col min="1017" max="1017" width="10.421875" style="214" customWidth="1"/>
    <col min="1018" max="1018" width="9.7109375" style="214" bestFit="1" customWidth="1"/>
    <col min="1019" max="1019" width="9.57421875" style="214" customWidth="1"/>
    <col min="1020" max="1020" width="9.140625" style="214" customWidth="1"/>
    <col min="1021" max="1024" width="9.7109375" style="214" bestFit="1" customWidth="1"/>
    <col min="1025" max="1266" width="9.140625" style="214" customWidth="1"/>
    <col min="1267" max="1267" width="3.7109375" style="214" customWidth="1"/>
    <col min="1268" max="1268" width="4.421875" style="214" customWidth="1"/>
    <col min="1269" max="1269" width="4.28125" style="214" customWidth="1"/>
    <col min="1270" max="1270" width="58.7109375" style="214" customWidth="1"/>
    <col min="1271" max="1271" width="11.28125" style="214" customWidth="1"/>
    <col min="1272" max="1272" width="10.00390625" style="214" customWidth="1"/>
    <col min="1273" max="1273" width="10.421875" style="214" customWidth="1"/>
    <col min="1274" max="1274" width="9.7109375" style="214" bestFit="1" customWidth="1"/>
    <col min="1275" max="1275" width="9.57421875" style="214" customWidth="1"/>
    <col min="1276" max="1276" width="9.140625" style="214" customWidth="1"/>
    <col min="1277" max="1280" width="9.7109375" style="214" bestFit="1" customWidth="1"/>
    <col min="1281" max="1522" width="9.140625" style="214" customWidth="1"/>
    <col min="1523" max="1523" width="3.7109375" style="214" customWidth="1"/>
    <col min="1524" max="1524" width="4.421875" style="214" customWidth="1"/>
    <col min="1525" max="1525" width="4.28125" style="214" customWidth="1"/>
    <col min="1526" max="1526" width="58.7109375" style="214" customWidth="1"/>
    <col min="1527" max="1527" width="11.28125" style="214" customWidth="1"/>
    <col min="1528" max="1528" width="10.00390625" style="214" customWidth="1"/>
    <col min="1529" max="1529" width="10.421875" style="214" customWidth="1"/>
    <col min="1530" max="1530" width="9.7109375" style="214" bestFit="1" customWidth="1"/>
    <col min="1531" max="1531" width="9.57421875" style="214" customWidth="1"/>
    <col min="1532" max="1532" width="9.140625" style="214" customWidth="1"/>
    <col min="1533" max="1536" width="9.7109375" style="214" bestFit="1" customWidth="1"/>
    <col min="1537" max="1778" width="9.140625" style="214" customWidth="1"/>
    <col min="1779" max="1779" width="3.7109375" style="214" customWidth="1"/>
    <col min="1780" max="1780" width="4.421875" style="214" customWidth="1"/>
    <col min="1781" max="1781" width="4.28125" style="214" customWidth="1"/>
    <col min="1782" max="1782" width="58.7109375" style="214" customWidth="1"/>
    <col min="1783" max="1783" width="11.28125" style="214" customWidth="1"/>
    <col min="1784" max="1784" width="10.00390625" style="214" customWidth="1"/>
    <col min="1785" max="1785" width="10.421875" style="214" customWidth="1"/>
    <col min="1786" max="1786" width="9.7109375" style="214" bestFit="1" customWidth="1"/>
    <col min="1787" max="1787" width="9.57421875" style="214" customWidth="1"/>
    <col min="1788" max="1788" width="9.140625" style="214" customWidth="1"/>
    <col min="1789" max="1792" width="9.7109375" style="214" bestFit="1" customWidth="1"/>
    <col min="1793" max="2034" width="9.140625" style="214" customWidth="1"/>
    <col min="2035" max="2035" width="3.7109375" style="214" customWidth="1"/>
    <col min="2036" max="2036" width="4.421875" style="214" customWidth="1"/>
    <col min="2037" max="2037" width="4.28125" style="214" customWidth="1"/>
    <col min="2038" max="2038" width="58.7109375" style="214" customWidth="1"/>
    <col min="2039" max="2039" width="11.28125" style="214" customWidth="1"/>
    <col min="2040" max="2040" width="10.00390625" style="214" customWidth="1"/>
    <col min="2041" max="2041" width="10.421875" style="214" customWidth="1"/>
    <col min="2042" max="2042" width="9.7109375" style="214" bestFit="1" customWidth="1"/>
    <col min="2043" max="2043" width="9.57421875" style="214" customWidth="1"/>
    <col min="2044" max="2044" width="9.140625" style="214" customWidth="1"/>
    <col min="2045" max="2048" width="9.7109375" style="214" bestFit="1" customWidth="1"/>
    <col min="2049" max="2290" width="9.140625" style="214" customWidth="1"/>
    <col min="2291" max="2291" width="3.7109375" style="214" customWidth="1"/>
    <col min="2292" max="2292" width="4.421875" style="214" customWidth="1"/>
    <col min="2293" max="2293" width="4.28125" style="214" customWidth="1"/>
    <col min="2294" max="2294" width="58.7109375" style="214" customWidth="1"/>
    <col min="2295" max="2295" width="11.28125" style="214" customWidth="1"/>
    <col min="2296" max="2296" width="10.00390625" style="214" customWidth="1"/>
    <col min="2297" max="2297" width="10.421875" style="214" customWidth="1"/>
    <col min="2298" max="2298" width="9.7109375" style="214" bestFit="1" customWidth="1"/>
    <col min="2299" max="2299" width="9.57421875" style="214" customWidth="1"/>
    <col min="2300" max="2300" width="9.140625" style="214" customWidth="1"/>
    <col min="2301" max="2304" width="9.7109375" style="214" bestFit="1" customWidth="1"/>
    <col min="2305" max="2546" width="9.140625" style="214" customWidth="1"/>
    <col min="2547" max="2547" width="3.7109375" style="214" customWidth="1"/>
    <col min="2548" max="2548" width="4.421875" style="214" customWidth="1"/>
    <col min="2549" max="2549" width="4.28125" style="214" customWidth="1"/>
    <col min="2550" max="2550" width="58.7109375" style="214" customWidth="1"/>
    <col min="2551" max="2551" width="11.28125" style="214" customWidth="1"/>
    <col min="2552" max="2552" width="10.00390625" style="214" customWidth="1"/>
    <col min="2553" max="2553" width="10.421875" style="214" customWidth="1"/>
    <col min="2554" max="2554" width="9.7109375" style="214" bestFit="1" customWidth="1"/>
    <col min="2555" max="2555" width="9.57421875" style="214" customWidth="1"/>
    <col min="2556" max="2556" width="9.140625" style="214" customWidth="1"/>
    <col min="2557" max="2560" width="9.7109375" style="214" bestFit="1" customWidth="1"/>
    <col min="2561" max="2802" width="9.140625" style="214" customWidth="1"/>
    <col min="2803" max="2803" width="3.7109375" style="214" customWidth="1"/>
    <col min="2804" max="2804" width="4.421875" style="214" customWidth="1"/>
    <col min="2805" max="2805" width="4.28125" style="214" customWidth="1"/>
    <col min="2806" max="2806" width="58.7109375" style="214" customWidth="1"/>
    <col min="2807" max="2807" width="11.28125" style="214" customWidth="1"/>
    <col min="2808" max="2808" width="10.00390625" style="214" customWidth="1"/>
    <col min="2809" max="2809" width="10.421875" style="214" customWidth="1"/>
    <col min="2810" max="2810" width="9.7109375" style="214" bestFit="1" customWidth="1"/>
    <col min="2811" max="2811" width="9.57421875" style="214" customWidth="1"/>
    <col min="2812" max="2812" width="9.140625" style="214" customWidth="1"/>
    <col min="2813" max="2816" width="9.7109375" style="214" bestFit="1" customWidth="1"/>
    <col min="2817" max="3058" width="9.140625" style="214" customWidth="1"/>
    <col min="3059" max="3059" width="3.7109375" style="214" customWidth="1"/>
    <col min="3060" max="3060" width="4.421875" style="214" customWidth="1"/>
    <col min="3061" max="3061" width="4.28125" style="214" customWidth="1"/>
    <col min="3062" max="3062" width="58.7109375" style="214" customWidth="1"/>
    <col min="3063" max="3063" width="11.28125" style="214" customWidth="1"/>
    <col min="3064" max="3064" width="10.00390625" style="214" customWidth="1"/>
    <col min="3065" max="3065" width="10.421875" style="214" customWidth="1"/>
    <col min="3066" max="3066" width="9.7109375" style="214" bestFit="1" customWidth="1"/>
    <col min="3067" max="3067" width="9.57421875" style="214" customWidth="1"/>
    <col min="3068" max="3068" width="9.140625" style="214" customWidth="1"/>
    <col min="3069" max="3072" width="9.7109375" style="214" bestFit="1" customWidth="1"/>
    <col min="3073" max="3314" width="9.140625" style="214" customWidth="1"/>
    <col min="3315" max="3315" width="3.7109375" style="214" customWidth="1"/>
    <col min="3316" max="3316" width="4.421875" style="214" customWidth="1"/>
    <col min="3317" max="3317" width="4.28125" style="214" customWidth="1"/>
    <col min="3318" max="3318" width="58.7109375" style="214" customWidth="1"/>
    <col min="3319" max="3319" width="11.28125" style="214" customWidth="1"/>
    <col min="3320" max="3320" width="10.00390625" style="214" customWidth="1"/>
    <col min="3321" max="3321" width="10.421875" style="214" customWidth="1"/>
    <col min="3322" max="3322" width="9.7109375" style="214" bestFit="1" customWidth="1"/>
    <col min="3323" max="3323" width="9.57421875" style="214" customWidth="1"/>
    <col min="3324" max="3324" width="9.140625" style="214" customWidth="1"/>
    <col min="3325" max="3328" width="9.7109375" style="214" bestFit="1" customWidth="1"/>
    <col min="3329" max="3570" width="9.140625" style="214" customWidth="1"/>
    <col min="3571" max="3571" width="3.7109375" style="214" customWidth="1"/>
    <col min="3572" max="3572" width="4.421875" style="214" customWidth="1"/>
    <col min="3573" max="3573" width="4.28125" style="214" customWidth="1"/>
    <col min="3574" max="3574" width="58.7109375" style="214" customWidth="1"/>
    <col min="3575" max="3575" width="11.28125" style="214" customWidth="1"/>
    <col min="3576" max="3576" width="10.00390625" style="214" customWidth="1"/>
    <col min="3577" max="3577" width="10.421875" style="214" customWidth="1"/>
    <col min="3578" max="3578" width="9.7109375" style="214" bestFit="1" customWidth="1"/>
    <col min="3579" max="3579" width="9.57421875" style="214" customWidth="1"/>
    <col min="3580" max="3580" width="9.140625" style="214" customWidth="1"/>
    <col min="3581" max="3584" width="9.7109375" style="214" bestFit="1" customWidth="1"/>
    <col min="3585" max="3826" width="9.140625" style="214" customWidth="1"/>
    <col min="3827" max="3827" width="3.7109375" style="214" customWidth="1"/>
    <col min="3828" max="3828" width="4.421875" style="214" customWidth="1"/>
    <col min="3829" max="3829" width="4.28125" style="214" customWidth="1"/>
    <col min="3830" max="3830" width="58.7109375" style="214" customWidth="1"/>
    <col min="3831" max="3831" width="11.28125" style="214" customWidth="1"/>
    <col min="3832" max="3832" width="10.00390625" style="214" customWidth="1"/>
    <col min="3833" max="3833" width="10.421875" style="214" customWidth="1"/>
    <col min="3834" max="3834" width="9.7109375" style="214" bestFit="1" customWidth="1"/>
    <col min="3835" max="3835" width="9.57421875" style="214" customWidth="1"/>
    <col min="3836" max="3836" width="9.140625" style="214" customWidth="1"/>
    <col min="3837" max="3840" width="9.7109375" style="214" bestFit="1" customWidth="1"/>
    <col min="3841" max="4082" width="9.140625" style="214" customWidth="1"/>
    <col min="4083" max="4083" width="3.7109375" style="214" customWidth="1"/>
    <col min="4084" max="4084" width="4.421875" style="214" customWidth="1"/>
    <col min="4085" max="4085" width="4.28125" style="214" customWidth="1"/>
    <col min="4086" max="4086" width="58.7109375" style="214" customWidth="1"/>
    <col min="4087" max="4087" width="11.28125" style="214" customWidth="1"/>
    <col min="4088" max="4088" width="10.00390625" style="214" customWidth="1"/>
    <col min="4089" max="4089" width="10.421875" style="214" customWidth="1"/>
    <col min="4090" max="4090" width="9.7109375" style="214" bestFit="1" customWidth="1"/>
    <col min="4091" max="4091" width="9.57421875" style="214" customWidth="1"/>
    <col min="4092" max="4092" width="9.140625" style="214" customWidth="1"/>
    <col min="4093" max="4096" width="9.7109375" style="214" bestFit="1" customWidth="1"/>
    <col min="4097" max="4338" width="9.140625" style="214" customWidth="1"/>
    <col min="4339" max="4339" width="3.7109375" style="214" customWidth="1"/>
    <col min="4340" max="4340" width="4.421875" style="214" customWidth="1"/>
    <col min="4341" max="4341" width="4.28125" style="214" customWidth="1"/>
    <col min="4342" max="4342" width="58.7109375" style="214" customWidth="1"/>
    <col min="4343" max="4343" width="11.28125" style="214" customWidth="1"/>
    <col min="4344" max="4344" width="10.00390625" style="214" customWidth="1"/>
    <col min="4345" max="4345" width="10.421875" style="214" customWidth="1"/>
    <col min="4346" max="4346" width="9.7109375" style="214" bestFit="1" customWidth="1"/>
    <col min="4347" max="4347" width="9.57421875" style="214" customWidth="1"/>
    <col min="4348" max="4348" width="9.140625" style="214" customWidth="1"/>
    <col min="4349" max="4352" width="9.7109375" style="214" bestFit="1" customWidth="1"/>
    <col min="4353" max="4594" width="9.140625" style="214" customWidth="1"/>
    <col min="4595" max="4595" width="3.7109375" style="214" customWidth="1"/>
    <col min="4596" max="4596" width="4.421875" style="214" customWidth="1"/>
    <col min="4597" max="4597" width="4.28125" style="214" customWidth="1"/>
    <col min="4598" max="4598" width="58.7109375" style="214" customWidth="1"/>
    <col min="4599" max="4599" width="11.28125" style="214" customWidth="1"/>
    <col min="4600" max="4600" width="10.00390625" style="214" customWidth="1"/>
    <col min="4601" max="4601" width="10.421875" style="214" customWidth="1"/>
    <col min="4602" max="4602" width="9.7109375" style="214" bestFit="1" customWidth="1"/>
    <col min="4603" max="4603" width="9.57421875" style="214" customWidth="1"/>
    <col min="4604" max="4604" width="9.140625" style="214" customWidth="1"/>
    <col min="4605" max="4608" width="9.7109375" style="214" bestFit="1" customWidth="1"/>
    <col min="4609" max="4850" width="9.140625" style="214" customWidth="1"/>
    <col min="4851" max="4851" width="3.7109375" style="214" customWidth="1"/>
    <col min="4852" max="4852" width="4.421875" style="214" customWidth="1"/>
    <col min="4853" max="4853" width="4.28125" style="214" customWidth="1"/>
    <col min="4854" max="4854" width="58.7109375" style="214" customWidth="1"/>
    <col min="4855" max="4855" width="11.28125" style="214" customWidth="1"/>
    <col min="4856" max="4856" width="10.00390625" style="214" customWidth="1"/>
    <col min="4857" max="4857" width="10.421875" style="214" customWidth="1"/>
    <col min="4858" max="4858" width="9.7109375" style="214" bestFit="1" customWidth="1"/>
    <col min="4859" max="4859" width="9.57421875" style="214" customWidth="1"/>
    <col min="4860" max="4860" width="9.140625" style="214" customWidth="1"/>
    <col min="4861" max="4864" width="9.7109375" style="214" bestFit="1" customWidth="1"/>
    <col min="4865" max="5106" width="9.140625" style="214" customWidth="1"/>
    <col min="5107" max="5107" width="3.7109375" style="214" customWidth="1"/>
    <col min="5108" max="5108" width="4.421875" style="214" customWidth="1"/>
    <col min="5109" max="5109" width="4.28125" style="214" customWidth="1"/>
    <col min="5110" max="5110" width="58.7109375" style="214" customWidth="1"/>
    <col min="5111" max="5111" width="11.28125" style="214" customWidth="1"/>
    <col min="5112" max="5112" width="10.00390625" style="214" customWidth="1"/>
    <col min="5113" max="5113" width="10.421875" style="214" customWidth="1"/>
    <col min="5114" max="5114" width="9.7109375" style="214" bestFit="1" customWidth="1"/>
    <col min="5115" max="5115" width="9.57421875" style="214" customWidth="1"/>
    <col min="5116" max="5116" width="9.140625" style="214" customWidth="1"/>
    <col min="5117" max="5120" width="9.7109375" style="214" bestFit="1" customWidth="1"/>
    <col min="5121" max="5362" width="9.140625" style="214" customWidth="1"/>
    <col min="5363" max="5363" width="3.7109375" style="214" customWidth="1"/>
    <col min="5364" max="5364" width="4.421875" style="214" customWidth="1"/>
    <col min="5365" max="5365" width="4.28125" style="214" customWidth="1"/>
    <col min="5366" max="5366" width="58.7109375" style="214" customWidth="1"/>
    <col min="5367" max="5367" width="11.28125" style="214" customWidth="1"/>
    <col min="5368" max="5368" width="10.00390625" style="214" customWidth="1"/>
    <col min="5369" max="5369" width="10.421875" style="214" customWidth="1"/>
    <col min="5370" max="5370" width="9.7109375" style="214" bestFit="1" customWidth="1"/>
    <col min="5371" max="5371" width="9.57421875" style="214" customWidth="1"/>
    <col min="5372" max="5372" width="9.140625" style="214" customWidth="1"/>
    <col min="5373" max="5376" width="9.7109375" style="214" bestFit="1" customWidth="1"/>
    <col min="5377" max="5618" width="9.140625" style="214" customWidth="1"/>
    <col min="5619" max="5619" width="3.7109375" style="214" customWidth="1"/>
    <col min="5620" max="5620" width="4.421875" style="214" customWidth="1"/>
    <col min="5621" max="5621" width="4.28125" style="214" customWidth="1"/>
    <col min="5622" max="5622" width="58.7109375" style="214" customWidth="1"/>
    <col min="5623" max="5623" width="11.28125" style="214" customWidth="1"/>
    <col min="5624" max="5624" width="10.00390625" style="214" customWidth="1"/>
    <col min="5625" max="5625" width="10.421875" style="214" customWidth="1"/>
    <col min="5626" max="5626" width="9.7109375" style="214" bestFit="1" customWidth="1"/>
    <col min="5627" max="5627" width="9.57421875" style="214" customWidth="1"/>
    <col min="5628" max="5628" width="9.140625" style="214" customWidth="1"/>
    <col min="5629" max="5632" width="9.7109375" style="214" bestFit="1" customWidth="1"/>
    <col min="5633" max="5874" width="9.140625" style="214" customWidth="1"/>
    <col min="5875" max="5875" width="3.7109375" style="214" customWidth="1"/>
    <col min="5876" max="5876" width="4.421875" style="214" customWidth="1"/>
    <col min="5877" max="5877" width="4.28125" style="214" customWidth="1"/>
    <col min="5878" max="5878" width="58.7109375" style="214" customWidth="1"/>
    <col min="5879" max="5879" width="11.28125" style="214" customWidth="1"/>
    <col min="5880" max="5880" width="10.00390625" style="214" customWidth="1"/>
    <col min="5881" max="5881" width="10.421875" style="214" customWidth="1"/>
    <col min="5882" max="5882" width="9.7109375" style="214" bestFit="1" customWidth="1"/>
    <col min="5883" max="5883" width="9.57421875" style="214" customWidth="1"/>
    <col min="5884" max="5884" width="9.140625" style="214" customWidth="1"/>
    <col min="5885" max="5888" width="9.7109375" style="214" bestFit="1" customWidth="1"/>
    <col min="5889" max="6130" width="9.140625" style="214" customWidth="1"/>
    <col min="6131" max="6131" width="3.7109375" style="214" customWidth="1"/>
    <col min="6132" max="6132" width="4.421875" style="214" customWidth="1"/>
    <col min="6133" max="6133" width="4.28125" style="214" customWidth="1"/>
    <col min="6134" max="6134" width="58.7109375" style="214" customWidth="1"/>
    <col min="6135" max="6135" width="11.28125" style="214" customWidth="1"/>
    <col min="6136" max="6136" width="10.00390625" style="214" customWidth="1"/>
    <col min="6137" max="6137" width="10.421875" style="214" customWidth="1"/>
    <col min="6138" max="6138" width="9.7109375" style="214" bestFit="1" customWidth="1"/>
    <col min="6139" max="6139" width="9.57421875" style="214" customWidth="1"/>
    <col min="6140" max="6140" width="9.140625" style="214" customWidth="1"/>
    <col min="6141" max="6144" width="9.7109375" style="214" bestFit="1" customWidth="1"/>
    <col min="6145" max="6386" width="9.140625" style="214" customWidth="1"/>
    <col min="6387" max="6387" width="3.7109375" style="214" customWidth="1"/>
    <col min="6388" max="6388" width="4.421875" style="214" customWidth="1"/>
    <col min="6389" max="6389" width="4.28125" style="214" customWidth="1"/>
    <col min="6390" max="6390" width="58.7109375" style="214" customWidth="1"/>
    <col min="6391" max="6391" width="11.28125" style="214" customWidth="1"/>
    <col min="6392" max="6392" width="10.00390625" style="214" customWidth="1"/>
    <col min="6393" max="6393" width="10.421875" style="214" customWidth="1"/>
    <col min="6394" max="6394" width="9.7109375" style="214" bestFit="1" customWidth="1"/>
    <col min="6395" max="6395" width="9.57421875" style="214" customWidth="1"/>
    <col min="6396" max="6396" width="9.140625" style="214" customWidth="1"/>
    <col min="6397" max="6400" width="9.7109375" style="214" bestFit="1" customWidth="1"/>
    <col min="6401" max="6642" width="9.140625" style="214" customWidth="1"/>
    <col min="6643" max="6643" width="3.7109375" style="214" customWidth="1"/>
    <col min="6644" max="6644" width="4.421875" style="214" customWidth="1"/>
    <col min="6645" max="6645" width="4.28125" style="214" customWidth="1"/>
    <col min="6646" max="6646" width="58.7109375" style="214" customWidth="1"/>
    <col min="6647" max="6647" width="11.28125" style="214" customWidth="1"/>
    <col min="6648" max="6648" width="10.00390625" style="214" customWidth="1"/>
    <col min="6649" max="6649" width="10.421875" style="214" customWidth="1"/>
    <col min="6650" max="6650" width="9.7109375" style="214" bestFit="1" customWidth="1"/>
    <col min="6651" max="6651" width="9.57421875" style="214" customWidth="1"/>
    <col min="6652" max="6652" width="9.140625" style="214" customWidth="1"/>
    <col min="6653" max="6656" width="9.7109375" style="214" bestFit="1" customWidth="1"/>
    <col min="6657" max="6898" width="9.140625" style="214" customWidth="1"/>
    <col min="6899" max="6899" width="3.7109375" style="214" customWidth="1"/>
    <col min="6900" max="6900" width="4.421875" style="214" customWidth="1"/>
    <col min="6901" max="6901" width="4.28125" style="214" customWidth="1"/>
    <col min="6902" max="6902" width="58.7109375" style="214" customWidth="1"/>
    <col min="6903" max="6903" width="11.28125" style="214" customWidth="1"/>
    <col min="6904" max="6904" width="10.00390625" style="214" customWidth="1"/>
    <col min="6905" max="6905" width="10.421875" style="214" customWidth="1"/>
    <col min="6906" max="6906" width="9.7109375" style="214" bestFit="1" customWidth="1"/>
    <col min="6907" max="6907" width="9.57421875" style="214" customWidth="1"/>
    <col min="6908" max="6908" width="9.140625" style="214" customWidth="1"/>
    <col min="6909" max="6912" width="9.7109375" style="214" bestFit="1" customWidth="1"/>
    <col min="6913" max="7154" width="9.140625" style="214" customWidth="1"/>
    <col min="7155" max="7155" width="3.7109375" style="214" customWidth="1"/>
    <col min="7156" max="7156" width="4.421875" style="214" customWidth="1"/>
    <col min="7157" max="7157" width="4.28125" style="214" customWidth="1"/>
    <col min="7158" max="7158" width="58.7109375" style="214" customWidth="1"/>
    <col min="7159" max="7159" width="11.28125" style="214" customWidth="1"/>
    <col min="7160" max="7160" width="10.00390625" style="214" customWidth="1"/>
    <col min="7161" max="7161" width="10.421875" style="214" customWidth="1"/>
    <col min="7162" max="7162" width="9.7109375" style="214" bestFit="1" customWidth="1"/>
    <col min="7163" max="7163" width="9.57421875" style="214" customWidth="1"/>
    <col min="7164" max="7164" width="9.140625" style="214" customWidth="1"/>
    <col min="7165" max="7168" width="9.7109375" style="214" bestFit="1" customWidth="1"/>
    <col min="7169" max="7410" width="9.140625" style="214" customWidth="1"/>
    <col min="7411" max="7411" width="3.7109375" style="214" customWidth="1"/>
    <col min="7412" max="7412" width="4.421875" style="214" customWidth="1"/>
    <col min="7413" max="7413" width="4.28125" style="214" customWidth="1"/>
    <col min="7414" max="7414" width="58.7109375" style="214" customWidth="1"/>
    <col min="7415" max="7415" width="11.28125" style="214" customWidth="1"/>
    <col min="7416" max="7416" width="10.00390625" style="214" customWidth="1"/>
    <col min="7417" max="7417" width="10.421875" style="214" customWidth="1"/>
    <col min="7418" max="7418" width="9.7109375" style="214" bestFit="1" customWidth="1"/>
    <col min="7419" max="7419" width="9.57421875" style="214" customWidth="1"/>
    <col min="7420" max="7420" width="9.140625" style="214" customWidth="1"/>
    <col min="7421" max="7424" width="9.7109375" style="214" bestFit="1" customWidth="1"/>
    <col min="7425" max="7666" width="9.140625" style="214" customWidth="1"/>
    <col min="7667" max="7667" width="3.7109375" style="214" customWidth="1"/>
    <col min="7668" max="7668" width="4.421875" style="214" customWidth="1"/>
    <col min="7669" max="7669" width="4.28125" style="214" customWidth="1"/>
    <col min="7670" max="7670" width="58.7109375" style="214" customWidth="1"/>
    <col min="7671" max="7671" width="11.28125" style="214" customWidth="1"/>
    <col min="7672" max="7672" width="10.00390625" style="214" customWidth="1"/>
    <col min="7673" max="7673" width="10.421875" style="214" customWidth="1"/>
    <col min="7674" max="7674" width="9.7109375" style="214" bestFit="1" customWidth="1"/>
    <col min="7675" max="7675" width="9.57421875" style="214" customWidth="1"/>
    <col min="7676" max="7676" width="9.140625" style="214" customWidth="1"/>
    <col min="7677" max="7680" width="9.7109375" style="214" bestFit="1" customWidth="1"/>
    <col min="7681" max="7922" width="9.140625" style="214" customWidth="1"/>
    <col min="7923" max="7923" width="3.7109375" style="214" customWidth="1"/>
    <col min="7924" max="7924" width="4.421875" style="214" customWidth="1"/>
    <col min="7925" max="7925" width="4.28125" style="214" customWidth="1"/>
    <col min="7926" max="7926" width="58.7109375" style="214" customWidth="1"/>
    <col min="7927" max="7927" width="11.28125" style="214" customWidth="1"/>
    <col min="7928" max="7928" width="10.00390625" style="214" customWidth="1"/>
    <col min="7929" max="7929" width="10.421875" style="214" customWidth="1"/>
    <col min="7930" max="7930" width="9.7109375" style="214" bestFit="1" customWidth="1"/>
    <col min="7931" max="7931" width="9.57421875" style="214" customWidth="1"/>
    <col min="7932" max="7932" width="9.140625" style="214" customWidth="1"/>
    <col min="7933" max="7936" width="9.7109375" style="214" bestFit="1" customWidth="1"/>
    <col min="7937" max="8178" width="9.140625" style="214" customWidth="1"/>
    <col min="8179" max="8179" width="3.7109375" style="214" customWidth="1"/>
    <col min="8180" max="8180" width="4.421875" style="214" customWidth="1"/>
    <col min="8181" max="8181" width="4.28125" style="214" customWidth="1"/>
    <col min="8182" max="8182" width="58.7109375" style="214" customWidth="1"/>
    <col min="8183" max="8183" width="11.28125" style="214" customWidth="1"/>
    <col min="8184" max="8184" width="10.00390625" style="214" customWidth="1"/>
    <col min="8185" max="8185" width="10.421875" style="214" customWidth="1"/>
    <col min="8186" max="8186" width="9.7109375" style="214" bestFit="1" customWidth="1"/>
    <col min="8187" max="8187" width="9.57421875" style="214" customWidth="1"/>
    <col min="8188" max="8188" width="9.140625" style="214" customWidth="1"/>
    <col min="8189" max="8192" width="9.7109375" style="214" bestFit="1" customWidth="1"/>
    <col min="8193" max="8434" width="9.140625" style="214" customWidth="1"/>
    <col min="8435" max="8435" width="3.7109375" style="214" customWidth="1"/>
    <col min="8436" max="8436" width="4.421875" style="214" customWidth="1"/>
    <col min="8437" max="8437" width="4.28125" style="214" customWidth="1"/>
    <col min="8438" max="8438" width="58.7109375" style="214" customWidth="1"/>
    <col min="8439" max="8439" width="11.28125" style="214" customWidth="1"/>
    <col min="8440" max="8440" width="10.00390625" style="214" customWidth="1"/>
    <col min="8441" max="8441" width="10.421875" style="214" customWidth="1"/>
    <col min="8442" max="8442" width="9.7109375" style="214" bestFit="1" customWidth="1"/>
    <col min="8443" max="8443" width="9.57421875" style="214" customWidth="1"/>
    <col min="8444" max="8444" width="9.140625" style="214" customWidth="1"/>
    <col min="8445" max="8448" width="9.7109375" style="214" bestFit="1" customWidth="1"/>
    <col min="8449" max="8690" width="9.140625" style="214" customWidth="1"/>
    <col min="8691" max="8691" width="3.7109375" style="214" customWidth="1"/>
    <col min="8692" max="8692" width="4.421875" style="214" customWidth="1"/>
    <col min="8693" max="8693" width="4.28125" style="214" customWidth="1"/>
    <col min="8694" max="8694" width="58.7109375" style="214" customWidth="1"/>
    <col min="8695" max="8695" width="11.28125" style="214" customWidth="1"/>
    <col min="8696" max="8696" width="10.00390625" style="214" customWidth="1"/>
    <col min="8697" max="8697" width="10.421875" style="214" customWidth="1"/>
    <col min="8698" max="8698" width="9.7109375" style="214" bestFit="1" customWidth="1"/>
    <col min="8699" max="8699" width="9.57421875" style="214" customWidth="1"/>
    <col min="8700" max="8700" width="9.140625" style="214" customWidth="1"/>
    <col min="8701" max="8704" width="9.7109375" style="214" bestFit="1" customWidth="1"/>
    <col min="8705" max="8946" width="9.140625" style="214" customWidth="1"/>
    <col min="8947" max="8947" width="3.7109375" style="214" customWidth="1"/>
    <col min="8948" max="8948" width="4.421875" style="214" customWidth="1"/>
    <col min="8949" max="8949" width="4.28125" style="214" customWidth="1"/>
    <col min="8950" max="8950" width="58.7109375" style="214" customWidth="1"/>
    <col min="8951" max="8951" width="11.28125" style="214" customWidth="1"/>
    <col min="8952" max="8952" width="10.00390625" style="214" customWidth="1"/>
    <col min="8953" max="8953" width="10.421875" style="214" customWidth="1"/>
    <col min="8954" max="8954" width="9.7109375" style="214" bestFit="1" customWidth="1"/>
    <col min="8955" max="8955" width="9.57421875" style="214" customWidth="1"/>
    <col min="8956" max="8956" width="9.140625" style="214" customWidth="1"/>
    <col min="8957" max="8960" width="9.7109375" style="214" bestFit="1" customWidth="1"/>
    <col min="8961" max="9202" width="9.140625" style="214" customWidth="1"/>
    <col min="9203" max="9203" width="3.7109375" style="214" customWidth="1"/>
    <col min="9204" max="9204" width="4.421875" style="214" customWidth="1"/>
    <col min="9205" max="9205" width="4.28125" style="214" customWidth="1"/>
    <col min="9206" max="9206" width="58.7109375" style="214" customWidth="1"/>
    <col min="9207" max="9207" width="11.28125" style="214" customWidth="1"/>
    <col min="9208" max="9208" width="10.00390625" style="214" customWidth="1"/>
    <col min="9209" max="9209" width="10.421875" style="214" customWidth="1"/>
    <col min="9210" max="9210" width="9.7109375" style="214" bestFit="1" customWidth="1"/>
    <col min="9211" max="9211" width="9.57421875" style="214" customWidth="1"/>
    <col min="9212" max="9212" width="9.140625" style="214" customWidth="1"/>
    <col min="9213" max="9216" width="9.7109375" style="214" bestFit="1" customWidth="1"/>
    <col min="9217" max="9458" width="9.140625" style="214" customWidth="1"/>
    <col min="9459" max="9459" width="3.7109375" style="214" customWidth="1"/>
    <col min="9460" max="9460" width="4.421875" style="214" customWidth="1"/>
    <col min="9461" max="9461" width="4.28125" style="214" customWidth="1"/>
    <col min="9462" max="9462" width="58.7109375" style="214" customWidth="1"/>
    <col min="9463" max="9463" width="11.28125" style="214" customWidth="1"/>
    <col min="9464" max="9464" width="10.00390625" style="214" customWidth="1"/>
    <col min="9465" max="9465" width="10.421875" style="214" customWidth="1"/>
    <col min="9466" max="9466" width="9.7109375" style="214" bestFit="1" customWidth="1"/>
    <col min="9467" max="9467" width="9.57421875" style="214" customWidth="1"/>
    <col min="9468" max="9468" width="9.140625" style="214" customWidth="1"/>
    <col min="9469" max="9472" width="9.7109375" style="214" bestFit="1" customWidth="1"/>
    <col min="9473" max="9714" width="9.140625" style="214" customWidth="1"/>
    <col min="9715" max="9715" width="3.7109375" style="214" customWidth="1"/>
    <col min="9716" max="9716" width="4.421875" style="214" customWidth="1"/>
    <col min="9717" max="9717" width="4.28125" style="214" customWidth="1"/>
    <col min="9718" max="9718" width="58.7109375" style="214" customWidth="1"/>
    <col min="9719" max="9719" width="11.28125" style="214" customWidth="1"/>
    <col min="9720" max="9720" width="10.00390625" style="214" customWidth="1"/>
    <col min="9721" max="9721" width="10.421875" style="214" customWidth="1"/>
    <col min="9722" max="9722" width="9.7109375" style="214" bestFit="1" customWidth="1"/>
    <col min="9723" max="9723" width="9.57421875" style="214" customWidth="1"/>
    <col min="9724" max="9724" width="9.140625" style="214" customWidth="1"/>
    <col min="9725" max="9728" width="9.7109375" style="214" bestFit="1" customWidth="1"/>
    <col min="9729" max="9970" width="9.140625" style="214" customWidth="1"/>
    <col min="9971" max="9971" width="3.7109375" style="214" customWidth="1"/>
    <col min="9972" max="9972" width="4.421875" style="214" customWidth="1"/>
    <col min="9973" max="9973" width="4.28125" style="214" customWidth="1"/>
    <col min="9974" max="9974" width="58.7109375" style="214" customWidth="1"/>
    <col min="9975" max="9975" width="11.28125" style="214" customWidth="1"/>
    <col min="9976" max="9976" width="10.00390625" style="214" customWidth="1"/>
    <col min="9977" max="9977" width="10.421875" style="214" customWidth="1"/>
    <col min="9978" max="9978" width="9.7109375" style="214" bestFit="1" customWidth="1"/>
    <col min="9979" max="9979" width="9.57421875" style="214" customWidth="1"/>
    <col min="9980" max="9980" width="9.140625" style="214" customWidth="1"/>
    <col min="9981" max="9984" width="9.7109375" style="214" bestFit="1" customWidth="1"/>
    <col min="9985" max="10226" width="9.140625" style="214" customWidth="1"/>
    <col min="10227" max="10227" width="3.7109375" style="214" customWidth="1"/>
    <col min="10228" max="10228" width="4.421875" style="214" customWidth="1"/>
    <col min="10229" max="10229" width="4.28125" style="214" customWidth="1"/>
    <col min="10230" max="10230" width="58.7109375" style="214" customWidth="1"/>
    <col min="10231" max="10231" width="11.28125" style="214" customWidth="1"/>
    <col min="10232" max="10232" width="10.00390625" style="214" customWidth="1"/>
    <col min="10233" max="10233" width="10.421875" style="214" customWidth="1"/>
    <col min="10234" max="10234" width="9.7109375" style="214" bestFit="1" customWidth="1"/>
    <col min="10235" max="10235" width="9.57421875" style="214" customWidth="1"/>
    <col min="10236" max="10236" width="9.140625" style="214" customWidth="1"/>
    <col min="10237" max="10240" width="9.7109375" style="214" bestFit="1" customWidth="1"/>
    <col min="10241" max="10482" width="9.140625" style="214" customWidth="1"/>
    <col min="10483" max="10483" width="3.7109375" style="214" customWidth="1"/>
    <col min="10484" max="10484" width="4.421875" style="214" customWidth="1"/>
    <col min="10485" max="10485" width="4.28125" style="214" customWidth="1"/>
    <col min="10486" max="10486" width="58.7109375" style="214" customWidth="1"/>
    <col min="10487" max="10487" width="11.28125" style="214" customWidth="1"/>
    <col min="10488" max="10488" width="10.00390625" style="214" customWidth="1"/>
    <col min="10489" max="10489" width="10.421875" style="214" customWidth="1"/>
    <col min="10490" max="10490" width="9.7109375" style="214" bestFit="1" customWidth="1"/>
    <col min="10491" max="10491" width="9.57421875" style="214" customWidth="1"/>
    <col min="10492" max="10492" width="9.140625" style="214" customWidth="1"/>
    <col min="10493" max="10496" width="9.7109375" style="214" bestFit="1" customWidth="1"/>
    <col min="10497" max="10738" width="9.140625" style="214" customWidth="1"/>
    <col min="10739" max="10739" width="3.7109375" style="214" customWidth="1"/>
    <col min="10740" max="10740" width="4.421875" style="214" customWidth="1"/>
    <col min="10741" max="10741" width="4.28125" style="214" customWidth="1"/>
    <col min="10742" max="10742" width="58.7109375" style="214" customWidth="1"/>
    <col min="10743" max="10743" width="11.28125" style="214" customWidth="1"/>
    <col min="10744" max="10744" width="10.00390625" style="214" customWidth="1"/>
    <col min="10745" max="10745" width="10.421875" style="214" customWidth="1"/>
    <col min="10746" max="10746" width="9.7109375" style="214" bestFit="1" customWidth="1"/>
    <col min="10747" max="10747" width="9.57421875" style="214" customWidth="1"/>
    <col min="10748" max="10748" width="9.140625" style="214" customWidth="1"/>
    <col min="10749" max="10752" width="9.7109375" style="214" bestFit="1" customWidth="1"/>
    <col min="10753" max="10994" width="9.140625" style="214" customWidth="1"/>
    <col min="10995" max="10995" width="3.7109375" style="214" customWidth="1"/>
    <col min="10996" max="10996" width="4.421875" style="214" customWidth="1"/>
    <col min="10997" max="10997" width="4.28125" style="214" customWidth="1"/>
    <col min="10998" max="10998" width="58.7109375" style="214" customWidth="1"/>
    <col min="10999" max="10999" width="11.28125" style="214" customWidth="1"/>
    <col min="11000" max="11000" width="10.00390625" style="214" customWidth="1"/>
    <col min="11001" max="11001" width="10.421875" style="214" customWidth="1"/>
    <col min="11002" max="11002" width="9.7109375" style="214" bestFit="1" customWidth="1"/>
    <col min="11003" max="11003" width="9.57421875" style="214" customWidth="1"/>
    <col min="11004" max="11004" width="9.140625" style="214" customWidth="1"/>
    <col min="11005" max="11008" width="9.7109375" style="214" bestFit="1" customWidth="1"/>
    <col min="11009" max="11250" width="9.140625" style="214" customWidth="1"/>
    <col min="11251" max="11251" width="3.7109375" style="214" customWidth="1"/>
    <col min="11252" max="11252" width="4.421875" style="214" customWidth="1"/>
    <col min="11253" max="11253" width="4.28125" style="214" customWidth="1"/>
    <col min="11254" max="11254" width="58.7109375" style="214" customWidth="1"/>
    <col min="11255" max="11255" width="11.28125" style="214" customWidth="1"/>
    <col min="11256" max="11256" width="10.00390625" style="214" customWidth="1"/>
    <col min="11257" max="11257" width="10.421875" style="214" customWidth="1"/>
    <col min="11258" max="11258" width="9.7109375" style="214" bestFit="1" customWidth="1"/>
    <col min="11259" max="11259" width="9.57421875" style="214" customWidth="1"/>
    <col min="11260" max="11260" width="9.140625" style="214" customWidth="1"/>
    <col min="11261" max="11264" width="9.7109375" style="214" bestFit="1" customWidth="1"/>
    <col min="11265" max="11506" width="9.140625" style="214" customWidth="1"/>
    <col min="11507" max="11507" width="3.7109375" style="214" customWidth="1"/>
    <col min="11508" max="11508" width="4.421875" style="214" customWidth="1"/>
    <col min="11509" max="11509" width="4.28125" style="214" customWidth="1"/>
    <col min="11510" max="11510" width="58.7109375" style="214" customWidth="1"/>
    <col min="11511" max="11511" width="11.28125" style="214" customWidth="1"/>
    <col min="11512" max="11512" width="10.00390625" style="214" customWidth="1"/>
    <col min="11513" max="11513" width="10.421875" style="214" customWidth="1"/>
    <col min="11514" max="11514" width="9.7109375" style="214" bestFit="1" customWidth="1"/>
    <col min="11515" max="11515" width="9.57421875" style="214" customWidth="1"/>
    <col min="11516" max="11516" width="9.140625" style="214" customWidth="1"/>
    <col min="11517" max="11520" width="9.7109375" style="214" bestFit="1" customWidth="1"/>
    <col min="11521" max="11762" width="9.140625" style="214" customWidth="1"/>
    <col min="11763" max="11763" width="3.7109375" style="214" customWidth="1"/>
    <col min="11764" max="11764" width="4.421875" style="214" customWidth="1"/>
    <col min="11765" max="11765" width="4.28125" style="214" customWidth="1"/>
    <col min="11766" max="11766" width="58.7109375" style="214" customWidth="1"/>
    <col min="11767" max="11767" width="11.28125" style="214" customWidth="1"/>
    <col min="11768" max="11768" width="10.00390625" style="214" customWidth="1"/>
    <col min="11769" max="11769" width="10.421875" style="214" customWidth="1"/>
    <col min="11770" max="11770" width="9.7109375" style="214" bestFit="1" customWidth="1"/>
    <col min="11771" max="11771" width="9.57421875" style="214" customWidth="1"/>
    <col min="11772" max="11772" width="9.140625" style="214" customWidth="1"/>
    <col min="11773" max="11776" width="9.7109375" style="214" bestFit="1" customWidth="1"/>
    <col min="11777" max="12018" width="9.140625" style="214" customWidth="1"/>
    <col min="12019" max="12019" width="3.7109375" style="214" customWidth="1"/>
    <col min="12020" max="12020" width="4.421875" style="214" customWidth="1"/>
    <col min="12021" max="12021" width="4.28125" style="214" customWidth="1"/>
    <col min="12022" max="12022" width="58.7109375" style="214" customWidth="1"/>
    <col min="12023" max="12023" width="11.28125" style="214" customWidth="1"/>
    <col min="12024" max="12024" width="10.00390625" style="214" customWidth="1"/>
    <col min="12025" max="12025" width="10.421875" style="214" customWidth="1"/>
    <col min="12026" max="12026" width="9.7109375" style="214" bestFit="1" customWidth="1"/>
    <col min="12027" max="12027" width="9.57421875" style="214" customWidth="1"/>
    <col min="12028" max="12028" width="9.140625" style="214" customWidth="1"/>
    <col min="12029" max="12032" width="9.7109375" style="214" bestFit="1" customWidth="1"/>
    <col min="12033" max="12274" width="9.140625" style="214" customWidth="1"/>
    <col min="12275" max="12275" width="3.7109375" style="214" customWidth="1"/>
    <col min="12276" max="12276" width="4.421875" style="214" customWidth="1"/>
    <col min="12277" max="12277" width="4.28125" style="214" customWidth="1"/>
    <col min="12278" max="12278" width="58.7109375" style="214" customWidth="1"/>
    <col min="12279" max="12279" width="11.28125" style="214" customWidth="1"/>
    <col min="12280" max="12280" width="10.00390625" style="214" customWidth="1"/>
    <col min="12281" max="12281" width="10.421875" style="214" customWidth="1"/>
    <col min="12282" max="12282" width="9.7109375" style="214" bestFit="1" customWidth="1"/>
    <col min="12283" max="12283" width="9.57421875" style="214" customWidth="1"/>
    <col min="12284" max="12284" width="9.140625" style="214" customWidth="1"/>
    <col min="12285" max="12288" width="9.7109375" style="214" bestFit="1" customWidth="1"/>
    <col min="12289" max="12530" width="9.140625" style="214" customWidth="1"/>
    <col min="12531" max="12531" width="3.7109375" style="214" customWidth="1"/>
    <col min="12532" max="12532" width="4.421875" style="214" customWidth="1"/>
    <col min="12533" max="12533" width="4.28125" style="214" customWidth="1"/>
    <col min="12534" max="12534" width="58.7109375" style="214" customWidth="1"/>
    <col min="12535" max="12535" width="11.28125" style="214" customWidth="1"/>
    <col min="12536" max="12536" width="10.00390625" style="214" customWidth="1"/>
    <col min="12537" max="12537" width="10.421875" style="214" customWidth="1"/>
    <col min="12538" max="12538" width="9.7109375" style="214" bestFit="1" customWidth="1"/>
    <col min="12539" max="12539" width="9.57421875" style="214" customWidth="1"/>
    <col min="12540" max="12540" width="9.140625" style="214" customWidth="1"/>
    <col min="12541" max="12544" width="9.7109375" style="214" bestFit="1" customWidth="1"/>
    <col min="12545" max="12786" width="9.140625" style="214" customWidth="1"/>
    <col min="12787" max="12787" width="3.7109375" style="214" customWidth="1"/>
    <col min="12788" max="12788" width="4.421875" style="214" customWidth="1"/>
    <col min="12789" max="12789" width="4.28125" style="214" customWidth="1"/>
    <col min="12790" max="12790" width="58.7109375" style="214" customWidth="1"/>
    <col min="12791" max="12791" width="11.28125" style="214" customWidth="1"/>
    <col min="12792" max="12792" width="10.00390625" style="214" customWidth="1"/>
    <col min="12793" max="12793" width="10.421875" style="214" customWidth="1"/>
    <col min="12794" max="12794" width="9.7109375" style="214" bestFit="1" customWidth="1"/>
    <col min="12795" max="12795" width="9.57421875" style="214" customWidth="1"/>
    <col min="12796" max="12796" width="9.140625" style="214" customWidth="1"/>
    <col min="12797" max="12800" width="9.7109375" style="214" bestFit="1" customWidth="1"/>
    <col min="12801" max="13042" width="9.140625" style="214" customWidth="1"/>
    <col min="13043" max="13043" width="3.7109375" style="214" customWidth="1"/>
    <col min="13044" max="13044" width="4.421875" style="214" customWidth="1"/>
    <col min="13045" max="13045" width="4.28125" style="214" customWidth="1"/>
    <col min="13046" max="13046" width="58.7109375" style="214" customWidth="1"/>
    <col min="13047" max="13047" width="11.28125" style="214" customWidth="1"/>
    <col min="13048" max="13048" width="10.00390625" style="214" customWidth="1"/>
    <col min="13049" max="13049" width="10.421875" style="214" customWidth="1"/>
    <col min="13050" max="13050" width="9.7109375" style="214" bestFit="1" customWidth="1"/>
    <col min="13051" max="13051" width="9.57421875" style="214" customWidth="1"/>
    <col min="13052" max="13052" width="9.140625" style="214" customWidth="1"/>
    <col min="13053" max="13056" width="9.7109375" style="214" bestFit="1" customWidth="1"/>
    <col min="13057" max="13298" width="9.140625" style="214" customWidth="1"/>
    <col min="13299" max="13299" width="3.7109375" style="214" customWidth="1"/>
    <col min="13300" max="13300" width="4.421875" style="214" customWidth="1"/>
    <col min="13301" max="13301" width="4.28125" style="214" customWidth="1"/>
    <col min="13302" max="13302" width="58.7109375" style="214" customWidth="1"/>
    <col min="13303" max="13303" width="11.28125" style="214" customWidth="1"/>
    <col min="13304" max="13304" width="10.00390625" style="214" customWidth="1"/>
    <col min="13305" max="13305" width="10.421875" style="214" customWidth="1"/>
    <col min="13306" max="13306" width="9.7109375" style="214" bestFit="1" customWidth="1"/>
    <col min="13307" max="13307" width="9.57421875" style="214" customWidth="1"/>
    <col min="13308" max="13308" width="9.140625" style="214" customWidth="1"/>
    <col min="13309" max="13312" width="9.7109375" style="214" bestFit="1" customWidth="1"/>
    <col min="13313" max="13554" width="9.140625" style="214" customWidth="1"/>
    <col min="13555" max="13555" width="3.7109375" style="214" customWidth="1"/>
    <col min="13556" max="13556" width="4.421875" style="214" customWidth="1"/>
    <col min="13557" max="13557" width="4.28125" style="214" customWidth="1"/>
    <col min="13558" max="13558" width="58.7109375" style="214" customWidth="1"/>
    <col min="13559" max="13559" width="11.28125" style="214" customWidth="1"/>
    <col min="13560" max="13560" width="10.00390625" style="214" customWidth="1"/>
    <col min="13561" max="13561" width="10.421875" style="214" customWidth="1"/>
    <col min="13562" max="13562" width="9.7109375" style="214" bestFit="1" customWidth="1"/>
    <col min="13563" max="13563" width="9.57421875" style="214" customWidth="1"/>
    <col min="13564" max="13564" width="9.140625" style="214" customWidth="1"/>
    <col min="13565" max="13568" width="9.7109375" style="214" bestFit="1" customWidth="1"/>
    <col min="13569" max="13810" width="9.140625" style="214" customWidth="1"/>
    <col min="13811" max="13811" width="3.7109375" style="214" customWidth="1"/>
    <col min="13812" max="13812" width="4.421875" style="214" customWidth="1"/>
    <col min="13813" max="13813" width="4.28125" style="214" customWidth="1"/>
    <col min="13814" max="13814" width="58.7109375" style="214" customWidth="1"/>
    <col min="13815" max="13815" width="11.28125" style="214" customWidth="1"/>
    <col min="13816" max="13816" width="10.00390625" style="214" customWidth="1"/>
    <col min="13817" max="13817" width="10.421875" style="214" customWidth="1"/>
    <col min="13818" max="13818" width="9.7109375" style="214" bestFit="1" customWidth="1"/>
    <col min="13819" max="13819" width="9.57421875" style="214" customWidth="1"/>
    <col min="13820" max="13820" width="9.140625" style="214" customWidth="1"/>
    <col min="13821" max="13824" width="9.7109375" style="214" bestFit="1" customWidth="1"/>
    <col min="13825" max="14066" width="9.140625" style="214" customWidth="1"/>
    <col min="14067" max="14067" width="3.7109375" style="214" customWidth="1"/>
    <col min="14068" max="14068" width="4.421875" style="214" customWidth="1"/>
    <col min="14069" max="14069" width="4.28125" style="214" customWidth="1"/>
    <col min="14070" max="14070" width="58.7109375" style="214" customWidth="1"/>
    <col min="14071" max="14071" width="11.28125" style="214" customWidth="1"/>
    <col min="14072" max="14072" width="10.00390625" style="214" customWidth="1"/>
    <col min="14073" max="14073" width="10.421875" style="214" customWidth="1"/>
    <col min="14074" max="14074" width="9.7109375" style="214" bestFit="1" customWidth="1"/>
    <col min="14075" max="14075" width="9.57421875" style="214" customWidth="1"/>
    <col min="14076" max="14076" width="9.140625" style="214" customWidth="1"/>
    <col min="14077" max="14080" width="9.7109375" style="214" bestFit="1" customWidth="1"/>
    <col min="14081" max="14322" width="9.140625" style="214" customWidth="1"/>
    <col min="14323" max="14323" width="3.7109375" style="214" customWidth="1"/>
    <col min="14324" max="14324" width="4.421875" style="214" customWidth="1"/>
    <col min="14325" max="14325" width="4.28125" style="214" customWidth="1"/>
    <col min="14326" max="14326" width="58.7109375" style="214" customWidth="1"/>
    <col min="14327" max="14327" width="11.28125" style="214" customWidth="1"/>
    <col min="14328" max="14328" width="10.00390625" style="214" customWidth="1"/>
    <col min="14329" max="14329" width="10.421875" style="214" customWidth="1"/>
    <col min="14330" max="14330" width="9.7109375" style="214" bestFit="1" customWidth="1"/>
    <col min="14331" max="14331" width="9.57421875" style="214" customWidth="1"/>
    <col min="14332" max="14332" width="9.140625" style="214" customWidth="1"/>
    <col min="14333" max="14336" width="9.7109375" style="214" bestFit="1" customWidth="1"/>
    <col min="14337" max="14578" width="9.140625" style="214" customWidth="1"/>
    <col min="14579" max="14579" width="3.7109375" style="214" customWidth="1"/>
    <col min="14580" max="14580" width="4.421875" style="214" customWidth="1"/>
    <col min="14581" max="14581" width="4.28125" style="214" customWidth="1"/>
    <col min="14582" max="14582" width="58.7109375" style="214" customWidth="1"/>
    <col min="14583" max="14583" width="11.28125" style="214" customWidth="1"/>
    <col min="14584" max="14584" width="10.00390625" style="214" customWidth="1"/>
    <col min="14585" max="14585" width="10.421875" style="214" customWidth="1"/>
    <col min="14586" max="14586" width="9.7109375" style="214" bestFit="1" customWidth="1"/>
    <col min="14587" max="14587" width="9.57421875" style="214" customWidth="1"/>
    <col min="14588" max="14588" width="9.140625" style="214" customWidth="1"/>
    <col min="14589" max="14592" width="9.7109375" style="214" bestFit="1" customWidth="1"/>
    <col min="14593" max="14834" width="9.140625" style="214" customWidth="1"/>
    <col min="14835" max="14835" width="3.7109375" style="214" customWidth="1"/>
    <col min="14836" max="14836" width="4.421875" style="214" customWidth="1"/>
    <col min="14837" max="14837" width="4.28125" style="214" customWidth="1"/>
    <col min="14838" max="14838" width="58.7109375" style="214" customWidth="1"/>
    <col min="14839" max="14839" width="11.28125" style="214" customWidth="1"/>
    <col min="14840" max="14840" width="10.00390625" style="214" customWidth="1"/>
    <col min="14841" max="14841" width="10.421875" style="214" customWidth="1"/>
    <col min="14842" max="14842" width="9.7109375" style="214" bestFit="1" customWidth="1"/>
    <col min="14843" max="14843" width="9.57421875" style="214" customWidth="1"/>
    <col min="14844" max="14844" width="9.140625" style="214" customWidth="1"/>
    <col min="14845" max="14848" width="9.7109375" style="214" bestFit="1" customWidth="1"/>
    <col min="14849" max="15090" width="9.140625" style="214" customWidth="1"/>
    <col min="15091" max="15091" width="3.7109375" style="214" customWidth="1"/>
    <col min="15092" max="15092" width="4.421875" style="214" customWidth="1"/>
    <col min="15093" max="15093" width="4.28125" style="214" customWidth="1"/>
    <col min="15094" max="15094" width="58.7109375" style="214" customWidth="1"/>
    <col min="15095" max="15095" width="11.28125" style="214" customWidth="1"/>
    <col min="15096" max="15096" width="10.00390625" style="214" customWidth="1"/>
    <col min="15097" max="15097" width="10.421875" style="214" customWidth="1"/>
    <col min="15098" max="15098" width="9.7109375" style="214" bestFit="1" customWidth="1"/>
    <col min="15099" max="15099" width="9.57421875" style="214" customWidth="1"/>
    <col min="15100" max="15100" width="9.140625" style="214" customWidth="1"/>
    <col min="15101" max="15104" width="9.7109375" style="214" bestFit="1" customWidth="1"/>
    <col min="15105" max="15346" width="9.140625" style="214" customWidth="1"/>
    <col min="15347" max="15347" width="3.7109375" style="214" customWidth="1"/>
    <col min="15348" max="15348" width="4.421875" style="214" customWidth="1"/>
    <col min="15349" max="15349" width="4.28125" style="214" customWidth="1"/>
    <col min="15350" max="15350" width="58.7109375" style="214" customWidth="1"/>
    <col min="15351" max="15351" width="11.28125" style="214" customWidth="1"/>
    <col min="15352" max="15352" width="10.00390625" style="214" customWidth="1"/>
    <col min="15353" max="15353" width="10.421875" style="214" customWidth="1"/>
    <col min="15354" max="15354" width="9.7109375" style="214" bestFit="1" customWidth="1"/>
    <col min="15355" max="15355" width="9.57421875" style="214" customWidth="1"/>
    <col min="15356" max="15356" width="9.140625" style="214" customWidth="1"/>
    <col min="15357" max="15360" width="9.7109375" style="214" bestFit="1" customWidth="1"/>
    <col min="15361" max="15602" width="9.140625" style="214" customWidth="1"/>
    <col min="15603" max="15603" width="3.7109375" style="214" customWidth="1"/>
    <col min="15604" max="15604" width="4.421875" style="214" customWidth="1"/>
    <col min="15605" max="15605" width="4.28125" style="214" customWidth="1"/>
    <col min="15606" max="15606" width="58.7109375" style="214" customWidth="1"/>
    <col min="15607" max="15607" width="11.28125" style="214" customWidth="1"/>
    <col min="15608" max="15608" width="10.00390625" style="214" customWidth="1"/>
    <col min="15609" max="15609" width="10.421875" style="214" customWidth="1"/>
    <col min="15610" max="15610" width="9.7109375" style="214" bestFit="1" customWidth="1"/>
    <col min="15611" max="15611" width="9.57421875" style="214" customWidth="1"/>
    <col min="15612" max="15612" width="9.140625" style="214" customWidth="1"/>
    <col min="15613" max="15616" width="9.7109375" style="214" bestFit="1" customWidth="1"/>
    <col min="15617" max="15858" width="9.140625" style="214" customWidth="1"/>
    <col min="15859" max="15859" width="3.7109375" style="214" customWidth="1"/>
    <col min="15860" max="15860" width="4.421875" style="214" customWidth="1"/>
    <col min="15861" max="15861" width="4.28125" style="214" customWidth="1"/>
    <col min="15862" max="15862" width="58.7109375" style="214" customWidth="1"/>
    <col min="15863" max="15863" width="11.28125" style="214" customWidth="1"/>
    <col min="15864" max="15864" width="10.00390625" style="214" customWidth="1"/>
    <col min="15865" max="15865" width="10.421875" style="214" customWidth="1"/>
    <col min="15866" max="15866" width="9.7109375" style="214" bestFit="1" customWidth="1"/>
    <col min="15867" max="15867" width="9.57421875" style="214" customWidth="1"/>
    <col min="15868" max="15868" width="9.140625" style="214" customWidth="1"/>
    <col min="15869" max="15872" width="9.7109375" style="214" bestFit="1" customWidth="1"/>
    <col min="15873" max="16114" width="9.140625" style="214" customWidth="1"/>
    <col min="16115" max="16115" width="3.7109375" style="214" customWidth="1"/>
    <col min="16116" max="16116" width="4.421875" style="214" customWidth="1"/>
    <col min="16117" max="16117" width="4.28125" style="214" customWidth="1"/>
    <col min="16118" max="16118" width="58.7109375" style="214" customWidth="1"/>
    <col min="16119" max="16119" width="11.28125" style="214" customWidth="1"/>
    <col min="16120" max="16120" width="10.00390625" style="214" customWidth="1"/>
    <col min="16121" max="16121" width="10.421875" style="214" customWidth="1"/>
    <col min="16122" max="16122" width="9.7109375" style="214" bestFit="1" customWidth="1"/>
    <col min="16123" max="16123" width="9.57421875" style="214" customWidth="1"/>
    <col min="16124" max="16124" width="9.140625" style="214" customWidth="1"/>
    <col min="16125" max="16128" width="9.7109375" style="214" bestFit="1" customWidth="1"/>
    <col min="16129" max="16384" width="9.140625" style="214" customWidth="1"/>
  </cols>
  <sheetData>
    <row r="1" spans="1:7" ht="12.75">
      <c r="A1" s="397" t="s">
        <v>338</v>
      </c>
      <c r="B1" s="397"/>
      <c r="C1" s="397"/>
      <c r="D1" s="397"/>
      <c r="E1" s="397"/>
      <c r="F1" s="397"/>
      <c r="G1" s="222"/>
    </row>
    <row r="2" spans="1:7" ht="12.75">
      <c r="A2" s="397" t="s">
        <v>233</v>
      </c>
      <c r="B2" s="397"/>
      <c r="C2" s="397"/>
      <c r="D2" s="397"/>
      <c r="E2" s="397"/>
      <c r="F2" s="397"/>
      <c r="G2" s="222"/>
    </row>
    <row r="3" spans="1:7" ht="12.75">
      <c r="A3" s="397" t="s">
        <v>252</v>
      </c>
      <c r="B3" s="397"/>
      <c r="C3" s="397"/>
      <c r="D3" s="397"/>
      <c r="E3" s="397"/>
      <c r="F3" s="397"/>
      <c r="G3" s="222"/>
    </row>
    <row r="4" spans="1:7" ht="12.75">
      <c r="A4" s="213"/>
      <c r="B4" s="213"/>
      <c r="C4" s="213"/>
      <c r="D4" s="213"/>
      <c r="E4" s="213"/>
      <c r="F4" s="213"/>
      <c r="G4" s="222"/>
    </row>
    <row r="5" spans="1:7" ht="12.75">
      <c r="A5" s="215"/>
      <c r="B5" s="215"/>
      <c r="C5" s="215"/>
      <c r="D5" s="215"/>
      <c r="E5" s="216" t="s">
        <v>162</v>
      </c>
      <c r="F5" s="216" t="s">
        <v>163</v>
      </c>
      <c r="G5" s="215"/>
    </row>
    <row r="6" spans="1:7" ht="12.75">
      <c r="A6" s="215"/>
      <c r="B6" s="215"/>
      <c r="C6" s="215"/>
      <c r="D6" s="215"/>
      <c r="E6" s="213">
        <f>+'Income Statement Cash Flows'!E6</f>
        <v>2020</v>
      </c>
      <c r="F6" s="213">
        <f>+'Income Statement Cash Flows'!F6</f>
        <v>2021</v>
      </c>
      <c r="G6" s="216"/>
    </row>
    <row r="7" spans="1:7" ht="12.75">
      <c r="A7" s="214">
        <v>1</v>
      </c>
      <c r="B7" s="214" t="s">
        <v>339</v>
      </c>
      <c r="E7" s="165">
        <f>+'Modeling results'!B4</f>
        <v>2709679</v>
      </c>
      <c r="F7" s="165">
        <f>+'Modeling results'!C4</f>
        <v>2689777</v>
      </c>
      <c r="G7" s="165"/>
    </row>
    <row r="8" spans="1:7" ht="12.75">
      <c r="A8" s="214">
        <v>2</v>
      </c>
      <c r="E8" s="217"/>
      <c r="F8" s="217"/>
      <c r="G8" s="213"/>
    </row>
    <row r="9" spans="1:2" ht="12.75">
      <c r="A9" s="214">
        <v>3</v>
      </c>
      <c r="B9" s="214" t="s">
        <v>170</v>
      </c>
    </row>
    <row r="10" spans="1:7" ht="12.75">
      <c r="A10" s="214">
        <v>4</v>
      </c>
      <c r="C10" s="214" t="s">
        <v>171</v>
      </c>
      <c r="E10" s="166"/>
      <c r="F10" s="166"/>
      <c r="G10" s="166"/>
    </row>
    <row r="11" spans="1:7" ht="12.75">
      <c r="A11" s="214">
        <v>5</v>
      </c>
      <c r="D11" s="214" t="s">
        <v>340</v>
      </c>
      <c r="E11" s="166">
        <f>+'Income Statement Cash Flows'!E9</f>
        <v>681345.438</v>
      </c>
      <c r="F11" s="166">
        <f>+'Income Statement Cash Flows'!F9</f>
        <v>736891.597</v>
      </c>
      <c r="G11" s="166"/>
    </row>
    <row r="12" spans="1:7" ht="12.75">
      <c r="A12" s="214">
        <v>6</v>
      </c>
      <c r="D12" s="214" t="s">
        <v>341</v>
      </c>
      <c r="E12" s="166">
        <f>+'Income Statement Cash Flows'!E10</f>
        <v>22997</v>
      </c>
      <c r="F12" s="166">
        <f>+'Income Statement Cash Flows'!F10</f>
        <v>22997</v>
      </c>
      <c r="G12" s="166"/>
    </row>
    <row r="13" spans="1:7" ht="12.75">
      <c r="A13" s="214">
        <v>7</v>
      </c>
      <c r="D13" s="214" t="s">
        <v>174</v>
      </c>
      <c r="E13" s="166">
        <f>+'Income Statement Cash Flows'!E11</f>
        <v>1631</v>
      </c>
      <c r="F13" s="166">
        <f>+'Income Statement Cash Flows'!F11</f>
        <v>1531</v>
      </c>
      <c r="G13" s="166"/>
    </row>
    <row r="14" spans="1:7" ht="12.75">
      <c r="A14" s="214">
        <v>8</v>
      </c>
      <c r="D14" s="214" t="s">
        <v>175</v>
      </c>
      <c r="E14" s="166">
        <f>+'Income Statement Cash Flows'!E12</f>
        <v>86009.88077867283</v>
      </c>
      <c r="F14" s="166">
        <f>+'Income Statement Cash Flows'!F12</f>
        <v>73976.92303373668</v>
      </c>
      <c r="G14" s="166"/>
    </row>
    <row r="15" spans="1:7" ht="12.75">
      <c r="A15" s="214">
        <v>9</v>
      </c>
      <c r="D15" s="214" t="s">
        <v>133</v>
      </c>
      <c r="E15" s="166">
        <f>+'Income Statement Cash Flows'!E13</f>
        <v>0</v>
      </c>
      <c r="F15" s="166">
        <f>+'Income Statement Cash Flows'!F13</f>
        <v>0</v>
      </c>
      <c r="G15" s="166"/>
    </row>
    <row r="16" spans="1:7" ht="12.75">
      <c r="A16" s="214">
        <v>10</v>
      </c>
      <c r="D16" s="214" t="s">
        <v>176</v>
      </c>
      <c r="E16" s="166">
        <f>+'Income Statement Cash Flows'!E14</f>
        <v>249767.00051788118</v>
      </c>
      <c r="F16" s="166">
        <f>+'Income Statement Cash Flows'!F14</f>
        <v>249746.61916842868</v>
      </c>
      <c r="G16" s="166"/>
    </row>
    <row r="17" spans="1:7" ht="12.75">
      <c r="A17" s="214">
        <v>11</v>
      </c>
      <c r="D17" s="214" t="s">
        <v>177</v>
      </c>
      <c r="E17" s="166">
        <f>+'Income Statement Cash Flows'!E15</f>
        <v>36523</v>
      </c>
      <c r="F17" s="166">
        <f>+'Income Statement Cash Flows'!F15</f>
        <v>34869</v>
      </c>
      <c r="G17" s="166"/>
    </row>
    <row r="18" spans="1:7" ht="12.75">
      <c r="A18" s="214">
        <v>12</v>
      </c>
      <c r="D18" s="214" t="s">
        <v>178</v>
      </c>
      <c r="E18" s="166">
        <f>+'Income Statement Cash Flows'!E16</f>
        <v>121529.703</v>
      </c>
      <c r="F18" s="166">
        <f>+'Income Statement Cash Flows'!F16</f>
        <v>121643.703</v>
      </c>
      <c r="G18" s="166"/>
    </row>
    <row r="19" spans="1:7" ht="12.75">
      <c r="A19" s="214">
        <v>13</v>
      </c>
      <c r="C19" s="214" t="s">
        <v>179</v>
      </c>
      <c r="E19" s="166">
        <f>+'Income Statement Cash Flows'!E17</f>
        <v>82815.565</v>
      </c>
      <c r="F19" s="166">
        <f>+'Income Statement Cash Flows'!F17</f>
        <v>84922.434</v>
      </c>
      <c r="G19" s="166"/>
    </row>
    <row r="20" spans="1:7" ht="12.75">
      <c r="A20" s="214">
        <v>14</v>
      </c>
      <c r="C20" s="214" t="s">
        <v>180</v>
      </c>
      <c r="E20" s="166">
        <f>+'Income Statement Cash Flows'!E18</f>
        <v>221642.731759574</v>
      </c>
      <c r="F20" s="166">
        <f>+'Income Statement Cash Flows'!F18</f>
        <v>217308.3754877001</v>
      </c>
      <c r="G20" s="166"/>
    </row>
    <row r="21" spans="1:7" ht="12.75">
      <c r="A21" s="214">
        <v>15</v>
      </c>
      <c r="C21" s="214" t="s">
        <v>342</v>
      </c>
      <c r="E21" s="166">
        <f>+'Income Statement Cash Flows'!E19</f>
        <v>291811.237</v>
      </c>
      <c r="F21" s="166">
        <f>+'Income Statement Cash Flows'!F19</f>
        <v>292470.469</v>
      </c>
      <c r="G21" s="166"/>
    </row>
    <row r="22" spans="1:7" ht="12.75">
      <c r="A22" s="214">
        <v>16</v>
      </c>
      <c r="C22" s="214" t="s">
        <v>343</v>
      </c>
      <c r="E22" s="166">
        <f>+'Income Statement Cash Flows'!E20</f>
        <v>77435.744</v>
      </c>
      <c r="F22" s="166">
        <f>+'Income Statement Cash Flows'!F20</f>
        <v>78474.902</v>
      </c>
      <c r="G22" s="166"/>
    </row>
    <row r="23" spans="1:7" ht="12.75">
      <c r="A23" s="214">
        <v>17</v>
      </c>
      <c r="C23" s="214" t="s">
        <v>182</v>
      </c>
      <c r="E23" s="166">
        <f>+'Income Statement Cash Flows'!E21</f>
        <v>0</v>
      </c>
      <c r="F23" s="166">
        <f>+'Income Statement Cash Flows'!F21</f>
        <v>-20000</v>
      </c>
      <c r="G23" s="166"/>
    </row>
    <row r="24" spans="1:7" ht="12.75">
      <c r="A24" s="214">
        <v>19</v>
      </c>
      <c r="C24" s="218" t="s">
        <v>193</v>
      </c>
      <c r="E24" s="166">
        <f>+'Income Statement Cash Flows'!E22</f>
        <v>138967.5877677</v>
      </c>
      <c r="F24" s="166">
        <f>+'Income Statement Cash Flows'!F22</f>
        <v>141050.1326017</v>
      </c>
      <c r="G24" s="166"/>
    </row>
    <row r="25" spans="1:7" ht="12.75">
      <c r="A25" s="214">
        <v>20</v>
      </c>
      <c r="B25" s="218"/>
      <c r="C25" s="218" t="s">
        <v>194</v>
      </c>
      <c r="D25" s="218"/>
      <c r="E25" s="274">
        <f>+'Income Statement Cash Flows'!E23</f>
        <v>379326.95947737</v>
      </c>
      <c r="F25" s="274">
        <f>+'Income Statement Cash Flows'!F23</f>
        <v>384364.0043763031</v>
      </c>
      <c r="G25" s="166"/>
    </row>
    <row r="26" spans="1:7" ht="12.75">
      <c r="A26" s="214">
        <v>21</v>
      </c>
      <c r="B26" s="214" t="s">
        <v>195</v>
      </c>
      <c r="E26" s="166">
        <f>SUM(E11:E25)</f>
        <v>2391802.8473011977</v>
      </c>
      <c r="F26" s="166">
        <f>SUM(F11:F25)</f>
        <v>2420246.159667868</v>
      </c>
      <c r="G26" s="166"/>
    </row>
    <row r="27" spans="1:7" ht="12.75">
      <c r="A27" s="214">
        <v>22</v>
      </c>
      <c r="E27" s="166"/>
      <c r="F27" s="166"/>
      <c r="G27" s="166"/>
    </row>
    <row r="28" spans="1:7" ht="12.75">
      <c r="A28" s="214">
        <v>23</v>
      </c>
      <c r="B28" s="214" t="s">
        <v>718</v>
      </c>
      <c r="C28" s="219"/>
      <c r="D28" s="219"/>
      <c r="E28" s="219"/>
      <c r="F28" s="219"/>
      <c r="G28" s="166"/>
    </row>
    <row r="29" spans="1:7" ht="12.75">
      <c r="A29" s="214">
        <v>24</v>
      </c>
      <c r="B29" s="219"/>
      <c r="C29" s="219" t="s">
        <v>184</v>
      </c>
      <c r="D29" s="219"/>
      <c r="E29" s="219"/>
      <c r="F29" s="219"/>
      <c r="G29" s="166"/>
    </row>
    <row r="30" spans="1:7" ht="12.75">
      <c r="A30" s="214">
        <v>25</v>
      </c>
      <c r="B30" s="219"/>
      <c r="C30" s="219"/>
      <c r="D30" s="219" t="s">
        <v>185</v>
      </c>
      <c r="E30" s="219">
        <f>+'Federal Capital Costs'!D5</f>
        <v>44685</v>
      </c>
      <c r="F30" s="219">
        <f>+'Federal Capital Costs'!E5</f>
        <v>45908</v>
      </c>
      <c r="G30" s="166"/>
    </row>
    <row r="31" spans="1:7" ht="12.75">
      <c r="A31" s="214">
        <v>26</v>
      </c>
      <c r="B31" s="219"/>
      <c r="D31" s="219" t="s">
        <v>186</v>
      </c>
      <c r="E31" s="219">
        <f>+'Income Statement Cash Flows'!E29</f>
        <v>-45937</v>
      </c>
      <c r="F31" s="219">
        <f>+'Income Statement Cash Flows'!F29</f>
        <v>-45937</v>
      </c>
      <c r="G31" s="166"/>
    </row>
    <row r="32" spans="1:7" ht="12.75">
      <c r="A32" s="214">
        <v>27</v>
      </c>
      <c r="B32" s="219"/>
      <c r="C32" s="219"/>
      <c r="D32" s="219" t="s">
        <v>187</v>
      </c>
      <c r="E32" s="219">
        <f>+'Federal Capital Costs'!D4+'Federal Capital Costs'!D69</f>
        <v>61145.39170233593</v>
      </c>
      <c r="F32" s="219">
        <f>+'Federal Capital Costs'!E4+'Federal Capital Costs'!E69</f>
        <v>68928.33254568126</v>
      </c>
      <c r="G32" s="166"/>
    </row>
    <row r="33" spans="1:7" ht="12.75">
      <c r="A33" s="214">
        <v>28</v>
      </c>
      <c r="B33" s="218"/>
      <c r="D33" s="218" t="s">
        <v>702</v>
      </c>
      <c r="E33" s="219">
        <f>+'Federal Capital Costs'!D8</f>
        <v>13</v>
      </c>
      <c r="F33" s="219">
        <f>+'Federal Capital Costs'!E8</f>
        <v>10</v>
      </c>
      <c r="G33" s="166"/>
    </row>
    <row r="34" spans="1:7" ht="12.75">
      <c r="A34" s="214">
        <v>29</v>
      </c>
      <c r="B34" s="218"/>
      <c r="D34" s="218" t="s">
        <v>253</v>
      </c>
      <c r="E34" s="219">
        <f>+'Income Statement Cash Flows'!E32</f>
        <v>245800.5503645353</v>
      </c>
      <c r="F34" s="219">
        <f>+'Income Statement Cash Flows'!F32</f>
        <v>169807.12751369155</v>
      </c>
      <c r="G34" s="166"/>
    </row>
    <row r="35" spans="1:7" ht="12.75">
      <c r="A35" s="214">
        <v>30</v>
      </c>
      <c r="B35" s="218"/>
      <c r="C35" s="219" t="s">
        <v>188</v>
      </c>
      <c r="D35" s="219"/>
      <c r="E35" s="219">
        <f>+'Income Statement Cash Flows'!E33</f>
        <v>-15904</v>
      </c>
      <c r="F35" s="219">
        <f>+'Income Statement Cash Flows'!F33</f>
        <v>-16493</v>
      </c>
      <c r="G35" s="166"/>
    </row>
    <row r="36" spans="1:7" ht="12.75">
      <c r="A36" s="214">
        <v>31</v>
      </c>
      <c r="B36" s="219"/>
      <c r="C36" s="219" t="s">
        <v>189</v>
      </c>
      <c r="D36" s="219"/>
      <c r="E36" s="166">
        <f>-'interest credit calculations'!C78</f>
        <v>-5567.455</v>
      </c>
      <c r="F36" s="166">
        <f>-'interest credit calculations'!D78</f>
        <v>-7328.876150000001</v>
      </c>
      <c r="G36" s="166"/>
    </row>
    <row r="37" spans="1:7" ht="12.75">
      <c r="A37" s="214">
        <v>32</v>
      </c>
      <c r="B37" s="219"/>
      <c r="C37" s="214" t="s">
        <v>720</v>
      </c>
      <c r="D37" s="219"/>
      <c r="E37" s="166">
        <f>+'Income Statement Cash Flows'!E35</f>
        <v>-8817.805195211507</v>
      </c>
      <c r="F37" s="166">
        <f>+'Income Statement Cash Flows'!F35</f>
        <v>-9111.731626045908</v>
      </c>
      <c r="G37" s="166"/>
    </row>
    <row r="38" spans="1:7" ht="12.75">
      <c r="A38" s="214">
        <v>33</v>
      </c>
      <c r="B38" s="219"/>
      <c r="C38" s="214" t="s">
        <v>719</v>
      </c>
      <c r="D38" s="219"/>
      <c r="E38" s="274">
        <f>+'Income Statement Cash Flows'!E36</f>
        <v>-5051.812480427976</v>
      </c>
      <c r="F38" s="274">
        <f>+'Income Statement Cash Flows'!F36</f>
        <v>-5220.205995451786</v>
      </c>
      <c r="G38" s="166"/>
    </row>
    <row r="39" spans="1:7" ht="12.75">
      <c r="A39" s="214">
        <v>34</v>
      </c>
      <c r="B39" s="214" t="s">
        <v>733</v>
      </c>
      <c r="C39" s="219"/>
      <c r="D39" s="219"/>
      <c r="E39" s="219">
        <f>SUM(E30:E38)</f>
        <v>270365.86939123174</v>
      </c>
      <c r="F39" s="219">
        <f>SUM(F30:F38)</f>
        <v>200562.64628787513</v>
      </c>
      <c r="G39" s="166"/>
    </row>
    <row r="40" spans="1:7" ht="12.75">
      <c r="A40" s="214">
        <v>35</v>
      </c>
      <c r="B40" s="219"/>
      <c r="C40" s="219"/>
      <c r="D40" s="219"/>
      <c r="E40" s="219"/>
      <c r="F40" s="219"/>
      <c r="G40" s="166"/>
    </row>
    <row r="41" spans="1:7" ht="12.75">
      <c r="A41" s="214">
        <v>36</v>
      </c>
      <c r="B41" s="219" t="s">
        <v>190</v>
      </c>
      <c r="C41" s="219"/>
      <c r="D41" s="219"/>
      <c r="E41" s="219">
        <f>E39+E26</f>
        <v>2662168.7166924295</v>
      </c>
      <c r="F41" s="219">
        <f>F39+F26</f>
        <v>2620808.8059557434</v>
      </c>
      <c r="G41" s="166"/>
    </row>
    <row r="42" spans="1:7" ht="12.75">
      <c r="A42" s="214">
        <v>37</v>
      </c>
      <c r="B42" s="219"/>
      <c r="C42" s="219"/>
      <c r="D42" s="219"/>
      <c r="E42" s="219"/>
      <c r="F42" s="219"/>
      <c r="G42" s="166"/>
    </row>
    <row r="43" spans="1:7" ht="12.75">
      <c r="A43" s="214">
        <v>38</v>
      </c>
      <c r="B43" s="219" t="s">
        <v>344</v>
      </c>
      <c r="C43" s="219"/>
      <c r="D43" s="219"/>
      <c r="E43" s="219">
        <f>E7-E41</f>
        <v>47510.2833075705</v>
      </c>
      <c r="F43" s="219">
        <f>F7-F41</f>
        <v>68968.19404425658</v>
      </c>
      <c r="G43" s="166"/>
    </row>
    <row r="44" spans="2:7" ht="12.75">
      <c r="B44" s="166"/>
      <c r="C44" s="166"/>
      <c r="D44" s="166"/>
      <c r="E44" s="166"/>
      <c r="F44" s="166"/>
      <c r="G44" s="166"/>
    </row>
    <row r="45" spans="2:7" ht="12.75">
      <c r="B45" s="166"/>
      <c r="C45" s="166"/>
      <c r="D45" s="166"/>
      <c r="E45" s="166"/>
      <c r="F45" s="166"/>
      <c r="G45" s="166"/>
    </row>
    <row r="46" spans="2:7" ht="12.75">
      <c r="B46" s="166"/>
      <c r="C46" s="166"/>
      <c r="D46" s="166"/>
      <c r="E46" s="166"/>
      <c r="F46" s="166"/>
      <c r="G46" s="166"/>
    </row>
    <row r="47" spans="2:7" ht="12.75">
      <c r="B47" s="166"/>
      <c r="C47" s="166"/>
      <c r="D47" s="166"/>
      <c r="E47" s="166"/>
      <c r="F47" s="166"/>
      <c r="G47" s="169"/>
    </row>
    <row r="48" spans="6:7" ht="12.75">
      <c r="F48" s="226"/>
      <c r="G48" s="166"/>
    </row>
    <row r="49" spans="5:7" ht="12.75">
      <c r="E49" s="166"/>
      <c r="F49" s="166"/>
      <c r="G49" s="166"/>
    </row>
    <row r="50" spans="1:7" ht="12.75">
      <c r="A50" s="220"/>
      <c r="E50" s="166"/>
      <c r="F50" s="166"/>
      <c r="G50" s="166"/>
    </row>
    <row r="53" spans="1:7" ht="12.75">
      <c r="A53" s="397" t="s">
        <v>338</v>
      </c>
      <c r="B53" s="397"/>
      <c r="C53" s="397"/>
      <c r="D53" s="397"/>
      <c r="E53" s="397"/>
      <c r="F53" s="397"/>
      <c r="G53" s="222"/>
    </row>
    <row r="54" spans="1:7" ht="12.75">
      <c r="A54" s="397" t="s">
        <v>236</v>
      </c>
      <c r="B54" s="397"/>
      <c r="C54" s="397"/>
      <c r="D54" s="397"/>
      <c r="E54" s="397"/>
      <c r="F54" s="397"/>
      <c r="G54" s="222"/>
    </row>
    <row r="55" spans="1:7" ht="12.75">
      <c r="A55" s="397" t="s">
        <v>335</v>
      </c>
      <c r="B55" s="397"/>
      <c r="C55" s="397"/>
      <c r="D55" s="397"/>
      <c r="E55" s="397"/>
      <c r="F55" s="397"/>
      <c r="G55" s="222"/>
    </row>
    <row r="56" spans="1:7" ht="12.75">
      <c r="A56" s="166"/>
      <c r="B56" s="166"/>
      <c r="C56" s="166"/>
      <c r="D56" s="166"/>
      <c r="E56" s="166"/>
      <c r="F56" s="166"/>
      <c r="G56" s="166"/>
    </row>
    <row r="57" spans="1:7" ht="12.75">
      <c r="A57" s="166"/>
      <c r="B57" s="166"/>
      <c r="C57" s="166"/>
      <c r="D57" s="166"/>
      <c r="E57" s="216" t="s">
        <v>162</v>
      </c>
      <c r="F57" s="216" t="s">
        <v>163</v>
      </c>
      <c r="G57" s="216"/>
    </row>
    <row r="58" spans="1:7" ht="12.75">
      <c r="A58" s="166"/>
      <c r="B58" s="166"/>
      <c r="C58" s="166"/>
      <c r="D58" s="166"/>
      <c r="E58" s="213">
        <f>+'Income Statement Cash Flows'!E6</f>
        <v>2020</v>
      </c>
      <c r="F58" s="213">
        <f>+'Income Statement Cash Flows'!F6</f>
        <v>2021</v>
      </c>
      <c r="G58" s="213"/>
    </row>
    <row r="59" spans="1:7" ht="12.75">
      <c r="A59" s="166">
        <v>1</v>
      </c>
      <c r="B59" s="166" t="s">
        <v>240</v>
      </c>
      <c r="C59" s="166"/>
      <c r="D59" s="166"/>
      <c r="E59" s="166"/>
      <c r="F59" s="166"/>
      <c r="G59" s="166"/>
    </row>
    <row r="60" spans="1:7" ht="12.75" hidden="1">
      <c r="A60" s="166"/>
      <c r="B60" s="166"/>
      <c r="C60" s="166" t="s">
        <v>345</v>
      </c>
      <c r="D60" s="166"/>
      <c r="E60" s="166">
        <f>E7-E26-E30-E31-E32-E33-E35-E34</f>
        <v>28073.210631931084</v>
      </c>
      <c r="F60" s="166">
        <f>F7-F26-F30-F31-F32-F33-F35-F34</f>
        <v>47307.38027275901</v>
      </c>
      <c r="G60" s="166"/>
    </row>
    <row r="61" spans="1:7" ht="12.75">
      <c r="A61" s="166">
        <v>2</v>
      </c>
      <c r="B61" s="166"/>
      <c r="C61" s="166" t="s">
        <v>344</v>
      </c>
      <c r="D61" s="166"/>
      <c r="E61" s="166">
        <f>E43</f>
        <v>47510.2833075705</v>
      </c>
      <c r="F61" s="166">
        <f>F43</f>
        <v>68968.19404425658</v>
      </c>
      <c r="G61" s="166"/>
    </row>
    <row r="62" spans="1:7" ht="12.75">
      <c r="A62" s="166">
        <v>3</v>
      </c>
      <c r="B62" s="166"/>
      <c r="C62" s="166" t="s">
        <v>238</v>
      </c>
      <c r="D62" s="166"/>
      <c r="E62" s="166"/>
      <c r="F62" s="166"/>
      <c r="G62" s="166"/>
    </row>
    <row r="63" spans="1:7" ht="12.75">
      <c r="A63" s="166">
        <v>4</v>
      </c>
      <c r="B63" s="166"/>
      <c r="C63" s="166"/>
      <c r="D63" s="166" t="s">
        <v>253</v>
      </c>
      <c r="E63" s="166">
        <f>+'Income Statement Cash Flows'!E59</f>
        <v>9826.374364535337</v>
      </c>
      <c r="F63" s="219">
        <f>+'Income Statement Cash Flows'!F59</f>
        <v>8862.537513691579</v>
      </c>
      <c r="G63" s="166"/>
    </row>
    <row r="64" spans="1:7" ht="12.75">
      <c r="A64" s="166">
        <v>5</v>
      </c>
      <c r="B64" s="166"/>
      <c r="C64" s="166"/>
      <c r="D64" s="166" t="s">
        <v>239</v>
      </c>
      <c r="E64" s="166">
        <f>E24+E25</f>
        <v>518294.54724507</v>
      </c>
      <c r="F64" s="219">
        <f>F24+F25</f>
        <v>525414.1369780031</v>
      </c>
      <c r="G64" s="166"/>
    </row>
    <row r="65" spans="1:7" ht="12.75">
      <c r="A65" s="166">
        <v>6</v>
      </c>
      <c r="B65" s="166"/>
      <c r="C65" s="166"/>
      <c r="D65" s="166" t="s">
        <v>566</v>
      </c>
      <c r="E65" s="166">
        <f>+'Income Statement Cash Flows'!E61</f>
        <v>-13869.617675639483</v>
      </c>
      <c r="F65" s="219">
        <f>+'Income Statement Cash Flows'!F61</f>
        <v>-14331.937621497695</v>
      </c>
      <c r="G65" s="166"/>
    </row>
    <row r="66" spans="1:7" ht="12.75">
      <c r="A66" s="166">
        <v>7</v>
      </c>
      <c r="B66" s="166"/>
      <c r="C66" s="166"/>
      <c r="D66" s="166" t="s">
        <v>186</v>
      </c>
      <c r="E66" s="166">
        <f>E31</f>
        <v>-45937</v>
      </c>
      <c r="F66" s="219">
        <f>F31</f>
        <v>-45937</v>
      </c>
      <c r="G66" s="166"/>
    </row>
    <row r="67" spans="1:7" ht="12.75">
      <c r="A67" s="166">
        <v>8</v>
      </c>
      <c r="B67" s="169"/>
      <c r="C67" s="223"/>
      <c r="D67" s="166" t="s">
        <v>346</v>
      </c>
      <c r="E67" s="166">
        <f>+'Income Statement Cash Flows'!E63</f>
        <v>-30600</v>
      </c>
      <c r="F67" s="219">
        <f>+'Income Statement Cash Flows'!F63</f>
        <v>-30600</v>
      </c>
      <c r="G67" s="166"/>
    </row>
    <row r="68" spans="1:7" ht="12.75">
      <c r="A68" s="166">
        <v>9</v>
      </c>
      <c r="B68" s="169"/>
      <c r="C68" s="214" t="s">
        <v>721</v>
      </c>
      <c r="D68" s="166"/>
      <c r="E68" s="166">
        <f>-'IPR Data'!C67/1000</f>
        <v>-4100</v>
      </c>
      <c r="F68" s="219">
        <f>-'IPR Data'!D67/1000</f>
        <v>-4300</v>
      </c>
      <c r="G68" s="166"/>
    </row>
    <row r="69" spans="1:7" ht="12.75">
      <c r="A69" s="166">
        <v>10</v>
      </c>
      <c r="B69" s="169"/>
      <c r="C69" s="214" t="s">
        <v>682</v>
      </c>
      <c r="D69" s="166"/>
      <c r="E69" s="166">
        <f>+'Income Statement Cash Flows'!E65</f>
        <v>16590</v>
      </c>
      <c r="F69" s="219">
        <f>+'Income Statement Cash Flows'!F65</f>
        <v>15885</v>
      </c>
      <c r="G69" s="166"/>
    </row>
    <row r="70" spans="1:7" ht="12.75">
      <c r="A70" s="166">
        <v>11</v>
      </c>
      <c r="B70" s="219"/>
      <c r="C70" s="218" t="s">
        <v>347</v>
      </c>
      <c r="D70" s="219"/>
      <c r="E70" s="335">
        <v>-31725</v>
      </c>
      <c r="F70" s="335">
        <f>-E70</f>
        <v>31725</v>
      </c>
      <c r="G70" s="166"/>
    </row>
    <row r="71" spans="1:7" ht="12.75">
      <c r="A71" s="166">
        <v>12</v>
      </c>
      <c r="B71" s="166" t="s">
        <v>240</v>
      </c>
      <c r="C71" s="166"/>
      <c r="D71" s="166"/>
      <c r="E71" s="221">
        <f>SUM(E61:E70)</f>
        <v>465989.58724153636</v>
      </c>
      <c r="F71" s="221">
        <f>SUM(F61:F70)</f>
        <v>555685.9309144536</v>
      </c>
      <c r="G71" s="221"/>
    </row>
    <row r="72" spans="1:7" ht="12.75">
      <c r="A72" s="166">
        <v>13</v>
      </c>
      <c r="B72" s="166"/>
      <c r="C72" s="166"/>
      <c r="D72" s="166"/>
      <c r="E72" s="166"/>
      <c r="F72" s="166"/>
      <c r="G72" s="166"/>
    </row>
    <row r="73" spans="1:7" ht="12.75">
      <c r="A73" s="166">
        <v>14</v>
      </c>
      <c r="B73" s="166" t="s">
        <v>348</v>
      </c>
      <c r="C73" s="166"/>
      <c r="D73" s="166"/>
      <c r="E73" s="166"/>
      <c r="F73" s="166"/>
      <c r="G73" s="166"/>
    </row>
    <row r="74" spans="1:7" ht="12.75">
      <c r="A74" s="166">
        <v>15</v>
      </c>
      <c r="B74" s="166"/>
      <c r="C74" s="166" t="s">
        <v>241</v>
      </c>
      <c r="D74" s="166"/>
      <c r="E74" s="166"/>
      <c r="F74" s="166"/>
      <c r="G74" s="166"/>
    </row>
    <row r="75" spans="1:7" ht="12.75">
      <c r="A75" s="166">
        <v>16</v>
      </c>
      <c r="B75" s="166"/>
      <c r="C75" s="166"/>
      <c r="D75" s="166" t="s">
        <v>349</v>
      </c>
      <c r="E75" s="166">
        <f>+'Income Statement Cash Flows'!E70</f>
        <v>-280737.0431</v>
      </c>
      <c r="F75" s="166">
        <f>+'Income Statement Cash Flows'!F70</f>
        <v>-323018.17079999996</v>
      </c>
      <c r="G75" s="166"/>
    </row>
    <row r="76" spans="1:7" ht="12.75">
      <c r="A76" s="166">
        <v>17</v>
      </c>
      <c r="B76" s="166"/>
      <c r="C76" s="166"/>
      <c r="D76" s="166" t="s">
        <v>229</v>
      </c>
      <c r="E76" s="274">
        <f>+'Income Statement Cash Flows'!E71</f>
        <v>-47266.246</v>
      </c>
      <c r="F76" s="274">
        <f>+'Income Statement Cash Flows'!F71</f>
        <v>-47266.246</v>
      </c>
      <c r="G76" s="166"/>
    </row>
    <row r="77" spans="1:7" ht="12.75">
      <c r="A77" s="166">
        <v>18</v>
      </c>
      <c r="B77" s="166" t="s">
        <v>348</v>
      </c>
      <c r="C77" s="166"/>
      <c r="D77" s="166"/>
      <c r="E77" s="166">
        <f>SUM(E75:E76)</f>
        <v>-328003.2891</v>
      </c>
      <c r="F77" s="166">
        <f>SUM(F75:F76)</f>
        <v>-370284.41679999995</v>
      </c>
      <c r="G77" s="166"/>
    </row>
    <row r="78" spans="1:7" ht="12.75">
      <c r="A78" s="166">
        <v>19</v>
      </c>
      <c r="B78" s="166"/>
      <c r="C78" s="166"/>
      <c r="D78" s="166"/>
      <c r="E78" s="166"/>
      <c r="F78" s="166"/>
      <c r="G78" s="166"/>
    </row>
    <row r="79" spans="1:7" ht="12.75">
      <c r="A79" s="166">
        <v>20</v>
      </c>
      <c r="B79" s="166" t="s">
        <v>350</v>
      </c>
      <c r="C79" s="166"/>
      <c r="D79" s="166"/>
      <c r="E79" s="166"/>
      <c r="F79" s="166"/>
      <c r="G79" s="166"/>
    </row>
    <row r="80" spans="1:7" ht="12.75">
      <c r="A80" s="166">
        <v>21</v>
      </c>
      <c r="C80" s="166" t="s">
        <v>351</v>
      </c>
      <c r="D80" s="166"/>
      <c r="E80" s="166">
        <f>E77*-1-E82-E85</f>
        <v>308884.51399999997</v>
      </c>
      <c r="F80" s="166">
        <f>F77*-1-F82-F85</f>
        <v>327638.51399999997</v>
      </c>
      <c r="G80" s="166"/>
    </row>
    <row r="81" spans="1:7" ht="12.75">
      <c r="A81" s="166">
        <v>22</v>
      </c>
      <c r="C81" s="166" t="s">
        <v>353</v>
      </c>
      <c r="D81" s="166"/>
      <c r="E81" s="166">
        <f>-'Federal Capital Costs'!D14</f>
        <v>-173072</v>
      </c>
      <c r="F81" s="166">
        <f>-'Federal Capital Costs'!E14</f>
        <v>-518065</v>
      </c>
      <c r="G81" s="166"/>
    </row>
    <row r="82" spans="1:7" ht="12.75">
      <c r="A82" s="166">
        <v>23</v>
      </c>
      <c r="C82" s="166" t="s">
        <v>246</v>
      </c>
      <c r="D82" s="166"/>
      <c r="E82" s="166">
        <f>+'Income Statement Cash Flows'!E77</f>
        <v>19118.7751</v>
      </c>
      <c r="F82" s="166">
        <f>+'Income Statement Cash Flows'!F77</f>
        <v>42645.902799999996</v>
      </c>
      <c r="G82" s="166"/>
    </row>
    <row r="83" spans="1:7" ht="12.75">
      <c r="A83" s="166">
        <v>24</v>
      </c>
      <c r="C83" s="166" t="s">
        <v>247</v>
      </c>
      <c r="D83" s="166"/>
      <c r="E83" s="166">
        <f>-'Federal Capital Costs'!D13</f>
        <v>0</v>
      </c>
      <c r="F83" s="166">
        <f>-'Federal Capital Costs'!E13</f>
        <v>0</v>
      </c>
      <c r="G83" s="166"/>
    </row>
    <row r="84" spans="1:7" ht="12.75">
      <c r="A84" s="166">
        <v>25</v>
      </c>
      <c r="C84" s="166" t="s">
        <v>567</v>
      </c>
      <c r="D84" s="166"/>
      <c r="E84" s="166">
        <f>+'Income Statement Cash Flows'!E79</f>
        <v>-268581.1</v>
      </c>
      <c r="F84" s="166">
        <f>+'Income Statement Cash Flows'!F79</f>
        <v>-22870.6</v>
      </c>
      <c r="G84" s="166"/>
    </row>
    <row r="85" spans="1:7" ht="12.75">
      <c r="A85" s="166">
        <v>26</v>
      </c>
      <c r="C85" s="166" t="s">
        <v>352</v>
      </c>
      <c r="D85" s="166"/>
      <c r="E85" s="166">
        <f>+'Income Statement Cash Flows'!E80</f>
        <v>0</v>
      </c>
      <c r="F85" s="166">
        <v>0</v>
      </c>
      <c r="G85" s="166"/>
    </row>
    <row r="86" spans="1:7" ht="12.75">
      <c r="A86" s="166">
        <v>27</v>
      </c>
      <c r="C86" s="166" t="s">
        <v>248</v>
      </c>
      <c r="D86" s="166"/>
      <c r="E86" s="274">
        <f>+'Income Statement Cash Flows'!E81</f>
        <v>-24331</v>
      </c>
      <c r="F86" s="274">
        <f>+'Income Statement Cash Flows'!F81</f>
        <v>-14747</v>
      </c>
      <c r="G86" s="166"/>
    </row>
    <row r="87" spans="1:7" ht="12.75">
      <c r="A87" s="166">
        <v>28</v>
      </c>
      <c r="B87" s="166" t="s">
        <v>354</v>
      </c>
      <c r="C87" s="166"/>
      <c r="D87" s="166"/>
      <c r="E87" s="166">
        <f>SUM(E80:E86)</f>
        <v>-137980.8109</v>
      </c>
      <c r="F87" s="166">
        <f>SUM(F80:F86)</f>
        <v>-185398.18320000006</v>
      </c>
      <c r="G87" s="166"/>
    </row>
    <row r="88" spans="1:7" ht="12.75">
      <c r="A88" s="166">
        <v>29</v>
      </c>
      <c r="B88" s="166"/>
      <c r="C88" s="166"/>
      <c r="D88" s="166"/>
      <c r="E88" s="166"/>
      <c r="F88" s="166"/>
      <c r="G88" s="166"/>
    </row>
    <row r="89" spans="1:7" ht="12.75">
      <c r="A89" s="166">
        <v>30</v>
      </c>
      <c r="B89" s="219" t="s">
        <v>250</v>
      </c>
      <c r="C89" s="219"/>
      <c r="D89" s="219"/>
      <c r="E89" s="219">
        <f>E71+E77+E87</f>
        <v>5.487241536349757</v>
      </c>
      <c r="F89" s="219">
        <f>F71+F77+F87</f>
        <v>3.3309144535742234</v>
      </c>
      <c r="G89" s="166"/>
    </row>
    <row r="90" spans="1:7" ht="12.75">
      <c r="A90" s="166"/>
      <c r="B90" s="166"/>
      <c r="C90" s="166"/>
      <c r="D90" s="166"/>
      <c r="E90" s="166"/>
      <c r="F90" s="166"/>
      <c r="G90" s="166"/>
    </row>
    <row r="91" spans="1:7" ht="12.75">
      <c r="A91" s="166"/>
      <c r="B91" s="166"/>
      <c r="C91" s="166"/>
      <c r="D91" s="166"/>
      <c r="E91" s="166"/>
      <c r="F91" s="166"/>
      <c r="G91" s="166"/>
    </row>
    <row r="92" spans="1:7" ht="12.75">
      <c r="A92" s="166"/>
      <c r="B92" s="166"/>
      <c r="C92" s="166"/>
      <c r="D92" s="226"/>
      <c r="E92" s="166"/>
      <c r="F92" s="166"/>
      <c r="G92" s="166"/>
    </row>
    <row r="93" spans="3:7" ht="12.75">
      <c r="C93" s="166"/>
      <c r="D93" s="226"/>
      <c r="E93" s="166"/>
      <c r="F93" s="166"/>
      <c r="G93" s="166"/>
    </row>
    <row r="94" spans="1:7" ht="12.75">
      <c r="A94" s="166"/>
      <c r="C94" s="166"/>
      <c r="D94" s="226"/>
      <c r="E94" s="166"/>
      <c r="F94" s="166"/>
      <c r="G94" s="166"/>
    </row>
    <row r="95" spans="1:7" ht="12.75">
      <c r="A95" s="166"/>
      <c r="B95" s="166"/>
      <c r="C95" s="166" t="s">
        <v>355</v>
      </c>
      <c r="D95" s="166"/>
      <c r="E95" s="166">
        <f>E60+E64+E63+E66+E67+E77+E87+E69+'interest credit calculations'!C82</f>
        <v>35222.03224153639</v>
      </c>
      <c r="F95" s="166">
        <f>F60+F64+F63+F66+F67+F77+F87+'interest credit calculations'!D82</f>
        <v>-43553.545235546335</v>
      </c>
      <c r="G95" s="166"/>
    </row>
    <row r="96" spans="1:7" ht="12.75">
      <c r="A96" s="166"/>
      <c r="B96" s="166"/>
      <c r="G96" s="166"/>
    </row>
    <row r="97" spans="5:7" ht="12.75">
      <c r="E97" s="166"/>
      <c r="F97" s="166"/>
      <c r="G97" s="166"/>
    </row>
    <row r="98" spans="5:7" ht="12.75">
      <c r="E98" s="166"/>
      <c r="F98" s="166"/>
      <c r="G98" s="166"/>
    </row>
    <row r="99" spans="2:7" ht="12.75">
      <c r="B99" s="166"/>
      <c r="C99" s="166"/>
      <c r="D99" s="166"/>
      <c r="E99" s="166"/>
      <c r="F99" s="166"/>
      <c r="G99" s="166"/>
    </row>
    <row r="100" spans="5:7" ht="12.75">
      <c r="E100" s="166"/>
      <c r="F100" s="166"/>
      <c r="G100" s="166"/>
    </row>
    <row r="101" spans="5:7" ht="12.75">
      <c r="E101" s="166"/>
      <c r="F101" s="166"/>
      <c r="G101" s="166"/>
    </row>
    <row r="102" spans="5:7" ht="12.75">
      <c r="E102" s="166"/>
      <c r="F102" s="166"/>
      <c r="G102" s="166"/>
    </row>
    <row r="103" spans="5:7" ht="12.75">
      <c r="E103" s="166"/>
      <c r="F103" s="166"/>
      <c r="G103" s="166"/>
    </row>
    <row r="104" spans="5:7" ht="12.75">
      <c r="E104" s="166"/>
      <c r="F104" s="166"/>
      <c r="G104" s="166"/>
    </row>
    <row r="105" spans="5:7" ht="12.75">
      <c r="E105" s="166"/>
      <c r="F105" s="166"/>
      <c r="G105" s="166"/>
    </row>
    <row r="106" spans="5:7" ht="12.75">
      <c r="E106" s="166"/>
      <c r="F106" s="166"/>
      <c r="G106" s="166"/>
    </row>
    <row r="107" spans="5:7" ht="12.75">
      <c r="E107" s="166"/>
      <c r="F107" s="166"/>
      <c r="G107" s="166"/>
    </row>
    <row r="108" spans="5:7" ht="12.75">
      <c r="E108" s="166"/>
      <c r="F108" s="166"/>
      <c r="G108" s="166"/>
    </row>
    <row r="109" spans="5:7" ht="12.75">
      <c r="E109" s="166"/>
      <c r="F109" s="166"/>
      <c r="G109" s="166"/>
    </row>
    <row r="110" spans="5:7" ht="12.75">
      <c r="E110" s="166"/>
      <c r="F110" s="166"/>
      <c r="G110" s="166"/>
    </row>
    <row r="111" spans="5:7" ht="12.75">
      <c r="E111" s="166"/>
      <c r="F111" s="166"/>
      <c r="G111" s="166"/>
    </row>
    <row r="112" spans="5:7" ht="12.75">
      <c r="E112" s="166"/>
      <c r="F112" s="166"/>
      <c r="G112" s="166"/>
    </row>
    <row r="113" spans="5:7" ht="12.75">
      <c r="E113" s="166"/>
      <c r="F113" s="166"/>
      <c r="G113" s="166"/>
    </row>
    <row r="114" spans="5:7" ht="12.75">
      <c r="E114" s="166"/>
      <c r="F114" s="166"/>
      <c r="G114" s="166"/>
    </row>
    <row r="115" spans="5:7" ht="12.75">
      <c r="E115" s="166"/>
      <c r="F115" s="166"/>
      <c r="G115" s="166"/>
    </row>
    <row r="116" spans="5:7" ht="12.75">
      <c r="E116" s="166"/>
      <c r="F116" s="166"/>
      <c r="G116" s="166"/>
    </row>
    <row r="117" spans="5:7" ht="12.75">
      <c r="E117" s="166"/>
      <c r="F117" s="166"/>
      <c r="G117" s="166"/>
    </row>
    <row r="118" spans="5:7" ht="12.75">
      <c r="E118" s="166"/>
      <c r="F118" s="166"/>
      <c r="G118" s="166"/>
    </row>
    <row r="119" spans="5:7" ht="12.75">
      <c r="E119" s="166"/>
      <c r="F119" s="166"/>
      <c r="G119" s="166"/>
    </row>
    <row r="120" spans="5:7" ht="12.75">
      <c r="E120" s="166"/>
      <c r="F120" s="166"/>
      <c r="G120" s="166"/>
    </row>
    <row r="121" spans="5:7" ht="12.75">
      <c r="E121" s="166"/>
      <c r="F121" s="166"/>
      <c r="G121" s="166"/>
    </row>
    <row r="122" spans="5:7" ht="12.75">
      <c r="E122" s="166"/>
      <c r="F122" s="166"/>
      <c r="G122" s="166"/>
    </row>
    <row r="123" spans="5:7" ht="12.75">
      <c r="E123" s="166"/>
      <c r="F123" s="166"/>
      <c r="G123" s="166"/>
    </row>
    <row r="124" spans="5:7" ht="12.75">
      <c r="E124" s="166"/>
      <c r="F124" s="166"/>
      <c r="G124" s="166"/>
    </row>
    <row r="125" spans="5:7" ht="12.75">
      <c r="E125" s="166"/>
      <c r="F125" s="166"/>
      <c r="G125" s="166"/>
    </row>
    <row r="126" spans="5:7" ht="12.75">
      <c r="E126" s="166"/>
      <c r="F126" s="166"/>
      <c r="G126" s="166"/>
    </row>
    <row r="127" spans="5:7" ht="12.75">
      <c r="E127" s="166"/>
      <c r="F127" s="166"/>
      <c r="G127" s="166"/>
    </row>
    <row r="128" spans="5:7" ht="12.75">
      <c r="E128" s="166"/>
      <c r="F128" s="166"/>
      <c r="G128" s="166"/>
    </row>
    <row r="129" spans="5:7" ht="12.75">
      <c r="E129" s="166"/>
      <c r="F129" s="166"/>
      <c r="G129" s="166"/>
    </row>
    <row r="130" spans="5:7" ht="12.75">
      <c r="E130" s="166"/>
      <c r="F130" s="166"/>
      <c r="G130" s="166"/>
    </row>
    <row r="131" spans="5:7" ht="12.75">
      <c r="E131" s="166"/>
      <c r="F131" s="166"/>
      <c r="G131" s="166"/>
    </row>
    <row r="132" spans="5:7" ht="12.75">
      <c r="E132" s="166"/>
      <c r="F132" s="166"/>
      <c r="G132" s="166"/>
    </row>
    <row r="133" spans="5:7" ht="12.75">
      <c r="E133" s="166"/>
      <c r="F133" s="166"/>
      <c r="G133" s="166"/>
    </row>
    <row r="134" spans="5:7" ht="12.75">
      <c r="E134" s="166"/>
      <c r="F134" s="166"/>
      <c r="G134" s="166"/>
    </row>
    <row r="135" spans="5:7" ht="12.75">
      <c r="E135" s="166"/>
      <c r="F135" s="166"/>
      <c r="G135" s="166"/>
    </row>
    <row r="136" spans="5:7" ht="12.75">
      <c r="E136" s="166"/>
      <c r="F136" s="166"/>
      <c r="G136" s="166"/>
    </row>
    <row r="137" spans="5:7" ht="12.75">
      <c r="E137" s="166"/>
      <c r="F137" s="166"/>
      <c r="G137" s="166"/>
    </row>
    <row r="138" spans="5:7" ht="12.75">
      <c r="E138" s="166"/>
      <c r="F138" s="166"/>
      <c r="G138" s="166"/>
    </row>
    <row r="139" spans="5:7" ht="12.75">
      <c r="E139" s="166"/>
      <c r="F139" s="166"/>
      <c r="G139" s="166"/>
    </row>
    <row r="140" spans="5:7" ht="12.75">
      <c r="E140" s="166"/>
      <c r="F140" s="166"/>
      <c r="G140" s="166"/>
    </row>
    <row r="141" spans="5:7" ht="12.75">
      <c r="E141" s="166"/>
      <c r="F141" s="166"/>
      <c r="G141" s="166"/>
    </row>
    <row r="142" spans="5:7" ht="12.75">
      <c r="E142" s="166"/>
      <c r="F142" s="166"/>
      <c r="G142" s="166"/>
    </row>
    <row r="143" spans="5:7" ht="12.75">
      <c r="E143" s="166"/>
      <c r="F143" s="166"/>
      <c r="G143" s="166"/>
    </row>
    <row r="144" spans="5:7" ht="12.75">
      <c r="E144" s="166"/>
      <c r="F144" s="166"/>
      <c r="G144" s="166"/>
    </row>
    <row r="145" spans="5:7" ht="12.75">
      <c r="E145" s="166"/>
      <c r="F145" s="166"/>
      <c r="G145" s="166"/>
    </row>
    <row r="146" spans="5:7" ht="12.75">
      <c r="E146" s="166"/>
      <c r="F146" s="166"/>
      <c r="G146" s="166"/>
    </row>
    <row r="147" spans="5:7" ht="12.75">
      <c r="E147" s="166"/>
      <c r="F147" s="166"/>
      <c r="G147" s="166"/>
    </row>
    <row r="148" spans="5:7" ht="12.75">
      <c r="E148" s="166"/>
      <c r="F148" s="166"/>
      <c r="G148" s="166"/>
    </row>
  </sheetData>
  <mergeCells count="6">
    <mergeCell ref="A55:F55"/>
    <mergeCell ref="A1:F1"/>
    <mergeCell ref="A2:F2"/>
    <mergeCell ref="A3:F3"/>
    <mergeCell ref="A53:F53"/>
    <mergeCell ref="A54:F5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AK151"/>
  <sheetViews>
    <sheetView zoomScale="75" zoomScaleNormal="75" workbookViewId="0" topLeftCell="F9">
      <selection activeCell="O9" sqref="O1:S1048576"/>
    </sheetView>
  </sheetViews>
  <sheetFormatPr defaultColWidth="11.00390625" defaultRowHeight="12.75"/>
  <cols>
    <col min="1" max="1" width="5.28125" style="165" customWidth="1"/>
    <col min="2" max="2" width="15.57421875" style="166" customWidth="1"/>
    <col min="3" max="4" width="17.7109375" style="166" customWidth="1"/>
    <col min="5" max="6" width="18.7109375" style="166" customWidth="1"/>
    <col min="7" max="7" width="19.00390625" style="166" customWidth="1"/>
    <col min="8" max="8" width="17.421875" style="166" customWidth="1"/>
    <col min="9" max="9" width="16.7109375" style="166" customWidth="1"/>
    <col min="10" max="10" width="18.8515625" style="166" customWidth="1"/>
    <col min="11" max="11" width="22.140625" style="166" customWidth="1"/>
    <col min="12" max="12" width="22.00390625" style="181" customWidth="1"/>
    <col min="13" max="13" width="19.00390625" style="181" customWidth="1"/>
    <col min="14" max="14" width="14.140625" style="181" customWidth="1"/>
    <col min="15" max="15" width="36.7109375" style="181" bestFit="1" customWidth="1"/>
    <col min="16" max="17" width="25.00390625" style="181" customWidth="1"/>
    <col min="18" max="18" width="1.8515625" style="166" customWidth="1"/>
    <col min="19" max="19" width="17.8515625" style="166" customWidth="1"/>
    <col min="20" max="20" width="1.8515625" style="166" customWidth="1"/>
    <col min="21" max="21" width="19.00390625" style="166" customWidth="1"/>
    <col min="22" max="22" width="1.8515625" style="166" customWidth="1"/>
    <col min="23" max="23" width="16.7109375" style="166" customWidth="1"/>
    <col min="24" max="24" width="1.8515625" style="166" customWidth="1"/>
    <col min="25" max="25" width="16.7109375" style="166" customWidth="1"/>
    <col min="26" max="26" width="1.8515625" style="166" customWidth="1"/>
    <col min="27" max="27" width="16.7109375" style="166" customWidth="1"/>
    <col min="28" max="28" width="1.8515625" style="166" customWidth="1"/>
    <col min="29" max="29" width="16.7109375" style="166" customWidth="1"/>
    <col min="30" max="30" width="1.8515625" style="166" customWidth="1"/>
    <col min="31" max="31" width="17.8515625" style="166" customWidth="1"/>
    <col min="32" max="32" width="5.28125" style="166" customWidth="1"/>
    <col min="33" max="33" width="16.7109375" style="166" customWidth="1"/>
    <col min="34" max="34" width="5.28125" style="166" customWidth="1"/>
    <col min="35" max="35" width="14.421875" style="166" customWidth="1"/>
    <col min="36" max="36" width="1.8515625" style="166" customWidth="1"/>
    <col min="37" max="37" width="16.7109375" style="166" customWidth="1"/>
    <col min="38" max="247" width="11.00390625" style="166" customWidth="1"/>
    <col min="248" max="248" width="7.57421875" style="166" customWidth="1"/>
    <col min="249" max="249" width="15.57421875" style="166" customWidth="1"/>
    <col min="250" max="250" width="20.140625" style="166" customWidth="1"/>
    <col min="251" max="251" width="2.28125" style="166" customWidth="1"/>
    <col min="252" max="252" width="17.421875" style="166" customWidth="1"/>
    <col min="253" max="253" width="1.8515625" style="166" customWidth="1"/>
    <col min="254" max="254" width="18.7109375" style="166" customWidth="1"/>
    <col min="255" max="255" width="1.8515625" style="166" customWidth="1"/>
    <col min="256" max="256" width="23.00390625" style="166" customWidth="1"/>
    <col min="257" max="257" width="1.8515625" style="166" customWidth="1"/>
    <col min="258" max="258" width="17.421875" style="166" customWidth="1"/>
    <col min="259" max="259" width="3.00390625" style="166" customWidth="1"/>
    <col min="260" max="260" width="16.28125" style="166" customWidth="1"/>
    <col min="261" max="261" width="3.00390625" style="166" customWidth="1"/>
    <col min="262" max="262" width="14.140625" style="166" customWidth="1"/>
    <col min="263" max="263" width="2.00390625" style="166" customWidth="1"/>
    <col min="264" max="264" width="15.8515625" style="166" customWidth="1"/>
    <col min="265" max="265" width="3.140625" style="166" customWidth="1"/>
    <col min="266" max="266" width="17.8515625" style="166" customWidth="1"/>
    <col min="267" max="267" width="2.57421875" style="166" customWidth="1"/>
    <col min="268" max="268" width="15.57421875" style="166" customWidth="1"/>
    <col min="269" max="269" width="1.8515625" style="166" customWidth="1"/>
    <col min="270" max="270" width="14.140625" style="166" customWidth="1"/>
    <col min="271" max="271" width="11.00390625" style="166" customWidth="1"/>
    <col min="272" max="273" width="25.00390625" style="166" customWidth="1"/>
    <col min="274" max="274" width="1.8515625" style="166" customWidth="1"/>
    <col min="275" max="275" width="17.8515625" style="166" customWidth="1"/>
    <col min="276" max="276" width="1.8515625" style="166" customWidth="1"/>
    <col min="277" max="277" width="19.00390625" style="166" customWidth="1"/>
    <col min="278" max="278" width="1.8515625" style="166" customWidth="1"/>
    <col min="279" max="279" width="16.7109375" style="166" customWidth="1"/>
    <col min="280" max="280" width="1.8515625" style="166" customWidth="1"/>
    <col min="281" max="281" width="16.7109375" style="166" customWidth="1"/>
    <col min="282" max="282" width="1.8515625" style="166" customWidth="1"/>
    <col min="283" max="283" width="16.7109375" style="166" customWidth="1"/>
    <col min="284" max="284" width="1.8515625" style="166" customWidth="1"/>
    <col min="285" max="285" width="16.7109375" style="166" customWidth="1"/>
    <col min="286" max="286" width="1.8515625" style="166" customWidth="1"/>
    <col min="287" max="287" width="17.8515625" style="166" customWidth="1"/>
    <col min="288" max="288" width="5.28125" style="166" customWidth="1"/>
    <col min="289" max="289" width="16.7109375" style="166" customWidth="1"/>
    <col min="290" max="290" width="5.28125" style="166" customWidth="1"/>
    <col min="291" max="291" width="14.421875" style="166" customWidth="1"/>
    <col min="292" max="292" width="1.8515625" style="166" customWidth="1"/>
    <col min="293" max="293" width="16.7109375" style="166" customWidth="1"/>
    <col min="294" max="503" width="11.00390625" style="166" customWidth="1"/>
    <col min="504" max="504" width="7.57421875" style="166" customWidth="1"/>
    <col min="505" max="505" width="15.57421875" style="166" customWidth="1"/>
    <col min="506" max="506" width="20.140625" style="166" customWidth="1"/>
    <col min="507" max="507" width="2.28125" style="166" customWidth="1"/>
    <col min="508" max="508" width="17.421875" style="166" customWidth="1"/>
    <col min="509" max="509" width="1.8515625" style="166" customWidth="1"/>
    <col min="510" max="510" width="18.7109375" style="166" customWidth="1"/>
    <col min="511" max="511" width="1.8515625" style="166" customWidth="1"/>
    <col min="512" max="512" width="23.00390625" style="166" customWidth="1"/>
    <col min="513" max="513" width="1.8515625" style="166" customWidth="1"/>
    <col min="514" max="514" width="17.421875" style="166" customWidth="1"/>
    <col min="515" max="515" width="3.00390625" style="166" customWidth="1"/>
    <col min="516" max="516" width="16.28125" style="166" customWidth="1"/>
    <col min="517" max="517" width="3.00390625" style="166" customWidth="1"/>
    <col min="518" max="518" width="14.140625" style="166" customWidth="1"/>
    <col min="519" max="519" width="2.00390625" style="166" customWidth="1"/>
    <col min="520" max="520" width="15.8515625" style="166" customWidth="1"/>
    <col min="521" max="521" width="3.140625" style="166" customWidth="1"/>
    <col min="522" max="522" width="17.8515625" style="166" customWidth="1"/>
    <col min="523" max="523" width="2.57421875" style="166" customWidth="1"/>
    <col min="524" max="524" width="15.57421875" style="166" customWidth="1"/>
    <col min="525" max="525" width="1.8515625" style="166" customWidth="1"/>
    <col min="526" max="526" width="14.140625" style="166" customWidth="1"/>
    <col min="527" max="527" width="11.00390625" style="166" customWidth="1"/>
    <col min="528" max="529" width="25.00390625" style="166" customWidth="1"/>
    <col min="530" max="530" width="1.8515625" style="166" customWidth="1"/>
    <col min="531" max="531" width="17.8515625" style="166" customWidth="1"/>
    <col min="532" max="532" width="1.8515625" style="166" customWidth="1"/>
    <col min="533" max="533" width="19.00390625" style="166" customWidth="1"/>
    <col min="534" max="534" width="1.8515625" style="166" customWidth="1"/>
    <col min="535" max="535" width="16.7109375" style="166" customWidth="1"/>
    <col min="536" max="536" width="1.8515625" style="166" customWidth="1"/>
    <col min="537" max="537" width="16.7109375" style="166" customWidth="1"/>
    <col min="538" max="538" width="1.8515625" style="166" customWidth="1"/>
    <col min="539" max="539" width="16.7109375" style="166" customWidth="1"/>
    <col min="540" max="540" width="1.8515625" style="166" customWidth="1"/>
    <col min="541" max="541" width="16.7109375" style="166" customWidth="1"/>
    <col min="542" max="542" width="1.8515625" style="166" customWidth="1"/>
    <col min="543" max="543" width="17.8515625" style="166" customWidth="1"/>
    <col min="544" max="544" width="5.28125" style="166" customWidth="1"/>
    <col min="545" max="545" width="16.7109375" style="166" customWidth="1"/>
    <col min="546" max="546" width="5.28125" style="166" customWidth="1"/>
    <col min="547" max="547" width="14.421875" style="166" customWidth="1"/>
    <col min="548" max="548" width="1.8515625" style="166" customWidth="1"/>
    <col min="549" max="549" width="16.7109375" style="166" customWidth="1"/>
    <col min="550" max="759" width="11.00390625" style="166" customWidth="1"/>
    <col min="760" max="760" width="7.57421875" style="166" customWidth="1"/>
    <col min="761" max="761" width="15.57421875" style="166" customWidth="1"/>
    <col min="762" max="762" width="20.140625" style="166" customWidth="1"/>
    <col min="763" max="763" width="2.28125" style="166" customWidth="1"/>
    <col min="764" max="764" width="17.421875" style="166" customWidth="1"/>
    <col min="765" max="765" width="1.8515625" style="166" customWidth="1"/>
    <col min="766" max="766" width="18.7109375" style="166" customWidth="1"/>
    <col min="767" max="767" width="1.8515625" style="166" customWidth="1"/>
    <col min="768" max="768" width="23.00390625" style="166" customWidth="1"/>
    <col min="769" max="769" width="1.8515625" style="166" customWidth="1"/>
    <col min="770" max="770" width="17.421875" style="166" customWidth="1"/>
    <col min="771" max="771" width="3.00390625" style="166" customWidth="1"/>
    <col min="772" max="772" width="16.28125" style="166" customWidth="1"/>
    <col min="773" max="773" width="3.00390625" style="166" customWidth="1"/>
    <col min="774" max="774" width="14.140625" style="166" customWidth="1"/>
    <col min="775" max="775" width="2.00390625" style="166" customWidth="1"/>
    <col min="776" max="776" width="15.8515625" style="166" customWidth="1"/>
    <col min="777" max="777" width="3.140625" style="166" customWidth="1"/>
    <col min="778" max="778" width="17.8515625" style="166" customWidth="1"/>
    <col min="779" max="779" width="2.57421875" style="166" customWidth="1"/>
    <col min="780" max="780" width="15.57421875" style="166" customWidth="1"/>
    <col min="781" max="781" width="1.8515625" style="166" customWidth="1"/>
    <col min="782" max="782" width="14.140625" style="166" customWidth="1"/>
    <col min="783" max="783" width="11.00390625" style="166" customWidth="1"/>
    <col min="784" max="785" width="25.00390625" style="166" customWidth="1"/>
    <col min="786" max="786" width="1.8515625" style="166" customWidth="1"/>
    <col min="787" max="787" width="17.8515625" style="166" customWidth="1"/>
    <col min="788" max="788" width="1.8515625" style="166" customWidth="1"/>
    <col min="789" max="789" width="19.00390625" style="166" customWidth="1"/>
    <col min="790" max="790" width="1.8515625" style="166" customWidth="1"/>
    <col min="791" max="791" width="16.7109375" style="166" customWidth="1"/>
    <col min="792" max="792" width="1.8515625" style="166" customWidth="1"/>
    <col min="793" max="793" width="16.7109375" style="166" customWidth="1"/>
    <col min="794" max="794" width="1.8515625" style="166" customWidth="1"/>
    <col min="795" max="795" width="16.7109375" style="166" customWidth="1"/>
    <col min="796" max="796" width="1.8515625" style="166" customWidth="1"/>
    <col min="797" max="797" width="16.7109375" style="166" customWidth="1"/>
    <col min="798" max="798" width="1.8515625" style="166" customWidth="1"/>
    <col min="799" max="799" width="17.8515625" style="166" customWidth="1"/>
    <col min="800" max="800" width="5.28125" style="166" customWidth="1"/>
    <col min="801" max="801" width="16.7109375" style="166" customWidth="1"/>
    <col min="802" max="802" width="5.28125" style="166" customWidth="1"/>
    <col min="803" max="803" width="14.421875" style="166" customWidth="1"/>
    <col min="804" max="804" width="1.8515625" style="166" customWidth="1"/>
    <col min="805" max="805" width="16.7109375" style="166" customWidth="1"/>
    <col min="806" max="1015" width="11.00390625" style="166" customWidth="1"/>
    <col min="1016" max="1016" width="7.57421875" style="166" customWidth="1"/>
    <col min="1017" max="1017" width="15.57421875" style="166" customWidth="1"/>
    <col min="1018" max="1018" width="20.140625" style="166" customWidth="1"/>
    <col min="1019" max="1019" width="2.28125" style="166" customWidth="1"/>
    <col min="1020" max="1020" width="17.421875" style="166" customWidth="1"/>
    <col min="1021" max="1021" width="1.8515625" style="166" customWidth="1"/>
    <col min="1022" max="1022" width="18.7109375" style="166" customWidth="1"/>
    <col min="1023" max="1023" width="1.8515625" style="166" customWidth="1"/>
    <col min="1024" max="1024" width="23.00390625" style="166" customWidth="1"/>
    <col min="1025" max="1025" width="1.8515625" style="166" customWidth="1"/>
    <col min="1026" max="1026" width="17.421875" style="166" customWidth="1"/>
    <col min="1027" max="1027" width="3.00390625" style="166" customWidth="1"/>
    <col min="1028" max="1028" width="16.28125" style="166" customWidth="1"/>
    <col min="1029" max="1029" width="3.00390625" style="166" customWidth="1"/>
    <col min="1030" max="1030" width="14.140625" style="166" customWidth="1"/>
    <col min="1031" max="1031" width="2.00390625" style="166" customWidth="1"/>
    <col min="1032" max="1032" width="15.8515625" style="166" customWidth="1"/>
    <col min="1033" max="1033" width="3.140625" style="166" customWidth="1"/>
    <col min="1034" max="1034" width="17.8515625" style="166" customWidth="1"/>
    <col min="1035" max="1035" width="2.57421875" style="166" customWidth="1"/>
    <col min="1036" max="1036" width="15.57421875" style="166" customWidth="1"/>
    <col min="1037" max="1037" width="1.8515625" style="166" customWidth="1"/>
    <col min="1038" max="1038" width="14.140625" style="166" customWidth="1"/>
    <col min="1039" max="1039" width="11.00390625" style="166" customWidth="1"/>
    <col min="1040" max="1041" width="25.00390625" style="166" customWidth="1"/>
    <col min="1042" max="1042" width="1.8515625" style="166" customWidth="1"/>
    <col min="1043" max="1043" width="17.8515625" style="166" customWidth="1"/>
    <col min="1044" max="1044" width="1.8515625" style="166" customWidth="1"/>
    <col min="1045" max="1045" width="19.00390625" style="166" customWidth="1"/>
    <col min="1046" max="1046" width="1.8515625" style="166" customWidth="1"/>
    <col min="1047" max="1047" width="16.7109375" style="166" customWidth="1"/>
    <col min="1048" max="1048" width="1.8515625" style="166" customWidth="1"/>
    <col min="1049" max="1049" width="16.7109375" style="166" customWidth="1"/>
    <col min="1050" max="1050" width="1.8515625" style="166" customWidth="1"/>
    <col min="1051" max="1051" width="16.7109375" style="166" customWidth="1"/>
    <col min="1052" max="1052" width="1.8515625" style="166" customWidth="1"/>
    <col min="1053" max="1053" width="16.7109375" style="166" customWidth="1"/>
    <col min="1054" max="1054" width="1.8515625" style="166" customWidth="1"/>
    <col min="1055" max="1055" width="17.8515625" style="166" customWidth="1"/>
    <col min="1056" max="1056" width="5.28125" style="166" customWidth="1"/>
    <col min="1057" max="1057" width="16.7109375" style="166" customWidth="1"/>
    <col min="1058" max="1058" width="5.28125" style="166" customWidth="1"/>
    <col min="1059" max="1059" width="14.421875" style="166" customWidth="1"/>
    <col min="1060" max="1060" width="1.8515625" style="166" customWidth="1"/>
    <col min="1061" max="1061" width="16.7109375" style="166" customWidth="1"/>
    <col min="1062" max="1271" width="11.00390625" style="166" customWidth="1"/>
    <col min="1272" max="1272" width="7.57421875" style="166" customWidth="1"/>
    <col min="1273" max="1273" width="15.57421875" style="166" customWidth="1"/>
    <col min="1274" max="1274" width="20.140625" style="166" customWidth="1"/>
    <col min="1275" max="1275" width="2.28125" style="166" customWidth="1"/>
    <col min="1276" max="1276" width="17.421875" style="166" customWidth="1"/>
    <col min="1277" max="1277" width="1.8515625" style="166" customWidth="1"/>
    <col min="1278" max="1278" width="18.7109375" style="166" customWidth="1"/>
    <col min="1279" max="1279" width="1.8515625" style="166" customWidth="1"/>
    <col min="1280" max="1280" width="23.00390625" style="166" customWidth="1"/>
    <col min="1281" max="1281" width="1.8515625" style="166" customWidth="1"/>
    <col min="1282" max="1282" width="17.421875" style="166" customWidth="1"/>
    <col min="1283" max="1283" width="3.00390625" style="166" customWidth="1"/>
    <col min="1284" max="1284" width="16.28125" style="166" customWidth="1"/>
    <col min="1285" max="1285" width="3.00390625" style="166" customWidth="1"/>
    <col min="1286" max="1286" width="14.140625" style="166" customWidth="1"/>
    <col min="1287" max="1287" width="2.00390625" style="166" customWidth="1"/>
    <col min="1288" max="1288" width="15.8515625" style="166" customWidth="1"/>
    <col min="1289" max="1289" width="3.140625" style="166" customWidth="1"/>
    <col min="1290" max="1290" width="17.8515625" style="166" customWidth="1"/>
    <col min="1291" max="1291" width="2.57421875" style="166" customWidth="1"/>
    <col min="1292" max="1292" width="15.57421875" style="166" customWidth="1"/>
    <col min="1293" max="1293" width="1.8515625" style="166" customWidth="1"/>
    <col min="1294" max="1294" width="14.140625" style="166" customWidth="1"/>
    <col min="1295" max="1295" width="11.00390625" style="166" customWidth="1"/>
    <col min="1296" max="1297" width="25.00390625" style="166" customWidth="1"/>
    <col min="1298" max="1298" width="1.8515625" style="166" customWidth="1"/>
    <col min="1299" max="1299" width="17.8515625" style="166" customWidth="1"/>
    <col min="1300" max="1300" width="1.8515625" style="166" customWidth="1"/>
    <col min="1301" max="1301" width="19.00390625" style="166" customWidth="1"/>
    <col min="1302" max="1302" width="1.8515625" style="166" customWidth="1"/>
    <col min="1303" max="1303" width="16.7109375" style="166" customWidth="1"/>
    <col min="1304" max="1304" width="1.8515625" style="166" customWidth="1"/>
    <col min="1305" max="1305" width="16.7109375" style="166" customWidth="1"/>
    <col min="1306" max="1306" width="1.8515625" style="166" customWidth="1"/>
    <col min="1307" max="1307" width="16.7109375" style="166" customWidth="1"/>
    <col min="1308" max="1308" width="1.8515625" style="166" customWidth="1"/>
    <col min="1309" max="1309" width="16.7109375" style="166" customWidth="1"/>
    <col min="1310" max="1310" width="1.8515625" style="166" customWidth="1"/>
    <col min="1311" max="1311" width="17.8515625" style="166" customWidth="1"/>
    <col min="1312" max="1312" width="5.28125" style="166" customWidth="1"/>
    <col min="1313" max="1313" width="16.7109375" style="166" customWidth="1"/>
    <col min="1314" max="1314" width="5.28125" style="166" customWidth="1"/>
    <col min="1315" max="1315" width="14.421875" style="166" customWidth="1"/>
    <col min="1316" max="1316" width="1.8515625" style="166" customWidth="1"/>
    <col min="1317" max="1317" width="16.7109375" style="166" customWidth="1"/>
    <col min="1318" max="1527" width="11.00390625" style="166" customWidth="1"/>
    <col min="1528" max="1528" width="7.57421875" style="166" customWidth="1"/>
    <col min="1529" max="1529" width="15.57421875" style="166" customWidth="1"/>
    <col min="1530" max="1530" width="20.140625" style="166" customWidth="1"/>
    <col min="1531" max="1531" width="2.28125" style="166" customWidth="1"/>
    <col min="1532" max="1532" width="17.421875" style="166" customWidth="1"/>
    <col min="1533" max="1533" width="1.8515625" style="166" customWidth="1"/>
    <col min="1534" max="1534" width="18.7109375" style="166" customWidth="1"/>
    <col min="1535" max="1535" width="1.8515625" style="166" customWidth="1"/>
    <col min="1536" max="1536" width="23.00390625" style="166" customWidth="1"/>
    <col min="1537" max="1537" width="1.8515625" style="166" customWidth="1"/>
    <col min="1538" max="1538" width="17.421875" style="166" customWidth="1"/>
    <col min="1539" max="1539" width="3.00390625" style="166" customWidth="1"/>
    <col min="1540" max="1540" width="16.28125" style="166" customWidth="1"/>
    <col min="1541" max="1541" width="3.00390625" style="166" customWidth="1"/>
    <col min="1542" max="1542" width="14.140625" style="166" customWidth="1"/>
    <col min="1543" max="1543" width="2.00390625" style="166" customWidth="1"/>
    <col min="1544" max="1544" width="15.8515625" style="166" customWidth="1"/>
    <col min="1545" max="1545" width="3.140625" style="166" customWidth="1"/>
    <col min="1546" max="1546" width="17.8515625" style="166" customWidth="1"/>
    <col min="1547" max="1547" width="2.57421875" style="166" customWidth="1"/>
    <col min="1548" max="1548" width="15.57421875" style="166" customWidth="1"/>
    <col min="1549" max="1549" width="1.8515625" style="166" customWidth="1"/>
    <col min="1550" max="1550" width="14.140625" style="166" customWidth="1"/>
    <col min="1551" max="1551" width="11.00390625" style="166" customWidth="1"/>
    <col min="1552" max="1553" width="25.00390625" style="166" customWidth="1"/>
    <col min="1554" max="1554" width="1.8515625" style="166" customWidth="1"/>
    <col min="1555" max="1555" width="17.8515625" style="166" customWidth="1"/>
    <col min="1556" max="1556" width="1.8515625" style="166" customWidth="1"/>
    <col min="1557" max="1557" width="19.00390625" style="166" customWidth="1"/>
    <col min="1558" max="1558" width="1.8515625" style="166" customWidth="1"/>
    <col min="1559" max="1559" width="16.7109375" style="166" customWidth="1"/>
    <col min="1560" max="1560" width="1.8515625" style="166" customWidth="1"/>
    <col min="1561" max="1561" width="16.7109375" style="166" customWidth="1"/>
    <col min="1562" max="1562" width="1.8515625" style="166" customWidth="1"/>
    <col min="1563" max="1563" width="16.7109375" style="166" customWidth="1"/>
    <col min="1564" max="1564" width="1.8515625" style="166" customWidth="1"/>
    <col min="1565" max="1565" width="16.7109375" style="166" customWidth="1"/>
    <col min="1566" max="1566" width="1.8515625" style="166" customWidth="1"/>
    <col min="1567" max="1567" width="17.8515625" style="166" customWidth="1"/>
    <col min="1568" max="1568" width="5.28125" style="166" customWidth="1"/>
    <col min="1569" max="1569" width="16.7109375" style="166" customWidth="1"/>
    <col min="1570" max="1570" width="5.28125" style="166" customWidth="1"/>
    <col min="1571" max="1571" width="14.421875" style="166" customWidth="1"/>
    <col min="1572" max="1572" width="1.8515625" style="166" customWidth="1"/>
    <col min="1573" max="1573" width="16.7109375" style="166" customWidth="1"/>
    <col min="1574" max="1783" width="11.00390625" style="166" customWidth="1"/>
    <col min="1784" max="1784" width="7.57421875" style="166" customWidth="1"/>
    <col min="1785" max="1785" width="15.57421875" style="166" customWidth="1"/>
    <col min="1786" max="1786" width="20.140625" style="166" customWidth="1"/>
    <col min="1787" max="1787" width="2.28125" style="166" customWidth="1"/>
    <col min="1788" max="1788" width="17.421875" style="166" customWidth="1"/>
    <col min="1789" max="1789" width="1.8515625" style="166" customWidth="1"/>
    <col min="1790" max="1790" width="18.7109375" style="166" customWidth="1"/>
    <col min="1791" max="1791" width="1.8515625" style="166" customWidth="1"/>
    <col min="1792" max="1792" width="23.00390625" style="166" customWidth="1"/>
    <col min="1793" max="1793" width="1.8515625" style="166" customWidth="1"/>
    <col min="1794" max="1794" width="17.421875" style="166" customWidth="1"/>
    <col min="1795" max="1795" width="3.00390625" style="166" customWidth="1"/>
    <col min="1796" max="1796" width="16.28125" style="166" customWidth="1"/>
    <col min="1797" max="1797" width="3.00390625" style="166" customWidth="1"/>
    <col min="1798" max="1798" width="14.140625" style="166" customWidth="1"/>
    <col min="1799" max="1799" width="2.00390625" style="166" customWidth="1"/>
    <col min="1800" max="1800" width="15.8515625" style="166" customWidth="1"/>
    <col min="1801" max="1801" width="3.140625" style="166" customWidth="1"/>
    <col min="1802" max="1802" width="17.8515625" style="166" customWidth="1"/>
    <col min="1803" max="1803" width="2.57421875" style="166" customWidth="1"/>
    <col min="1804" max="1804" width="15.57421875" style="166" customWidth="1"/>
    <col min="1805" max="1805" width="1.8515625" style="166" customWidth="1"/>
    <col min="1806" max="1806" width="14.140625" style="166" customWidth="1"/>
    <col min="1807" max="1807" width="11.00390625" style="166" customWidth="1"/>
    <col min="1808" max="1809" width="25.00390625" style="166" customWidth="1"/>
    <col min="1810" max="1810" width="1.8515625" style="166" customWidth="1"/>
    <col min="1811" max="1811" width="17.8515625" style="166" customWidth="1"/>
    <col min="1812" max="1812" width="1.8515625" style="166" customWidth="1"/>
    <col min="1813" max="1813" width="19.00390625" style="166" customWidth="1"/>
    <col min="1814" max="1814" width="1.8515625" style="166" customWidth="1"/>
    <col min="1815" max="1815" width="16.7109375" style="166" customWidth="1"/>
    <col min="1816" max="1816" width="1.8515625" style="166" customWidth="1"/>
    <col min="1817" max="1817" width="16.7109375" style="166" customWidth="1"/>
    <col min="1818" max="1818" width="1.8515625" style="166" customWidth="1"/>
    <col min="1819" max="1819" width="16.7109375" style="166" customWidth="1"/>
    <col min="1820" max="1820" width="1.8515625" style="166" customWidth="1"/>
    <col min="1821" max="1821" width="16.7109375" style="166" customWidth="1"/>
    <col min="1822" max="1822" width="1.8515625" style="166" customWidth="1"/>
    <col min="1823" max="1823" width="17.8515625" style="166" customWidth="1"/>
    <col min="1824" max="1824" width="5.28125" style="166" customWidth="1"/>
    <col min="1825" max="1825" width="16.7109375" style="166" customWidth="1"/>
    <col min="1826" max="1826" width="5.28125" style="166" customWidth="1"/>
    <col min="1827" max="1827" width="14.421875" style="166" customWidth="1"/>
    <col min="1828" max="1828" width="1.8515625" style="166" customWidth="1"/>
    <col min="1829" max="1829" width="16.7109375" style="166" customWidth="1"/>
    <col min="1830" max="2039" width="11.00390625" style="166" customWidth="1"/>
    <col min="2040" max="2040" width="7.57421875" style="166" customWidth="1"/>
    <col min="2041" max="2041" width="15.57421875" style="166" customWidth="1"/>
    <col min="2042" max="2042" width="20.140625" style="166" customWidth="1"/>
    <col min="2043" max="2043" width="2.28125" style="166" customWidth="1"/>
    <col min="2044" max="2044" width="17.421875" style="166" customWidth="1"/>
    <col min="2045" max="2045" width="1.8515625" style="166" customWidth="1"/>
    <col min="2046" max="2046" width="18.7109375" style="166" customWidth="1"/>
    <col min="2047" max="2047" width="1.8515625" style="166" customWidth="1"/>
    <col min="2048" max="2048" width="23.00390625" style="166" customWidth="1"/>
    <col min="2049" max="2049" width="1.8515625" style="166" customWidth="1"/>
    <col min="2050" max="2050" width="17.421875" style="166" customWidth="1"/>
    <col min="2051" max="2051" width="3.00390625" style="166" customWidth="1"/>
    <col min="2052" max="2052" width="16.28125" style="166" customWidth="1"/>
    <col min="2053" max="2053" width="3.00390625" style="166" customWidth="1"/>
    <col min="2054" max="2054" width="14.140625" style="166" customWidth="1"/>
    <col min="2055" max="2055" width="2.00390625" style="166" customWidth="1"/>
    <col min="2056" max="2056" width="15.8515625" style="166" customWidth="1"/>
    <col min="2057" max="2057" width="3.140625" style="166" customWidth="1"/>
    <col min="2058" max="2058" width="17.8515625" style="166" customWidth="1"/>
    <col min="2059" max="2059" width="2.57421875" style="166" customWidth="1"/>
    <col min="2060" max="2060" width="15.57421875" style="166" customWidth="1"/>
    <col min="2061" max="2061" width="1.8515625" style="166" customWidth="1"/>
    <col min="2062" max="2062" width="14.140625" style="166" customWidth="1"/>
    <col min="2063" max="2063" width="11.00390625" style="166" customWidth="1"/>
    <col min="2064" max="2065" width="25.00390625" style="166" customWidth="1"/>
    <col min="2066" max="2066" width="1.8515625" style="166" customWidth="1"/>
    <col min="2067" max="2067" width="17.8515625" style="166" customWidth="1"/>
    <col min="2068" max="2068" width="1.8515625" style="166" customWidth="1"/>
    <col min="2069" max="2069" width="19.00390625" style="166" customWidth="1"/>
    <col min="2070" max="2070" width="1.8515625" style="166" customWidth="1"/>
    <col min="2071" max="2071" width="16.7109375" style="166" customWidth="1"/>
    <col min="2072" max="2072" width="1.8515625" style="166" customWidth="1"/>
    <col min="2073" max="2073" width="16.7109375" style="166" customWidth="1"/>
    <col min="2074" max="2074" width="1.8515625" style="166" customWidth="1"/>
    <col min="2075" max="2075" width="16.7109375" style="166" customWidth="1"/>
    <col min="2076" max="2076" width="1.8515625" style="166" customWidth="1"/>
    <col min="2077" max="2077" width="16.7109375" style="166" customWidth="1"/>
    <col min="2078" max="2078" width="1.8515625" style="166" customWidth="1"/>
    <col min="2079" max="2079" width="17.8515625" style="166" customWidth="1"/>
    <col min="2080" max="2080" width="5.28125" style="166" customWidth="1"/>
    <col min="2081" max="2081" width="16.7109375" style="166" customWidth="1"/>
    <col min="2082" max="2082" width="5.28125" style="166" customWidth="1"/>
    <col min="2083" max="2083" width="14.421875" style="166" customWidth="1"/>
    <col min="2084" max="2084" width="1.8515625" style="166" customWidth="1"/>
    <col min="2085" max="2085" width="16.7109375" style="166" customWidth="1"/>
    <col min="2086" max="2295" width="11.00390625" style="166" customWidth="1"/>
    <col min="2296" max="2296" width="7.57421875" style="166" customWidth="1"/>
    <col min="2297" max="2297" width="15.57421875" style="166" customWidth="1"/>
    <col min="2298" max="2298" width="20.140625" style="166" customWidth="1"/>
    <col min="2299" max="2299" width="2.28125" style="166" customWidth="1"/>
    <col min="2300" max="2300" width="17.421875" style="166" customWidth="1"/>
    <col min="2301" max="2301" width="1.8515625" style="166" customWidth="1"/>
    <col min="2302" max="2302" width="18.7109375" style="166" customWidth="1"/>
    <col min="2303" max="2303" width="1.8515625" style="166" customWidth="1"/>
    <col min="2304" max="2304" width="23.00390625" style="166" customWidth="1"/>
    <col min="2305" max="2305" width="1.8515625" style="166" customWidth="1"/>
    <col min="2306" max="2306" width="17.421875" style="166" customWidth="1"/>
    <col min="2307" max="2307" width="3.00390625" style="166" customWidth="1"/>
    <col min="2308" max="2308" width="16.28125" style="166" customWidth="1"/>
    <col min="2309" max="2309" width="3.00390625" style="166" customWidth="1"/>
    <col min="2310" max="2310" width="14.140625" style="166" customWidth="1"/>
    <col min="2311" max="2311" width="2.00390625" style="166" customWidth="1"/>
    <col min="2312" max="2312" width="15.8515625" style="166" customWidth="1"/>
    <col min="2313" max="2313" width="3.140625" style="166" customWidth="1"/>
    <col min="2314" max="2314" width="17.8515625" style="166" customWidth="1"/>
    <col min="2315" max="2315" width="2.57421875" style="166" customWidth="1"/>
    <col min="2316" max="2316" width="15.57421875" style="166" customWidth="1"/>
    <col min="2317" max="2317" width="1.8515625" style="166" customWidth="1"/>
    <col min="2318" max="2318" width="14.140625" style="166" customWidth="1"/>
    <col min="2319" max="2319" width="11.00390625" style="166" customWidth="1"/>
    <col min="2320" max="2321" width="25.00390625" style="166" customWidth="1"/>
    <col min="2322" max="2322" width="1.8515625" style="166" customWidth="1"/>
    <col min="2323" max="2323" width="17.8515625" style="166" customWidth="1"/>
    <col min="2324" max="2324" width="1.8515625" style="166" customWidth="1"/>
    <col min="2325" max="2325" width="19.00390625" style="166" customWidth="1"/>
    <col min="2326" max="2326" width="1.8515625" style="166" customWidth="1"/>
    <col min="2327" max="2327" width="16.7109375" style="166" customWidth="1"/>
    <col min="2328" max="2328" width="1.8515625" style="166" customWidth="1"/>
    <col min="2329" max="2329" width="16.7109375" style="166" customWidth="1"/>
    <col min="2330" max="2330" width="1.8515625" style="166" customWidth="1"/>
    <col min="2331" max="2331" width="16.7109375" style="166" customWidth="1"/>
    <col min="2332" max="2332" width="1.8515625" style="166" customWidth="1"/>
    <col min="2333" max="2333" width="16.7109375" style="166" customWidth="1"/>
    <col min="2334" max="2334" width="1.8515625" style="166" customWidth="1"/>
    <col min="2335" max="2335" width="17.8515625" style="166" customWidth="1"/>
    <col min="2336" max="2336" width="5.28125" style="166" customWidth="1"/>
    <col min="2337" max="2337" width="16.7109375" style="166" customWidth="1"/>
    <col min="2338" max="2338" width="5.28125" style="166" customWidth="1"/>
    <col min="2339" max="2339" width="14.421875" style="166" customWidth="1"/>
    <col min="2340" max="2340" width="1.8515625" style="166" customWidth="1"/>
    <col min="2341" max="2341" width="16.7109375" style="166" customWidth="1"/>
    <col min="2342" max="2551" width="11.00390625" style="166" customWidth="1"/>
    <col min="2552" max="2552" width="7.57421875" style="166" customWidth="1"/>
    <col min="2553" max="2553" width="15.57421875" style="166" customWidth="1"/>
    <col min="2554" max="2554" width="20.140625" style="166" customWidth="1"/>
    <col min="2555" max="2555" width="2.28125" style="166" customWidth="1"/>
    <col min="2556" max="2556" width="17.421875" style="166" customWidth="1"/>
    <col min="2557" max="2557" width="1.8515625" style="166" customWidth="1"/>
    <col min="2558" max="2558" width="18.7109375" style="166" customWidth="1"/>
    <col min="2559" max="2559" width="1.8515625" style="166" customWidth="1"/>
    <col min="2560" max="2560" width="23.00390625" style="166" customWidth="1"/>
    <col min="2561" max="2561" width="1.8515625" style="166" customWidth="1"/>
    <col min="2562" max="2562" width="17.421875" style="166" customWidth="1"/>
    <col min="2563" max="2563" width="3.00390625" style="166" customWidth="1"/>
    <col min="2564" max="2564" width="16.28125" style="166" customWidth="1"/>
    <col min="2565" max="2565" width="3.00390625" style="166" customWidth="1"/>
    <col min="2566" max="2566" width="14.140625" style="166" customWidth="1"/>
    <col min="2567" max="2567" width="2.00390625" style="166" customWidth="1"/>
    <col min="2568" max="2568" width="15.8515625" style="166" customWidth="1"/>
    <col min="2569" max="2569" width="3.140625" style="166" customWidth="1"/>
    <col min="2570" max="2570" width="17.8515625" style="166" customWidth="1"/>
    <col min="2571" max="2571" width="2.57421875" style="166" customWidth="1"/>
    <col min="2572" max="2572" width="15.57421875" style="166" customWidth="1"/>
    <col min="2573" max="2573" width="1.8515625" style="166" customWidth="1"/>
    <col min="2574" max="2574" width="14.140625" style="166" customWidth="1"/>
    <col min="2575" max="2575" width="11.00390625" style="166" customWidth="1"/>
    <col min="2576" max="2577" width="25.00390625" style="166" customWidth="1"/>
    <col min="2578" max="2578" width="1.8515625" style="166" customWidth="1"/>
    <col min="2579" max="2579" width="17.8515625" style="166" customWidth="1"/>
    <col min="2580" max="2580" width="1.8515625" style="166" customWidth="1"/>
    <col min="2581" max="2581" width="19.00390625" style="166" customWidth="1"/>
    <col min="2582" max="2582" width="1.8515625" style="166" customWidth="1"/>
    <col min="2583" max="2583" width="16.7109375" style="166" customWidth="1"/>
    <col min="2584" max="2584" width="1.8515625" style="166" customWidth="1"/>
    <col min="2585" max="2585" width="16.7109375" style="166" customWidth="1"/>
    <col min="2586" max="2586" width="1.8515625" style="166" customWidth="1"/>
    <col min="2587" max="2587" width="16.7109375" style="166" customWidth="1"/>
    <col min="2588" max="2588" width="1.8515625" style="166" customWidth="1"/>
    <col min="2589" max="2589" width="16.7109375" style="166" customWidth="1"/>
    <col min="2590" max="2590" width="1.8515625" style="166" customWidth="1"/>
    <col min="2591" max="2591" width="17.8515625" style="166" customWidth="1"/>
    <col min="2592" max="2592" width="5.28125" style="166" customWidth="1"/>
    <col min="2593" max="2593" width="16.7109375" style="166" customWidth="1"/>
    <col min="2594" max="2594" width="5.28125" style="166" customWidth="1"/>
    <col min="2595" max="2595" width="14.421875" style="166" customWidth="1"/>
    <col min="2596" max="2596" width="1.8515625" style="166" customWidth="1"/>
    <col min="2597" max="2597" width="16.7109375" style="166" customWidth="1"/>
    <col min="2598" max="2807" width="11.00390625" style="166" customWidth="1"/>
    <col min="2808" max="2808" width="7.57421875" style="166" customWidth="1"/>
    <col min="2809" max="2809" width="15.57421875" style="166" customWidth="1"/>
    <col min="2810" max="2810" width="20.140625" style="166" customWidth="1"/>
    <col min="2811" max="2811" width="2.28125" style="166" customWidth="1"/>
    <col min="2812" max="2812" width="17.421875" style="166" customWidth="1"/>
    <col min="2813" max="2813" width="1.8515625" style="166" customWidth="1"/>
    <col min="2814" max="2814" width="18.7109375" style="166" customWidth="1"/>
    <col min="2815" max="2815" width="1.8515625" style="166" customWidth="1"/>
    <col min="2816" max="2816" width="23.00390625" style="166" customWidth="1"/>
    <col min="2817" max="2817" width="1.8515625" style="166" customWidth="1"/>
    <col min="2818" max="2818" width="17.421875" style="166" customWidth="1"/>
    <col min="2819" max="2819" width="3.00390625" style="166" customWidth="1"/>
    <col min="2820" max="2820" width="16.28125" style="166" customWidth="1"/>
    <col min="2821" max="2821" width="3.00390625" style="166" customWidth="1"/>
    <col min="2822" max="2822" width="14.140625" style="166" customWidth="1"/>
    <col min="2823" max="2823" width="2.00390625" style="166" customWidth="1"/>
    <col min="2824" max="2824" width="15.8515625" style="166" customWidth="1"/>
    <col min="2825" max="2825" width="3.140625" style="166" customWidth="1"/>
    <col min="2826" max="2826" width="17.8515625" style="166" customWidth="1"/>
    <col min="2827" max="2827" width="2.57421875" style="166" customWidth="1"/>
    <col min="2828" max="2828" width="15.57421875" style="166" customWidth="1"/>
    <col min="2829" max="2829" width="1.8515625" style="166" customWidth="1"/>
    <col min="2830" max="2830" width="14.140625" style="166" customWidth="1"/>
    <col min="2831" max="2831" width="11.00390625" style="166" customWidth="1"/>
    <col min="2832" max="2833" width="25.00390625" style="166" customWidth="1"/>
    <col min="2834" max="2834" width="1.8515625" style="166" customWidth="1"/>
    <col min="2835" max="2835" width="17.8515625" style="166" customWidth="1"/>
    <col min="2836" max="2836" width="1.8515625" style="166" customWidth="1"/>
    <col min="2837" max="2837" width="19.00390625" style="166" customWidth="1"/>
    <col min="2838" max="2838" width="1.8515625" style="166" customWidth="1"/>
    <col min="2839" max="2839" width="16.7109375" style="166" customWidth="1"/>
    <col min="2840" max="2840" width="1.8515625" style="166" customWidth="1"/>
    <col min="2841" max="2841" width="16.7109375" style="166" customWidth="1"/>
    <col min="2842" max="2842" width="1.8515625" style="166" customWidth="1"/>
    <col min="2843" max="2843" width="16.7109375" style="166" customWidth="1"/>
    <col min="2844" max="2844" width="1.8515625" style="166" customWidth="1"/>
    <col min="2845" max="2845" width="16.7109375" style="166" customWidth="1"/>
    <col min="2846" max="2846" width="1.8515625" style="166" customWidth="1"/>
    <col min="2847" max="2847" width="17.8515625" style="166" customWidth="1"/>
    <col min="2848" max="2848" width="5.28125" style="166" customWidth="1"/>
    <col min="2849" max="2849" width="16.7109375" style="166" customWidth="1"/>
    <col min="2850" max="2850" width="5.28125" style="166" customWidth="1"/>
    <col min="2851" max="2851" width="14.421875" style="166" customWidth="1"/>
    <col min="2852" max="2852" width="1.8515625" style="166" customWidth="1"/>
    <col min="2853" max="2853" width="16.7109375" style="166" customWidth="1"/>
    <col min="2854" max="3063" width="11.00390625" style="166" customWidth="1"/>
    <col min="3064" max="3064" width="7.57421875" style="166" customWidth="1"/>
    <col min="3065" max="3065" width="15.57421875" style="166" customWidth="1"/>
    <col min="3066" max="3066" width="20.140625" style="166" customWidth="1"/>
    <col min="3067" max="3067" width="2.28125" style="166" customWidth="1"/>
    <col min="3068" max="3068" width="17.421875" style="166" customWidth="1"/>
    <col min="3069" max="3069" width="1.8515625" style="166" customWidth="1"/>
    <col min="3070" max="3070" width="18.7109375" style="166" customWidth="1"/>
    <col min="3071" max="3071" width="1.8515625" style="166" customWidth="1"/>
    <col min="3072" max="3072" width="23.00390625" style="166" customWidth="1"/>
    <col min="3073" max="3073" width="1.8515625" style="166" customWidth="1"/>
    <col min="3074" max="3074" width="17.421875" style="166" customWidth="1"/>
    <col min="3075" max="3075" width="3.00390625" style="166" customWidth="1"/>
    <col min="3076" max="3076" width="16.28125" style="166" customWidth="1"/>
    <col min="3077" max="3077" width="3.00390625" style="166" customWidth="1"/>
    <col min="3078" max="3078" width="14.140625" style="166" customWidth="1"/>
    <col min="3079" max="3079" width="2.00390625" style="166" customWidth="1"/>
    <col min="3080" max="3080" width="15.8515625" style="166" customWidth="1"/>
    <col min="3081" max="3081" width="3.140625" style="166" customWidth="1"/>
    <col min="3082" max="3082" width="17.8515625" style="166" customWidth="1"/>
    <col min="3083" max="3083" width="2.57421875" style="166" customWidth="1"/>
    <col min="3084" max="3084" width="15.57421875" style="166" customWidth="1"/>
    <col min="3085" max="3085" width="1.8515625" style="166" customWidth="1"/>
    <col min="3086" max="3086" width="14.140625" style="166" customWidth="1"/>
    <col min="3087" max="3087" width="11.00390625" style="166" customWidth="1"/>
    <col min="3088" max="3089" width="25.00390625" style="166" customWidth="1"/>
    <col min="3090" max="3090" width="1.8515625" style="166" customWidth="1"/>
    <col min="3091" max="3091" width="17.8515625" style="166" customWidth="1"/>
    <col min="3092" max="3092" width="1.8515625" style="166" customWidth="1"/>
    <col min="3093" max="3093" width="19.00390625" style="166" customWidth="1"/>
    <col min="3094" max="3094" width="1.8515625" style="166" customWidth="1"/>
    <col min="3095" max="3095" width="16.7109375" style="166" customWidth="1"/>
    <col min="3096" max="3096" width="1.8515625" style="166" customWidth="1"/>
    <col min="3097" max="3097" width="16.7109375" style="166" customWidth="1"/>
    <col min="3098" max="3098" width="1.8515625" style="166" customWidth="1"/>
    <col min="3099" max="3099" width="16.7109375" style="166" customWidth="1"/>
    <col min="3100" max="3100" width="1.8515625" style="166" customWidth="1"/>
    <col min="3101" max="3101" width="16.7109375" style="166" customWidth="1"/>
    <col min="3102" max="3102" width="1.8515625" style="166" customWidth="1"/>
    <col min="3103" max="3103" width="17.8515625" style="166" customWidth="1"/>
    <col min="3104" max="3104" width="5.28125" style="166" customWidth="1"/>
    <col min="3105" max="3105" width="16.7109375" style="166" customWidth="1"/>
    <col min="3106" max="3106" width="5.28125" style="166" customWidth="1"/>
    <col min="3107" max="3107" width="14.421875" style="166" customWidth="1"/>
    <col min="3108" max="3108" width="1.8515625" style="166" customWidth="1"/>
    <col min="3109" max="3109" width="16.7109375" style="166" customWidth="1"/>
    <col min="3110" max="3319" width="11.00390625" style="166" customWidth="1"/>
    <col min="3320" max="3320" width="7.57421875" style="166" customWidth="1"/>
    <col min="3321" max="3321" width="15.57421875" style="166" customWidth="1"/>
    <col min="3322" max="3322" width="20.140625" style="166" customWidth="1"/>
    <col min="3323" max="3323" width="2.28125" style="166" customWidth="1"/>
    <col min="3324" max="3324" width="17.421875" style="166" customWidth="1"/>
    <col min="3325" max="3325" width="1.8515625" style="166" customWidth="1"/>
    <col min="3326" max="3326" width="18.7109375" style="166" customWidth="1"/>
    <col min="3327" max="3327" width="1.8515625" style="166" customWidth="1"/>
    <col min="3328" max="3328" width="23.00390625" style="166" customWidth="1"/>
    <col min="3329" max="3329" width="1.8515625" style="166" customWidth="1"/>
    <col min="3330" max="3330" width="17.421875" style="166" customWidth="1"/>
    <col min="3331" max="3331" width="3.00390625" style="166" customWidth="1"/>
    <col min="3332" max="3332" width="16.28125" style="166" customWidth="1"/>
    <col min="3333" max="3333" width="3.00390625" style="166" customWidth="1"/>
    <col min="3334" max="3334" width="14.140625" style="166" customWidth="1"/>
    <col min="3335" max="3335" width="2.00390625" style="166" customWidth="1"/>
    <col min="3336" max="3336" width="15.8515625" style="166" customWidth="1"/>
    <col min="3337" max="3337" width="3.140625" style="166" customWidth="1"/>
    <col min="3338" max="3338" width="17.8515625" style="166" customWidth="1"/>
    <col min="3339" max="3339" width="2.57421875" style="166" customWidth="1"/>
    <col min="3340" max="3340" width="15.57421875" style="166" customWidth="1"/>
    <col min="3341" max="3341" width="1.8515625" style="166" customWidth="1"/>
    <col min="3342" max="3342" width="14.140625" style="166" customWidth="1"/>
    <col min="3343" max="3343" width="11.00390625" style="166" customWidth="1"/>
    <col min="3344" max="3345" width="25.00390625" style="166" customWidth="1"/>
    <col min="3346" max="3346" width="1.8515625" style="166" customWidth="1"/>
    <col min="3347" max="3347" width="17.8515625" style="166" customWidth="1"/>
    <col min="3348" max="3348" width="1.8515625" style="166" customWidth="1"/>
    <col min="3349" max="3349" width="19.00390625" style="166" customWidth="1"/>
    <col min="3350" max="3350" width="1.8515625" style="166" customWidth="1"/>
    <col min="3351" max="3351" width="16.7109375" style="166" customWidth="1"/>
    <col min="3352" max="3352" width="1.8515625" style="166" customWidth="1"/>
    <col min="3353" max="3353" width="16.7109375" style="166" customWidth="1"/>
    <col min="3354" max="3354" width="1.8515625" style="166" customWidth="1"/>
    <col min="3355" max="3355" width="16.7109375" style="166" customWidth="1"/>
    <col min="3356" max="3356" width="1.8515625" style="166" customWidth="1"/>
    <col min="3357" max="3357" width="16.7109375" style="166" customWidth="1"/>
    <col min="3358" max="3358" width="1.8515625" style="166" customWidth="1"/>
    <col min="3359" max="3359" width="17.8515625" style="166" customWidth="1"/>
    <col min="3360" max="3360" width="5.28125" style="166" customWidth="1"/>
    <col min="3361" max="3361" width="16.7109375" style="166" customWidth="1"/>
    <col min="3362" max="3362" width="5.28125" style="166" customWidth="1"/>
    <col min="3363" max="3363" width="14.421875" style="166" customWidth="1"/>
    <col min="3364" max="3364" width="1.8515625" style="166" customWidth="1"/>
    <col min="3365" max="3365" width="16.7109375" style="166" customWidth="1"/>
    <col min="3366" max="3575" width="11.00390625" style="166" customWidth="1"/>
    <col min="3576" max="3576" width="7.57421875" style="166" customWidth="1"/>
    <col min="3577" max="3577" width="15.57421875" style="166" customWidth="1"/>
    <col min="3578" max="3578" width="20.140625" style="166" customWidth="1"/>
    <col min="3579" max="3579" width="2.28125" style="166" customWidth="1"/>
    <col min="3580" max="3580" width="17.421875" style="166" customWidth="1"/>
    <col min="3581" max="3581" width="1.8515625" style="166" customWidth="1"/>
    <col min="3582" max="3582" width="18.7109375" style="166" customWidth="1"/>
    <col min="3583" max="3583" width="1.8515625" style="166" customWidth="1"/>
    <col min="3584" max="3584" width="23.00390625" style="166" customWidth="1"/>
    <col min="3585" max="3585" width="1.8515625" style="166" customWidth="1"/>
    <col min="3586" max="3586" width="17.421875" style="166" customWidth="1"/>
    <col min="3587" max="3587" width="3.00390625" style="166" customWidth="1"/>
    <col min="3588" max="3588" width="16.28125" style="166" customWidth="1"/>
    <col min="3589" max="3589" width="3.00390625" style="166" customWidth="1"/>
    <col min="3590" max="3590" width="14.140625" style="166" customWidth="1"/>
    <col min="3591" max="3591" width="2.00390625" style="166" customWidth="1"/>
    <col min="3592" max="3592" width="15.8515625" style="166" customWidth="1"/>
    <col min="3593" max="3593" width="3.140625" style="166" customWidth="1"/>
    <col min="3594" max="3594" width="17.8515625" style="166" customWidth="1"/>
    <col min="3595" max="3595" width="2.57421875" style="166" customWidth="1"/>
    <col min="3596" max="3596" width="15.57421875" style="166" customWidth="1"/>
    <col min="3597" max="3597" width="1.8515625" style="166" customWidth="1"/>
    <col min="3598" max="3598" width="14.140625" style="166" customWidth="1"/>
    <col min="3599" max="3599" width="11.00390625" style="166" customWidth="1"/>
    <col min="3600" max="3601" width="25.00390625" style="166" customWidth="1"/>
    <col min="3602" max="3602" width="1.8515625" style="166" customWidth="1"/>
    <col min="3603" max="3603" width="17.8515625" style="166" customWidth="1"/>
    <col min="3604" max="3604" width="1.8515625" style="166" customWidth="1"/>
    <col min="3605" max="3605" width="19.00390625" style="166" customWidth="1"/>
    <col min="3606" max="3606" width="1.8515625" style="166" customWidth="1"/>
    <col min="3607" max="3607" width="16.7109375" style="166" customWidth="1"/>
    <col min="3608" max="3608" width="1.8515625" style="166" customWidth="1"/>
    <col min="3609" max="3609" width="16.7109375" style="166" customWidth="1"/>
    <col min="3610" max="3610" width="1.8515625" style="166" customWidth="1"/>
    <col min="3611" max="3611" width="16.7109375" style="166" customWidth="1"/>
    <col min="3612" max="3612" width="1.8515625" style="166" customWidth="1"/>
    <col min="3613" max="3613" width="16.7109375" style="166" customWidth="1"/>
    <col min="3614" max="3614" width="1.8515625" style="166" customWidth="1"/>
    <col min="3615" max="3615" width="17.8515625" style="166" customWidth="1"/>
    <col min="3616" max="3616" width="5.28125" style="166" customWidth="1"/>
    <col min="3617" max="3617" width="16.7109375" style="166" customWidth="1"/>
    <col min="3618" max="3618" width="5.28125" style="166" customWidth="1"/>
    <col min="3619" max="3619" width="14.421875" style="166" customWidth="1"/>
    <col min="3620" max="3620" width="1.8515625" style="166" customWidth="1"/>
    <col min="3621" max="3621" width="16.7109375" style="166" customWidth="1"/>
    <col min="3622" max="3831" width="11.00390625" style="166" customWidth="1"/>
    <col min="3832" max="3832" width="7.57421875" style="166" customWidth="1"/>
    <col min="3833" max="3833" width="15.57421875" style="166" customWidth="1"/>
    <col min="3834" max="3834" width="20.140625" style="166" customWidth="1"/>
    <col min="3835" max="3835" width="2.28125" style="166" customWidth="1"/>
    <col min="3836" max="3836" width="17.421875" style="166" customWidth="1"/>
    <col min="3837" max="3837" width="1.8515625" style="166" customWidth="1"/>
    <col min="3838" max="3838" width="18.7109375" style="166" customWidth="1"/>
    <col min="3839" max="3839" width="1.8515625" style="166" customWidth="1"/>
    <col min="3840" max="3840" width="23.00390625" style="166" customWidth="1"/>
    <col min="3841" max="3841" width="1.8515625" style="166" customWidth="1"/>
    <col min="3842" max="3842" width="17.421875" style="166" customWidth="1"/>
    <col min="3843" max="3843" width="3.00390625" style="166" customWidth="1"/>
    <col min="3844" max="3844" width="16.28125" style="166" customWidth="1"/>
    <col min="3845" max="3845" width="3.00390625" style="166" customWidth="1"/>
    <col min="3846" max="3846" width="14.140625" style="166" customWidth="1"/>
    <col min="3847" max="3847" width="2.00390625" style="166" customWidth="1"/>
    <col min="3848" max="3848" width="15.8515625" style="166" customWidth="1"/>
    <col min="3849" max="3849" width="3.140625" style="166" customWidth="1"/>
    <col min="3850" max="3850" width="17.8515625" style="166" customWidth="1"/>
    <col min="3851" max="3851" width="2.57421875" style="166" customWidth="1"/>
    <col min="3852" max="3852" width="15.57421875" style="166" customWidth="1"/>
    <col min="3853" max="3853" width="1.8515625" style="166" customWidth="1"/>
    <col min="3854" max="3854" width="14.140625" style="166" customWidth="1"/>
    <col min="3855" max="3855" width="11.00390625" style="166" customWidth="1"/>
    <col min="3856" max="3857" width="25.00390625" style="166" customWidth="1"/>
    <col min="3858" max="3858" width="1.8515625" style="166" customWidth="1"/>
    <col min="3859" max="3859" width="17.8515625" style="166" customWidth="1"/>
    <col min="3860" max="3860" width="1.8515625" style="166" customWidth="1"/>
    <col min="3861" max="3861" width="19.00390625" style="166" customWidth="1"/>
    <col min="3862" max="3862" width="1.8515625" style="166" customWidth="1"/>
    <col min="3863" max="3863" width="16.7109375" style="166" customWidth="1"/>
    <col min="3864" max="3864" width="1.8515625" style="166" customWidth="1"/>
    <col min="3865" max="3865" width="16.7109375" style="166" customWidth="1"/>
    <col min="3866" max="3866" width="1.8515625" style="166" customWidth="1"/>
    <col min="3867" max="3867" width="16.7109375" style="166" customWidth="1"/>
    <col min="3868" max="3868" width="1.8515625" style="166" customWidth="1"/>
    <col min="3869" max="3869" width="16.7109375" style="166" customWidth="1"/>
    <col min="3870" max="3870" width="1.8515625" style="166" customWidth="1"/>
    <col min="3871" max="3871" width="17.8515625" style="166" customWidth="1"/>
    <col min="3872" max="3872" width="5.28125" style="166" customWidth="1"/>
    <col min="3873" max="3873" width="16.7109375" style="166" customWidth="1"/>
    <col min="3874" max="3874" width="5.28125" style="166" customWidth="1"/>
    <col min="3875" max="3875" width="14.421875" style="166" customWidth="1"/>
    <col min="3876" max="3876" width="1.8515625" style="166" customWidth="1"/>
    <col min="3877" max="3877" width="16.7109375" style="166" customWidth="1"/>
    <col min="3878" max="4087" width="11.00390625" style="166" customWidth="1"/>
    <col min="4088" max="4088" width="7.57421875" style="166" customWidth="1"/>
    <col min="4089" max="4089" width="15.57421875" style="166" customWidth="1"/>
    <col min="4090" max="4090" width="20.140625" style="166" customWidth="1"/>
    <col min="4091" max="4091" width="2.28125" style="166" customWidth="1"/>
    <col min="4092" max="4092" width="17.421875" style="166" customWidth="1"/>
    <col min="4093" max="4093" width="1.8515625" style="166" customWidth="1"/>
    <col min="4094" max="4094" width="18.7109375" style="166" customWidth="1"/>
    <col min="4095" max="4095" width="1.8515625" style="166" customWidth="1"/>
    <col min="4096" max="4096" width="23.00390625" style="166" customWidth="1"/>
    <col min="4097" max="4097" width="1.8515625" style="166" customWidth="1"/>
    <col min="4098" max="4098" width="17.421875" style="166" customWidth="1"/>
    <col min="4099" max="4099" width="3.00390625" style="166" customWidth="1"/>
    <col min="4100" max="4100" width="16.28125" style="166" customWidth="1"/>
    <col min="4101" max="4101" width="3.00390625" style="166" customWidth="1"/>
    <col min="4102" max="4102" width="14.140625" style="166" customWidth="1"/>
    <col min="4103" max="4103" width="2.00390625" style="166" customWidth="1"/>
    <col min="4104" max="4104" width="15.8515625" style="166" customWidth="1"/>
    <col min="4105" max="4105" width="3.140625" style="166" customWidth="1"/>
    <col min="4106" max="4106" width="17.8515625" style="166" customWidth="1"/>
    <col min="4107" max="4107" width="2.57421875" style="166" customWidth="1"/>
    <col min="4108" max="4108" width="15.57421875" style="166" customWidth="1"/>
    <col min="4109" max="4109" width="1.8515625" style="166" customWidth="1"/>
    <col min="4110" max="4110" width="14.140625" style="166" customWidth="1"/>
    <col min="4111" max="4111" width="11.00390625" style="166" customWidth="1"/>
    <col min="4112" max="4113" width="25.00390625" style="166" customWidth="1"/>
    <col min="4114" max="4114" width="1.8515625" style="166" customWidth="1"/>
    <col min="4115" max="4115" width="17.8515625" style="166" customWidth="1"/>
    <col min="4116" max="4116" width="1.8515625" style="166" customWidth="1"/>
    <col min="4117" max="4117" width="19.00390625" style="166" customWidth="1"/>
    <col min="4118" max="4118" width="1.8515625" style="166" customWidth="1"/>
    <col min="4119" max="4119" width="16.7109375" style="166" customWidth="1"/>
    <col min="4120" max="4120" width="1.8515625" style="166" customWidth="1"/>
    <col min="4121" max="4121" width="16.7109375" style="166" customWidth="1"/>
    <col min="4122" max="4122" width="1.8515625" style="166" customWidth="1"/>
    <col min="4123" max="4123" width="16.7109375" style="166" customWidth="1"/>
    <col min="4124" max="4124" width="1.8515625" style="166" customWidth="1"/>
    <col min="4125" max="4125" width="16.7109375" style="166" customWidth="1"/>
    <col min="4126" max="4126" width="1.8515625" style="166" customWidth="1"/>
    <col min="4127" max="4127" width="17.8515625" style="166" customWidth="1"/>
    <col min="4128" max="4128" width="5.28125" style="166" customWidth="1"/>
    <col min="4129" max="4129" width="16.7109375" style="166" customWidth="1"/>
    <col min="4130" max="4130" width="5.28125" style="166" customWidth="1"/>
    <col min="4131" max="4131" width="14.421875" style="166" customWidth="1"/>
    <col min="4132" max="4132" width="1.8515625" style="166" customWidth="1"/>
    <col min="4133" max="4133" width="16.7109375" style="166" customWidth="1"/>
    <col min="4134" max="4343" width="11.00390625" style="166" customWidth="1"/>
    <col min="4344" max="4344" width="7.57421875" style="166" customWidth="1"/>
    <col min="4345" max="4345" width="15.57421875" style="166" customWidth="1"/>
    <col min="4346" max="4346" width="20.140625" style="166" customWidth="1"/>
    <col min="4347" max="4347" width="2.28125" style="166" customWidth="1"/>
    <col min="4348" max="4348" width="17.421875" style="166" customWidth="1"/>
    <col min="4349" max="4349" width="1.8515625" style="166" customWidth="1"/>
    <col min="4350" max="4350" width="18.7109375" style="166" customWidth="1"/>
    <col min="4351" max="4351" width="1.8515625" style="166" customWidth="1"/>
    <col min="4352" max="4352" width="23.00390625" style="166" customWidth="1"/>
    <col min="4353" max="4353" width="1.8515625" style="166" customWidth="1"/>
    <col min="4354" max="4354" width="17.421875" style="166" customWidth="1"/>
    <col min="4355" max="4355" width="3.00390625" style="166" customWidth="1"/>
    <col min="4356" max="4356" width="16.28125" style="166" customWidth="1"/>
    <col min="4357" max="4357" width="3.00390625" style="166" customWidth="1"/>
    <col min="4358" max="4358" width="14.140625" style="166" customWidth="1"/>
    <col min="4359" max="4359" width="2.00390625" style="166" customWidth="1"/>
    <col min="4360" max="4360" width="15.8515625" style="166" customWidth="1"/>
    <col min="4361" max="4361" width="3.140625" style="166" customWidth="1"/>
    <col min="4362" max="4362" width="17.8515625" style="166" customWidth="1"/>
    <col min="4363" max="4363" width="2.57421875" style="166" customWidth="1"/>
    <col min="4364" max="4364" width="15.57421875" style="166" customWidth="1"/>
    <col min="4365" max="4365" width="1.8515625" style="166" customWidth="1"/>
    <col min="4366" max="4366" width="14.140625" style="166" customWidth="1"/>
    <col min="4367" max="4367" width="11.00390625" style="166" customWidth="1"/>
    <col min="4368" max="4369" width="25.00390625" style="166" customWidth="1"/>
    <col min="4370" max="4370" width="1.8515625" style="166" customWidth="1"/>
    <col min="4371" max="4371" width="17.8515625" style="166" customWidth="1"/>
    <col min="4372" max="4372" width="1.8515625" style="166" customWidth="1"/>
    <col min="4373" max="4373" width="19.00390625" style="166" customWidth="1"/>
    <col min="4374" max="4374" width="1.8515625" style="166" customWidth="1"/>
    <col min="4375" max="4375" width="16.7109375" style="166" customWidth="1"/>
    <col min="4376" max="4376" width="1.8515625" style="166" customWidth="1"/>
    <col min="4377" max="4377" width="16.7109375" style="166" customWidth="1"/>
    <col min="4378" max="4378" width="1.8515625" style="166" customWidth="1"/>
    <col min="4379" max="4379" width="16.7109375" style="166" customWidth="1"/>
    <col min="4380" max="4380" width="1.8515625" style="166" customWidth="1"/>
    <col min="4381" max="4381" width="16.7109375" style="166" customWidth="1"/>
    <col min="4382" max="4382" width="1.8515625" style="166" customWidth="1"/>
    <col min="4383" max="4383" width="17.8515625" style="166" customWidth="1"/>
    <col min="4384" max="4384" width="5.28125" style="166" customWidth="1"/>
    <col min="4385" max="4385" width="16.7109375" style="166" customWidth="1"/>
    <col min="4386" max="4386" width="5.28125" style="166" customWidth="1"/>
    <col min="4387" max="4387" width="14.421875" style="166" customWidth="1"/>
    <col min="4388" max="4388" width="1.8515625" style="166" customWidth="1"/>
    <col min="4389" max="4389" width="16.7109375" style="166" customWidth="1"/>
    <col min="4390" max="4599" width="11.00390625" style="166" customWidth="1"/>
    <col min="4600" max="4600" width="7.57421875" style="166" customWidth="1"/>
    <col min="4601" max="4601" width="15.57421875" style="166" customWidth="1"/>
    <col min="4602" max="4602" width="20.140625" style="166" customWidth="1"/>
    <col min="4603" max="4603" width="2.28125" style="166" customWidth="1"/>
    <col min="4604" max="4604" width="17.421875" style="166" customWidth="1"/>
    <col min="4605" max="4605" width="1.8515625" style="166" customWidth="1"/>
    <col min="4606" max="4606" width="18.7109375" style="166" customWidth="1"/>
    <col min="4607" max="4607" width="1.8515625" style="166" customWidth="1"/>
    <col min="4608" max="4608" width="23.00390625" style="166" customWidth="1"/>
    <col min="4609" max="4609" width="1.8515625" style="166" customWidth="1"/>
    <col min="4610" max="4610" width="17.421875" style="166" customWidth="1"/>
    <col min="4611" max="4611" width="3.00390625" style="166" customWidth="1"/>
    <col min="4612" max="4612" width="16.28125" style="166" customWidth="1"/>
    <col min="4613" max="4613" width="3.00390625" style="166" customWidth="1"/>
    <col min="4614" max="4614" width="14.140625" style="166" customWidth="1"/>
    <col min="4615" max="4615" width="2.00390625" style="166" customWidth="1"/>
    <col min="4616" max="4616" width="15.8515625" style="166" customWidth="1"/>
    <col min="4617" max="4617" width="3.140625" style="166" customWidth="1"/>
    <col min="4618" max="4618" width="17.8515625" style="166" customWidth="1"/>
    <col min="4619" max="4619" width="2.57421875" style="166" customWidth="1"/>
    <col min="4620" max="4620" width="15.57421875" style="166" customWidth="1"/>
    <col min="4621" max="4621" width="1.8515625" style="166" customWidth="1"/>
    <col min="4622" max="4622" width="14.140625" style="166" customWidth="1"/>
    <col min="4623" max="4623" width="11.00390625" style="166" customWidth="1"/>
    <col min="4624" max="4625" width="25.00390625" style="166" customWidth="1"/>
    <col min="4626" max="4626" width="1.8515625" style="166" customWidth="1"/>
    <col min="4627" max="4627" width="17.8515625" style="166" customWidth="1"/>
    <col min="4628" max="4628" width="1.8515625" style="166" customWidth="1"/>
    <col min="4629" max="4629" width="19.00390625" style="166" customWidth="1"/>
    <col min="4630" max="4630" width="1.8515625" style="166" customWidth="1"/>
    <col min="4631" max="4631" width="16.7109375" style="166" customWidth="1"/>
    <col min="4632" max="4632" width="1.8515625" style="166" customWidth="1"/>
    <col min="4633" max="4633" width="16.7109375" style="166" customWidth="1"/>
    <col min="4634" max="4634" width="1.8515625" style="166" customWidth="1"/>
    <col min="4635" max="4635" width="16.7109375" style="166" customWidth="1"/>
    <col min="4636" max="4636" width="1.8515625" style="166" customWidth="1"/>
    <col min="4637" max="4637" width="16.7109375" style="166" customWidth="1"/>
    <col min="4638" max="4638" width="1.8515625" style="166" customWidth="1"/>
    <col min="4639" max="4639" width="17.8515625" style="166" customWidth="1"/>
    <col min="4640" max="4640" width="5.28125" style="166" customWidth="1"/>
    <col min="4641" max="4641" width="16.7109375" style="166" customWidth="1"/>
    <col min="4642" max="4642" width="5.28125" style="166" customWidth="1"/>
    <col min="4643" max="4643" width="14.421875" style="166" customWidth="1"/>
    <col min="4644" max="4644" width="1.8515625" style="166" customWidth="1"/>
    <col min="4645" max="4645" width="16.7109375" style="166" customWidth="1"/>
    <col min="4646" max="4855" width="11.00390625" style="166" customWidth="1"/>
    <col min="4856" max="4856" width="7.57421875" style="166" customWidth="1"/>
    <col min="4857" max="4857" width="15.57421875" style="166" customWidth="1"/>
    <col min="4858" max="4858" width="20.140625" style="166" customWidth="1"/>
    <col min="4859" max="4859" width="2.28125" style="166" customWidth="1"/>
    <col min="4860" max="4860" width="17.421875" style="166" customWidth="1"/>
    <col min="4861" max="4861" width="1.8515625" style="166" customWidth="1"/>
    <col min="4862" max="4862" width="18.7109375" style="166" customWidth="1"/>
    <col min="4863" max="4863" width="1.8515625" style="166" customWidth="1"/>
    <col min="4864" max="4864" width="23.00390625" style="166" customWidth="1"/>
    <col min="4865" max="4865" width="1.8515625" style="166" customWidth="1"/>
    <col min="4866" max="4866" width="17.421875" style="166" customWidth="1"/>
    <col min="4867" max="4867" width="3.00390625" style="166" customWidth="1"/>
    <col min="4868" max="4868" width="16.28125" style="166" customWidth="1"/>
    <col min="4869" max="4869" width="3.00390625" style="166" customWidth="1"/>
    <col min="4870" max="4870" width="14.140625" style="166" customWidth="1"/>
    <col min="4871" max="4871" width="2.00390625" style="166" customWidth="1"/>
    <col min="4872" max="4872" width="15.8515625" style="166" customWidth="1"/>
    <col min="4873" max="4873" width="3.140625" style="166" customWidth="1"/>
    <col min="4874" max="4874" width="17.8515625" style="166" customWidth="1"/>
    <col min="4875" max="4875" width="2.57421875" style="166" customWidth="1"/>
    <col min="4876" max="4876" width="15.57421875" style="166" customWidth="1"/>
    <col min="4877" max="4877" width="1.8515625" style="166" customWidth="1"/>
    <col min="4878" max="4878" width="14.140625" style="166" customWidth="1"/>
    <col min="4879" max="4879" width="11.00390625" style="166" customWidth="1"/>
    <col min="4880" max="4881" width="25.00390625" style="166" customWidth="1"/>
    <col min="4882" max="4882" width="1.8515625" style="166" customWidth="1"/>
    <col min="4883" max="4883" width="17.8515625" style="166" customWidth="1"/>
    <col min="4884" max="4884" width="1.8515625" style="166" customWidth="1"/>
    <col min="4885" max="4885" width="19.00390625" style="166" customWidth="1"/>
    <col min="4886" max="4886" width="1.8515625" style="166" customWidth="1"/>
    <col min="4887" max="4887" width="16.7109375" style="166" customWidth="1"/>
    <col min="4888" max="4888" width="1.8515625" style="166" customWidth="1"/>
    <col min="4889" max="4889" width="16.7109375" style="166" customWidth="1"/>
    <col min="4890" max="4890" width="1.8515625" style="166" customWidth="1"/>
    <col min="4891" max="4891" width="16.7109375" style="166" customWidth="1"/>
    <col min="4892" max="4892" width="1.8515625" style="166" customWidth="1"/>
    <col min="4893" max="4893" width="16.7109375" style="166" customWidth="1"/>
    <col min="4894" max="4894" width="1.8515625" style="166" customWidth="1"/>
    <col min="4895" max="4895" width="17.8515625" style="166" customWidth="1"/>
    <col min="4896" max="4896" width="5.28125" style="166" customWidth="1"/>
    <col min="4897" max="4897" width="16.7109375" style="166" customWidth="1"/>
    <col min="4898" max="4898" width="5.28125" style="166" customWidth="1"/>
    <col min="4899" max="4899" width="14.421875" style="166" customWidth="1"/>
    <col min="4900" max="4900" width="1.8515625" style="166" customWidth="1"/>
    <col min="4901" max="4901" width="16.7109375" style="166" customWidth="1"/>
    <col min="4902" max="5111" width="11.00390625" style="166" customWidth="1"/>
    <col min="5112" max="5112" width="7.57421875" style="166" customWidth="1"/>
    <col min="5113" max="5113" width="15.57421875" style="166" customWidth="1"/>
    <col min="5114" max="5114" width="20.140625" style="166" customWidth="1"/>
    <col min="5115" max="5115" width="2.28125" style="166" customWidth="1"/>
    <col min="5116" max="5116" width="17.421875" style="166" customWidth="1"/>
    <col min="5117" max="5117" width="1.8515625" style="166" customWidth="1"/>
    <col min="5118" max="5118" width="18.7109375" style="166" customWidth="1"/>
    <col min="5119" max="5119" width="1.8515625" style="166" customWidth="1"/>
    <col min="5120" max="5120" width="23.00390625" style="166" customWidth="1"/>
    <col min="5121" max="5121" width="1.8515625" style="166" customWidth="1"/>
    <col min="5122" max="5122" width="17.421875" style="166" customWidth="1"/>
    <col min="5123" max="5123" width="3.00390625" style="166" customWidth="1"/>
    <col min="5124" max="5124" width="16.28125" style="166" customWidth="1"/>
    <col min="5125" max="5125" width="3.00390625" style="166" customWidth="1"/>
    <col min="5126" max="5126" width="14.140625" style="166" customWidth="1"/>
    <col min="5127" max="5127" width="2.00390625" style="166" customWidth="1"/>
    <col min="5128" max="5128" width="15.8515625" style="166" customWidth="1"/>
    <col min="5129" max="5129" width="3.140625" style="166" customWidth="1"/>
    <col min="5130" max="5130" width="17.8515625" style="166" customWidth="1"/>
    <col min="5131" max="5131" width="2.57421875" style="166" customWidth="1"/>
    <col min="5132" max="5132" width="15.57421875" style="166" customWidth="1"/>
    <col min="5133" max="5133" width="1.8515625" style="166" customWidth="1"/>
    <col min="5134" max="5134" width="14.140625" style="166" customWidth="1"/>
    <col min="5135" max="5135" width="11.00390625" style="166" customWidth="1"/>
    <col min="5136" max="5137" width="25.00390625" style="166" customWidth="1"/>
    <col min="5138" max="5138" width="1.8515625" style="166" customWidth="1"/>
    <col min="5139" max="5139" width="17.8515625" style="166" customWidth="1"/>
    <col min="5140" max="5140" width="1.8515625" style="166" customWidth="1"/>
    <col min="5141" max="5141" width="19.00390625" style="166" customWidth="1"/>
    <col min="5142" max="5142" width="1.8515625" style="166" customWidth="1"/>
    <col min="5143" max="5143" width="16.7109375" style="166" customWidth="1"/>
    <col min="5144" max="5144" width="1.8515625" style="166" customWidth="1"/>
    <col min="5145" max="5145" width="16.7109375" style="166" customWidth="1"/>
    <col min="5146" max="5146" width="1.8515625" style="166" customWidth="1"/>
    <col min="5147" max="5147" width="16.7109375" style="166" customWidth="1"/>
    <col min="5148" max="5148" width="1.8515625" style="166" customWidth="1"/>
    <col min="5149" max="5149" width="16.7109375" style="166" customWidth="1"/>
    <col min="5150" max="5150" width="1.8515625" style="166" customWidth="1"/>
    <col min="5151" max="5151" width="17.8515625" style="166" customWidth="1"/>
    <col min="5152" max="5152" width="5.28125" style="166" customWidth="1"/>
    <col min="5153" max="5153" width="16.7109375" style="166" customWidth="1"/>
    <col min="5154" max="5154" width="5.28125" style="166" customWidth="1"/>
    <col min="5155" max="5155" width="14.421875" style="166" customWidth="1"/>
    <col min="5156" max="5156" width="1.8515625" style="166" customWidth="1"/>
    <col min="5157" max="5157" width="16.7109375" style="166" customWidth="1"/>
    <col min="5158" max="5367" width="11.00390625" style="166" customWidth="1"/>
    <col min="5368" max="5368" width="7.57421875" style="166" customWidth="1"/>
    <col min="5369" max="5369" width="15.57421875" style="166" customWidth="1"/>
    <col min="5370" max="5370" width="20.140625" style="166" customWidth="1"/>
    <col min="5371" max="5371" width="2.28125" style="166" customWidth="1"/>
    <col min="5372" max="5372" width="17.421875" style="166" customWidth="1"/>
    <col min="5373" max="5373" width="1.8515625" style="166" customWidth="1"/>
    <col min="5374" max="5374" width="18.7109375" style="166" customWidth="1"/>
    <col min="5375" max="5375" width="1.8515625" style="166" customWidth="1"/>
    <col min="5376" max="5376" width="23.00390625" style="166" customWidth="1"/>
    <col min="5377" max="5377" width="1.8515625" style="166" customWidth="1"/>
    <col min="5378" max="5378" width="17.421875" style="166" customWidth="1"/>
    <col min="5379" max="5379" width="3.00390625" style="166" customWidth="1"/>
    <col min="5380" max="5380" width="16.28125" style="166" customWidth="1"/>
    <col min="5381" max="5381" width="3.00390625" style="166" customWidth="1"/>
    <col min="5382" max="5382" width="14.140625" style="166" customWidth="1"/>
    <col min="5383" max="5383" width="2.00390625" style="166" customWidth="1"/>
    <col min="5384" max="5384" width="15.8515625" style="166" customWidth="1"/>
    <col min="5385" max="5385" width="3.140625" style="166" customWidth="1"/>
    <col min="5386" max="5386" width="17.8515625" style="166" customWidth="1"/>
    <col min="5387" max="5387" width="2.57421875" style="166" customWidth="1"/>
    <col min="5388" max="5388" width="15.57421875" style="166" customWidth="1"/>
    <col min="5389" max="5389" width="1.8515625" style="166" customWidth="1"/>
    <col min="5390" max="5390" width="14.140625" style="166" customWidth="1"/>
    <col min="5391" max="5391" width="11.00390625" style="166" customWidth="1"/>
    <col min="5392" max="5393" width="25.00390625" style="166" customWidth="1"/>
    <col min="5394" max="5394" width="1.8515625" style="166" customWidth="1"/>
    <col min="5395" max="5395" width="17.8515625" style="166" customWidth="1"/>
    <col min="5396" max="5396" width="1.8515625" style="166" customWidth="1"/>
    <col min="5397" max="5397" width="19.00390625" style="166" customWidth="1"/>
    <col min="5398" max="5398" width="1.8515625" style="166" customWidth="1"/>
    <col min="5399" max="5399" width="16.7109375" style="166" customWidth="1"/>
    <col min="5400" max="5400" width="1.8515625" style="166" customWidth="1"/>
    <col min="5401" max="5401" width="16.7109375" style="166" customWidth="1"/>
    <col min="5402" max="5402" width="1.8515625" style="166" customWidth="1"/>
    <col min="5403" max="5403" width="16.7109375" style="166" customWidth="1"/>
    <col min="5404" max="5404" width="1.8515625" style="166" customWidth="1"/>
    <col min="5405" max="5405" width="16.7109375" style="166" customWidth="1"/>
    <col min="5406" max="5406" width="1.8515625" style="166" customWidth="1"/>
    <col min="5407" max="5407" width="17.8515625" style="166" customWidth="1"/>
    <col min="5408" max="5408" width="5.28125" style="166" customWidth="1"/>
    <col min="5409" max="5409" width="16.7109375" style="166" customWidth="1"/>
    <col min="5410" max="5410" width="5.28125" style="166" customWidth="1"/>
    <col min="5411" max="5411" width="14.421875" style="166" customWidth="1"/>
    <col min="5412" max="5412" width="1.8515625" style="166" customWidth="1"/>
    <col min="5413" max="5413" width="16.7109375" style="166" customWidth="1"/>
    <col min="5414" max="5623" width="11.00390625" style="166" customWidth="1"/>
    <col min="5624" max="5624" width="7.57421875" style="166" customWidth="1"/>
    <col min="5625" max="5625" width="15.57421875" style="166" customWidth="1"/>
    <col min="5626" max="5626" width="20.140625" style="166" customWidth="1"/>
    <col min="5627" max="5627" width="2.28125" style="166" customWidth="1"/>
    <col min="5628" max="5628" width="17.421875" style="166" customWidth="1"/>
    <col min="5629" max="5629" width="1.8515625" style="166" customWidth="1"/>
    <col min="5630" max="5630" width="18.7109375" style="166" customWidth="1"/>
    <col min="5631" max="5631" width="1.8515625" style="166" customWidth="1"/>
    <col min="5632" max="5632" width="23.00390625" style="166" customWidth="1"/>
    <col min="5633" max="5633" width="1.8515625" style="166" customWidth="1"/>
    <col min="5634" max="5634" width="17.421875" style="166" customWidth="1"/>
    <col min="5635" max="5635" width="3.00390625" style="166" customWidth="1"/>
    <col min="5636" max="5636" width="16.28125" style="166" customWidth="1"/>
    <col min="5637" max="5637" width="3.00390625" style="166" customWidth="1"/>
    <col min="5638" max="5638" width="14.140625" style="166" customWidth="1"/>
    <col min="5639" max="5639" width="2.00390625" style="166" customWidth="1"/>
    <col min="5640" max="5640" width="15.8515625" style="166" customWidth="1"/>
    <col min="5641" max="5641" width="3.140625" style="166" customWidth="1"/>
    <col min="5642" max="5642" width="17.8515625" style="166" customWidth="1"/>
    <col min="5643" max="5643" width="2.57421875" style="166" customWidth="1"/>
    <col min="5644" max="5644" width="15.57421875" style="166" customWidth="1"/>
    <col min="5645" max="5645" width="1.8515625" style="166" customWidth="1"/>
    <col min="5646" max="5646" width="14.140625" style="166" customWidth="1"/>
    <col min="5647" max="5647" width="11.00390625" style="166" customWidth="1"/>
    <col min="5648" max="5649" width="25.00390625" style="166" customWidth="1"/>
    <col min="5650" max="5650" width="1.8515625" style="166" customWidth="1"/>
    <col min="5651" max="5651" width="17.8515625" style="166" customWidth="1"/>
    <col min="5652" max="5652" width="1.8515625" style="166" customWidth="1"/>
    <col min="5653" max="5653" width="19.00390625" style="166" customWidth="1"/>
    <col min="5654" max="5654" width="1.8515625" style="166" customWidth="1"/>
    <col min="5655" max="5655" width="16.7109375" style="166" customWidth="1"/>
    <col min="5656" max="5656" width="1.8515625" style="166" customWidth="1"/>
    <col min="5657" max="5657" width="16.7109375" style="166" customWidth="1"/>
    <col min="5658" max="5658" width="1.8515625" style="166" customWidth="1"/>
    <col min="5659" max="5659" width="16.7109375" style="166" customWidth="1"/>
    <col min="5660" max="5660" width="1.8515625" style="166" customWidth="1"/>
    <col min="5661" max="5661" width="16.7109375" style="166" customWidth="1"/>
    <col min="5662" max="5662" width="1.8515625" style="166" customWidth="1"/>
    <col min="5663" max="5663" width="17.8515625" style="166" customWidth="1"/>
    <col min="5664" max="5664" width="5.28125" style="166" customWidth="1"/>
    <col min="5665" max="5665" width="16.7109375" style="166" customWidth="1"/>
    <col min="5666" max="5666" width="5.28125" style="166" customWidth="1"/>
    <col min="5667" max="5667" width="14.421875" style="166" customWidth="1"/>
    <col min="5668" max="5668" width="1.8515625" style="166" customWidth="1"/>
    <col min="5669" max="5669" width="16.7109375" style="166" customWidth="1"/>
    <col min="5670" max="5879" width="11.00390625" style="166" customWidth="1"/>
    <col min="5880" max="5880" width="7.57421875" style="166" customWidth="1"/>
    <col min="5881" max="5881" width="15.57421875" style="166" customWidth="1"/>
    <col min="5882" max="5882" width="20.140625" style="166" customWidth="1"/>
    <col min="5883" max="5883" width="2.28125" style="166" customWidth="1"/>
    <col min="5884" max="5884" width="17.421875" style="166" customWidth="1"/>
    <col min="5885" max="5885" width="1.8515625" style="166" customWidth="1"/>
    <col min="5886" max="5886" width="18.7109375" style="166" customWidth="1"/>
    <col min="5887" max="5887" width="1.8515625" style="166" customWidth="1"/>
    <col min="5888" max="5888" width="23.00390625" style="166" customWidth="1"/>
    <col min="5889" max="5889" width="1.8515625" style="166" customWidth="1"/>
    <col min="5890" max="5890" width="17.421875" style="166" customWidth="1"/>
    <col min="5891" max="5891" width="3.00390625" style="166" customWidth="1"/>
    <col min="5892" max="5892" width="16.28125" style="166" customWidth="1"/>
    <col min="5893" max="5893" width="3.00390625" style="166" customWidth="1"/>
    <col min="5894" max="5894" width="14.140625" style="166" customWidth="1"/>
    <col min="5895" max="5895" width="2.00390625" style="166" customWidth="1"/>
    <col min="5896" max="5896" width="15.8515625" style="166" customWidth="1"/>
    <col min="5897" max="5897" width="3.140625" style="166" customWidth="1"/>
    <col min="5898" max="5898" width="17.8515625" style="166" customWidth="1"/>
    <col min="5899" max="5899" width="2.57421875" style="166" customWidth="1"/>
    <col min="5900" max="5900" width="15.57421875" style="166" customWidth="1"/>
    <col min="5901" max="5901" width="1.8515625" style="166" customWidth="1"/>
    <col min="5902" max="5902" width="14.140625" style="166" customWidth="1"/>
    <col min="5903" max="5903" width="11.00390625" style="166" customWidth="1"/>
    <col min="5904" max="5905" width="25.00390625" style="166" customWidth="1"/>
    <col min="5906" max="5906" width="1.8515625" style="166" customWidth="1"/>
    <col min="5907" max="5907" width="17.8515625" style="166" customWidth="1"/>
    <col min="5908" max="5908" width="1.8515625" style="166" customWidth="1"/>
    <col min="5909" max="5909" width="19.00390625" style="166" customWidth="1"/>
    <col min="5910" max="5910" width="1.8515625" style="166" customWidth="1"/>
    <col min="5911" max="5911" width="16.7109375" style="166" customWidth="1"/>
    <col min="5912" max="5912" width="1.8515625" style="166" customWidth="1"/>
    <col min="5913" max="5913" width="16.7109375" style="166" customWidth="1"/>
    <col min="5914" max="5914" width="1.8515625" style="166" customWidth="1"/>
    <col min="5915" max="5915" width="16.7109375" style="166" customWidth="1"/>
    <col min="5916" max="5916" width="1.8515625" style="166" customWidth="1"/>
    <col min="5917" max="5917" width="16.7109375" style="166" customWidth="1"/>
    <col min="5918" max="5918" width="1.8515625" style="166" customWidth="1"/>
    <col min="5919" max="5919" width="17.8515625" style="166" customWidth="1"/>
    <col min="5920" max="5920" width="5.28125" style="166" customWidth="1"/>
    <col min="5921" max="5921" width="16.7109375" style="166" customWidth="1"/>
    <col min="5922" max="5922" width="5.28125" style="166" customWidth="1"/>
    <col min="5923" max="5923" width="14.421875" style="166" customWidth="1"/>
    <col min="5924" max="5924" width="1.8515625" style="166" customWidth="1"/>
    <col min="5925" max="5925" width="16.7109375" style="166" customWidth="1"/>
    <col min="5926" max="6135" width="11.00390625" style="166" customWidth="1"/>
    <col min="6136" max="6136" width="7.57421875" style="166" customWidth="1"/>
    <col min="6137" max="6137" width="15.57421875" style="166" customWidth="1"/>
    <col min="6138" max="6138" width="20.140625" style="166" customWidth="1"/>
    <col min="6139" max="6139" width="2.28125" style="166" customWidth="1"/>
    <col min="6140" max="6140" width="17.421875" style="166" customWidth="1"/>
    <col min="6141" max="6141" width="1.8515625" style="166" customWidth="1"/>
    <col min="6142" max="6142" width="18.7109375" style="166" customWidth="1"/>
    <col min="6143" max="6143" width="1.8515625" style="166" customWidth="1"/>
    <col min="6144" max="6144" width="23.00390625" style="166" customWidth="1"/>
    <col min="6145" max="6145" width="1.8515625" style="166" customWidth="1"/>
    <col min="6146" max="6146" width="17.421875" style="166" customWidth="1"/>
    <col min="6147" max="6147" width="3.00390625" style="166" customWidth="1"/>
    <col min="6148" max="6148" width="16.28125" style="166" customWidth="1"/>
    <col min="6149" max="6149" width="3.00390625" style="166" customWidth="1"/>
    <col min="6150" max="6150" width="14.140625" style="166" customWidth="1"/>
    <col min="6151" max="6151" width="2.00390625" style="166" customWidth="1"/>
    <col min="6152" max="6152" width="15.8515625" style="166" customWidth="1"/>
    <col min="6153" max="6153" width="3.140625" style="166" customWidth="1"/>
    <col min="6154" max="6154" width="17.8515625" style="166" customWidth="1"/>
    <col min="6155" max="6155" width="2.57421875" style="166" customWidth="1"/>
    <col min="6156" max="6156" width="15.57421875" style="166" customWidth="1"/>
    <col min="6157" max="6157" width="1.8515625" style="166" customWidth="1"/>
    <col min="6158" max="6158" width="14.140625" style="166" customWidth="1"/>
    <col min="6159" max="6159" width="11.00390625" style="166" customWidth="1"/>
    <col min="6160" max="6161" width="25.00390625" style="166" customWidth="1"/>
    <col min="6162" max="6162" width="1.8515625" style="166" customWidth="1"/>
    <col min="6163" max="6163" width="17.8515625" style="166" customWidth="1"/>
    <col min="6164" max="6164" width="1.8515625" style="166" customWidth="1"/>
    <col min="6165" max="6165" width="19.00390625" style="166" customWidth="1"/>
    <col min="6166" max="6166" width="1.8515625" style="166" customWidth="1"/>
    <col min="6167" max="6167" width="16.7109375" style="166" customWidth="1"/>
    <col min="6168" max="6168" width="1.8515625" style="166" customWidth="1"/>
    <col min="6169" max="6169" width="16.7109375" style="166" customWidth="1"/>
    <col min="6170" max="6170" width="1.8515625" style="166" customWidth="1"/>
    <col min="6171" max="6171" width="16.7109375" style="166" customWidth="1"/>
    <col min="6172" max="6172" width="1.8515625" style="166" customWidth="1"/>
    <col min="6173" max="6173" width="16.7109375" style="166" customWidth="1"/>
    <col min="6174" max="6174" width="1.8515625" style="166" customWidth="1"/>
    <col min="6175" max="6175" width="17.8515625" style="166" customWidth="1"/>
    <col min="6176" max="6176" width="5.28125" style="166" customWidth="1"/>
    <col min="6177" max="6177" width="16.7109375" style="166" customWidth="1"/>
    <col min="6178" max="6178" width="5.28125" style="166" customWidth="1"/>
    <col min="6179" max="6179" width="14.421875" style="166" customWidth="1"/>
    <col min="6180" max="6180" width="1.8515625" style="166" customWidth="1"/>
    <col min="6181" max="6181" width="16.7109375" style="166" customWidth="1"/>
    <col min="6182" max="6391" width="11.00390625" style="166" customWidth="1"/>
    <col min="6392" max="6392" width="7.57421875" style="166" customWidth="1"/>
    <col min="6393" max="6393" width="15.57421875" style="166" customWidth="1"/>
    <col min="6394" max="6394" width="20.140625" style="166" customWidth="1"/>
    <col min="6395" max="6395" width="2.28125" style="166" customWidth="1"/>
    <col min="6396" max="6396" width="17.421875" style="166" customWidth="1"/>
    <col min="6397" max="6397" width="1.8515625" style="166" customWidth="1"/>
    <col min="6398" max="6398" width="18.7109375" style="166" customWidth="1"/>
    <col min="6399" max="6399" width="1.8515625" style="166" customWidth="1"/>
    <col min="6400" max="6400" width="23.00390625" style="166" customWidth="1"/>
    <col min="6401" max="6401" width="1.8515625" style="166" customWidth="1"/>
    <col min="6402" max="6402" width="17.421875" style="166" customWidth="1"/>
    <col min="6403" max="6403" width="3.00390625" style="166" customWidth="1"/>
    <col min="6404" max="6404" width="16.28125" style="166" customWidth="1"/>
    <col min="6405" max="6405" width="3.00390625" style="166" customWidth="1"/>
    <col min="6406" max="6406" width="14.140625" style="166" customWidth="1"/>
    <col min="6407" max="6407" width="2.00390625" style="166" customWidth="1"/>
    <col min="6408" max="6408" width="15.8515625" style="166" customWidth="1"/>
    <col min="6409" max="6409" width="3.140625" style="166" customWidth="1"/>
    <col min="6410" max="6410" width="17.8515625" style="166" customWidth="1"/>
    <col min="6411" max="6411" width="2.57421875" style="166" customWidth="1"/>
    <col min="6412" max="6412" width="15.57421875" style="166" customWidth="1"/>
    <col min="6413" max="6413" width="1.8515625" style="166" customWidth="1"/>
    <col min="6414" max="6414" width="14.140625" style="166" customWidth="1"/>
    <col min="6415" max="6415" width="11.00390625" style="166" customWidth="1"/>
    <col min="6416" max="6417" width="25.00390625" style="166" customWidth="1"/>
    <col min="6418" max="6418" width="1.8515625" style="166" customWidth="1"/>
    <col min="6419" max="6419" width="17.8515625" style="166" customWidth="1"/>
    <col min="6420" max="6420" width="1.8515625" style="166" customWidth="1"/>
    <col min="6421" max="6421" width="19.00390625" style="166" customWidth="1"/>
    <col min="6422" max="6422" width="1.8515625" style="166" customWidth="1"/>
    <col min="6423" max="6423" width="16.7109375" style="166" customWidth="1"/>
    <col min="6424" max="6424" width="1.8515625" style="166" customWidth="1"/>
    <col min="6425" max="6425" width="16.7109375" style="166" customWidth="1"/>
    <col min="6426" max="6426" width="1.8515625" style="166" customWidth="1"/>
    <col min="6427" max="6427" width="16.7109375" style="166" customWidth="1"/>
    <col min="6428" max="6428" width="1.8515625" style="166" customWidth="1"/>
    <col min="6429" max="6429" width="16.7109375" style="166" customWidth="1"/>
    <col min="6430" max="6430" width="1.8515625" style="166" customWidth="1"/>
    <col min="6431" max="6431" width="17.8515625" style="166" customWidth="1"/>
    <col min="6432" max="6432" width="5.28125" style="166" customWidth="1"/>
    <col min="6433" max="6433" width="16.7109375" style="166" customWidth="1"/>
    <col min="6434" max="6434" width="5.28125" style="166" customWidth="1"/>
    <col min="6435" max="6435" width="14.421875" style="166" customWidth="1"/>
    <col min="6436" max="6436" width="1.8515625" style="166" customWidth="1"/>
    <col min="6437" max="6437" width="16.7109375" style="166" customWidth="1"/>
    <col min="6438" max="6647" width="11.00390625" style="166" customWidth="1"/>
    <col min="6648" max="6648" width="7.57421875" style="166" customWidth="1"/>
    <col min="6649" max="6649" width="15.57421875" style="166" customWidth="1"/>
    <col min="6650" max="6650" width="20.140625" style="166" customWidth="1"/>
    <col min="6651" max="6651" width="2.28125" style="166" customWidth="1"/>
    <col min="6652" max="6652" width="17.421875" style="166" customWidth="1"/>
    <col min="6653" max="6653" width="1.8515625" style="166" customWidth="1"/>
    <col min="6654" max="6654" width="18.7109375" style="166" customWidth="1"/>
    <col min="6655" max="6655" width="1.8515625" style="166" customWidth="1"/>
    <col min="6656" max="6656" width="23.00390625" style="166" customWidth="1"/>
    <col min="6657" max="6657" width="1.8515625" style="166" customWidth="1"/>
    <col min="6658" max="6658" width="17.421875" style="166" customWidth="1"/>
    <col min="6659" max="6659" width="3.00390625" style="166" customWidth="1"/>
    <col min="6660" max="6660" width="16.28125" style="166" customWidth="1"/>
    <col min="6661" max="6661" width="3.00390625" style="166" customWidth="1"/>
    <col min="6662" max="6662" width="14.140625" style="166" customWidth="1"/>
    <col min="6663" max="6663" width="2.00390625" style="166" customWidth="1"/>
    <col min="6664" max="6664" width="15.8515625" style="166" customWidth="1"/>
    <col min="6665" max="6665" width="3.140625" style="166" customWidth="1"/>
    <col min="6666" max="6666" width="17.8515625" style="166" customWidth="1"/>
    <col min="6667" max="6667" width="2.57421875" style="166" customWidth="1"/>
    <col min="6668" max="6668" width="15.57421875" style="166" customWidth="1"/>
    <col min="6669" max="6669" width="1.8515625" style="166" customWidth="1"/>
    <col min="6670" max="6670" width="14.140625" style="166" customWidth="1"/>
    <col min="6671" max="6671" width="11.00390625" style="166" customWidth="1"/>
    <col min="6672" max="6673" width="25.00390625" style="166" customWidth="1"/>
    <col min="6674" max="6674" width="1.8515625" style="166" customWidth="1"/>
    <col min="6675" max="6675" width="17.8515625" style="166" customWidth="1"/>
    <col min="6676" max="6676" width="1.8515625" style="166" customWidth="1"/>
    <col min="6677" max="6677" width="19.00390625" style="166" customWidth="1"/>
    <col min="6678" max="6678" width="1.8515625" style="166" customWidth="1"/>
    <col min="6679" max="6679" width="16.7109375" style="166" customWidth="1"/>
    <col min="6680" max="6680" width="1.8515625" style="166" customWidth="1"/>
    <col min="6681" max="6681" width="16.7109375" style="166" customWidth="1"/>
    <col min="6682" max="6682" width="1.8515625" style="166" customWidth="1"/>
    <col min="6683" max="6683" width="16.7109375" style="166" customWidth="1"/>
    <col min="6684" max="6684" width="1.8515625" style="166" customWidth="1"/>
    <col min="6685" max="6685" width="16.7109375" style="166" customWidth="1"/>
    <col min="6686" max="6686" width="1.8515625" style="166" customWidth="1"/>
    <col min="6687" max="6687" width="17.8515625" style="166" customWidth="1"/>
    <col min="6688" max="6688" width="5.28125" style="166" customWidth="1"/>
    <col min="6689" max="6689" width="16.7109375" style="166" customWidth="1"/>
    <col min="6690" max="6690" width="5.28125" style="166" customWidth="1"/>
    <col min="6691" max="6691" width="14.421875" style="166" customWidth="1"/>
    <col min="6692" max="6692" width="1.8515625" style="166" customWidth="1"/>
    <col min="6693" max="6693" width="16.7109375" style="166" customWidth="1"/>
    <col min="6694" max="6903" width="11.00390625" style="166" customWidth="1"/>
    <col min="6904" max="6904" width="7.57421875" style="166" customWidth="1"/>
    <col min="6905" max="6905" width="15.57421875" style="166" customWidth="1"/>
    <col min="6906" max="6906" width="20.140625" style="166" customWidth="1"/>
    <col min="6907" max="6907" width="2.28125" style="166" customWidth="1"/>
    <col min="6908" max="6908" width="17.421875" style="166" customWidth="1"/>
    <col min="6909" max="6909" width="1.8515625" style="166" customWidth="1"/>
    <col min="6910" max="6910" width="18.7109375" style="166" customWidth="1"/>
    <col min="6911" max="6911" width="1.8515625" style="166" customWidth="1"/>
    <col min="6912" max="6912" width="23.00390625" style="166" customWidth="1"/>
    <col min="6913" max="6913" width="1.8515625" style="166" customWidth="1"/>
    <col min="6914" max="6914" width="17.421875" style="166" customWidth="1"/>
    <col min="6915" max="6915" width="3.00390625" style="166" customWidth="1"/>
    <col min="6916" max="6916" width="16.28125" style="166" customWidth="1"/>
    <col min="6917" max="6917" width="3.00390625" style="166" customWidth="1"/>
    <col min="6918" max="6918" width="14.140625" style="166" customWidth="1"/>
    <col min="6919" max="6919" width="2.00390625" style="166" customWidth="1"/>
    <col min="6920" max="6920" width="15.8515625" style="166" customWidth="1"/>
    <col min="6921" max="6921" width="3.140625" style="166" customWidth="1"/>
    <col min="6922" max="6922" width="17.8515625" style="166" customWidth="1"/>
    <col min="6923" max="6923" width="2.57421875" style="166" customWidth="1"/>
    <col min="6924" max="6924" width="15.57421875" style="166" customWidth="1"/>
    <col min="6925" max="6925" width="1.8515625" style="166" customWidth="1"/>
    <col min="6926" max="6926" width="14.140625" style="166" customWidth="1"/>
    <col min="6927" max="6927" width="11.00390625" style="166" customWidth="1"/>
    <col min="6928" max="6929" width="25.00390625" style="166" customWidth="1"/>
    <col min="6930" max="6930" width="1.8515625" style="166" customWidth="1"/>
    <col min="6931" max="6931" width="17.8515625" style="166" customWidth="1"/>
    <col min="6932" max="6932" width="1.8515625" style="166" customWidth="1"/>
    <col min="6933" max="6933" width="19.00390625" style="166" customWidth="1"/>
    <col min="6934" max="6934" width="1.8515625" style="166" customWidth="1"/>
    <col min="6935" max="6935" width="16.7109375" style="166" customWidth="1"/>
    <col min="6936" max="6936" width="1.8515625" style="166" customWidth="1"/>
    <col min="6937" max="6937" width="16.7109375" style="166" customWidth="1"/>
    <col min="6938" max="6938" width="1.8515625" style="166" customWidth="1"/>
    <col min="6939" max="6939" width="16.7109375" style="166" customWidth="1"/>
    <col min="6940" max="6940" width="1.8515625" style="166" customWidth="1"/>
    <col min="6941" max="6941" width="16.7109375" style="166" customWidth="1"/>
    <col min="6942" max="6942" width="1.8515625" style="166" customWidth="1"/>
    <col min="6943" max="6943" width="17.8515625" style="166" customWidth="1"/>
    <col min="6944" max="6944" width="5.28125" style="166" customWidth="1"/>
    <col min="6945" max="6945" width="16.7109375" style="166" customWidth="1"/>
    <col min="6946" max="6946" width="5.28125" style="166" customWidth="1"/>
    <col min="6947" max="6947" width="14.421875" style="166" customWidth="1"/>
    <col min="6948" max="6948" width="1.8515625" style="166" customWidth="1"/>
    <col min="6949" max="6949" width="16.7109375" style="166" customWidth="1"/>
    <col min="6950" max="7159" width="11.00390625" style="166" customWidth="1"/>
    <col min="7160" max="7160" width="7.57421875" style="166" customWidth="1"/>
    <col min="7161" max="7161" width="15.57421875" style="166" customWidth="1"/>
    <col min="7162" max="7162" width="20.140625" style="166" customWidth="1"/>
    <col min="7163" max="7163" width="2.28125" style="166" customWidth="1"/>
    <col min="7164" max="7164" width="17.421875" style="166" customWidth="1"/>
    <col min="7165" max="7165" width="1.8515625" style="166" customWidth="1"/>
    <col min="7166" max="7166" width="18.7109375" style="166" customWidth="1"/>
    <col min="7167" max="7167" width="1.8515625" style="166" customWidth="1"/>
    <col min="7168" max="7168" width="23.00390625" style="166" customWidth="1"/>
    <col min="7169" max="7169" width="1.8515625" style="166" customWidth="1"/>
    <col min="7170" max="7170" width="17.421875" style="166" customWidth="1"/>
    <col min="7171" max="7171" width="3.00390625" style="166" customWidth="1"/>
    <col min="7172" max="7172" width="16.28125" style="166" customWidth="1"/>
    <col min="7173" max="7173" width="3.00390625" style="166" customWidth="1"/>
    <col min="7174" max="7174" width="14.140625" style="166" customWidth="1"/>
    <col min="7175" max="7175" width="2.00390625" style="166" customWidth="1"/>
    <col min="7176" max="7176" width="15.8515625" style="166" customWidth="1"/>
    <col min="7177" max="7177" width="3.140625" style="166" customWidth="1"/>
    <col min="7178" max="7178" width="17.8515625" style="166" customWidth="1"/>
    <col min="7179" max="7179" width="2.57421875" style="166" customWidth="1"/>
    <col min="7180" max="7180" width="15.57421875" style="166" customWidth="1"/>
    <col min="7181" max="7181" width="1.8515625" style="166" customWidth="1"/>
    <col min="7182" max="7182" width="14.140625" style="166" customWidth="1"/>
    <col min="7183" max="7183" width="11.00390625" style="166" customWidth="1"/>
    <col min="7184" max="7185" width="25.00390625" style="166" customWidth="1"/>
    <col min="7186" max="7186" width="1.8515625" style="166" customWidth="1"/>
    <col min="7187" max="7187" width="17.8515625" style="166" customWidth="1"/>
    <col min="7188" max="7188" width="1.8515625" style="166" customWidth="1"/>
    <col min="7189" max="7189" width="19.00390625" style="166" customWidth="1"/>
    <col min="7190" max="7190" width="1.8515625" style="166" customWidth="1"/>
    <col min="7191" max="7191" width="16.7109375" style="166" customWidth="1"/>
    <col min="7192" max="7192" width="1.8515625" style="166" customWidth="1"/>
    <col min="7193" max="7193" width="16.7109375" style="166" customWidth="1"/>
    <col min="7194" max="7194" width="1.8515625" style="166" customWidth="1"/>
    <col min="7195" max="7195" width="16.7109375" style="166" customWidth="1"/>
    <col min="7196" max="7196" width="1.8515625" style="166" customWidth="1"/>
    <col min="7197" max="7197" width="16.7109375" style="166" customWidth="1"/>
    <col min="7198" max="7198" width="1.8515625" style="166" customWidth="1"/>
    <col min="7199" max="7199" width="17.8515625" style="166" customWidth="1"/>
    <col min="7200" max="7200" width="5.28125" style="166" customWidth="1"/>
    <col min="7201" max="7201" width="16.7109375" style="166" customWidth="1"/>
    <col min="7202" max="7202" width="5.28125" style="166" customWidth="1"/>
    <col min="7203" max="7203" width="14.421875" style="166" customWidth="1"/>
    <col min="7204" max="7204" width="1.8515625" style="166" customWidth="1"/>
    <col min="7205" max="7205" width="16.7109375" style="166" customWidth="1"/>
    <col min="7206" max="7415" width="11.00390625" style="166" customWidth="1"/>
    <col min="7416" max="7416" width="7.57421875" style="166" customWidth="1"/>
    <col min="7417" max="7417" width="15.57421875" style="166" customWidth="1"/>
    <col min="7418" max="7418" width="20.140625" style="166" customWidth="1"/>
    <col min="7419" max="7419" width="2.28125" style="166" customWidth="1"/>
    <col min="7420" max="7420" width="17.421875" style="166" customWidth="1"/>
    <col min="7421" max="7421" width="1.8515625" style="166" customWidth="1"/>
    <col min="7422" max="7422" width="18.7109375" style="166" customWidth="1"/>
    <col min="7423" max="7423" width="1.8515625" style="166" customWidth="1"/>
    <col min="7424" max="7424" width="23.00390625" style="166" customWidth="1"/>
    <col min="7425" max="7425" width="1.8515625" style="166" customWidth="1"/>
    <col min="7426" max="7426" width="17.421875" style="166" customWidth="1"/>
    <col min="7427" max="7427" width="3.00390625" style="166" customWidth="1"/>
    <col min="7428" max="7428" width="16.28125" style="166" customWidth="1"/>
    <col min="7429" max="7429" width="3.00390625" style="166" customWidth="1"/>
    <col min="7430" max="7430" width="14.140625" style="166" customWidth="1"/>
    <col min="7431" max="7431" width="2.00390625" style="166" customWidth="1"/>
    <col min="7432" max="7432" width="15.8515625" style="166" customWidth="1"/>
    <col min="7433" max="7433" width="3.140625" style="166" customWidth="1"/>
    <col min="7434" max="7434" width="17.8515625" style="166" customWidth="1"/>
    <col min="7435" max="7435" width="2.57421875" style="166" customWidth="1"/>
    <col min="7436" max="7436" width="15.57421875" style="166" customWidth="1"/>
    <col min="7437" max="7437" width="1.8515625" style="166" customWidth="1"/>
    <col min="7438" max="7438" width="14.140625" style="166" customWidth="1"/>
    <col min="7439" max="7439" width="11.00390625" style="166" customWidth="1"/>
    <col min="7440" max="7441" width="25.00390625" style="166" customWidth="1"/>
    <col min="7442" max="7442" width="1.8515625" style="166" customWidth="1"/>
    <col min="7443" max="7443" width="17.8515625" style="166" customWidth="1"/>
    <col min="7444" max="7444" width="1.8515625" style="166" customWidth="1"/>
    <col min="7445" max="7445" width="19.00390625" style="166" customWidth="1"/>
    <col min="7446" max="7446" width="1.8515625" style="166" customWidth="1"/>
    <col min="7447" max="7447" width="16.7109375" style="166" customWidth="1"/>
    <col min="7448" max="7448" width="1.8515625" style="166" customWidth="1"/>
    <col min="7449" max="7449" width="16.7109375" style="166" customWidth="1"/>
    <col min="7450" max="7450" width="1.8515625" style="166" customWidth="1"/>
    <col min="7451" max="7451" width="16.7109375" style="166" customWidth="1"/>
    <col min="7452" max="7452" width="1.8515625" style="166" customWidth="1"/>
    <col min="7453" max="7453" width="16.7109375" style="166" customWidth="1"/>
    <col min="7454" max="7454" width="1.8515625" style="166" customWidth="1"/>
    <col min="7455" max="7455" width="17.8515625" style="166" customWidth="1"/>
    <col min="7456" max="7456" width="5.28125" style="166" customWidth="1"/>
    <col min="7457" max="7457" width="16.7109375" style="166" customWidth="1"/>
    <col min="7458" max="7458" width="5.28125" style="166" customWidth="1"/>
    <col min="7459" max="7459" width="14.421875" style="166" customWidth="1"/>
    <col min="7460" max="7460" width="1.8515625" style="166" customWidth="1"/>
    <col min="7461" max="7461" width="16.7109375" style="166" customWidth="1"/>
    <col min="7462" max="7671" width="11.00390625" style="166" customWidth="1"/>
    <col min="7672" max="7672" width="7.57421875" style="166" customWidth="1"/>
    <col min="7673" max="7673" width="15.57421875" style="166" customWidth="1"/>
    <col min="7674" max="7674" width="20.140625" style="166" customWidth="1"/>
    <col min="7675" max="7675" width="2.28125" style="166" customWidth="1"/>
    <col min="7676" max="7676" width="17.421875" style="166" customWidth="1"/>
    <col min="7677" max="7677" width="1.8515625" style="166" customWidth="1"/>
    <col min="7678" max="7678" width="18.7109375" style="166" customWidth="1"/>
    <col min="7679" max="7679" width="1.8515625" style="166" customWidth="1"/>
    <col min="7680" max="7680" width="23.00390625" style="166" customWidth="1"/>
    <col min="7681" max="7681" width="1.8515625" style="166" customWidth="1"/>
    <col min="7682" max="7682" width="17.421875" style="166" customWidth="1"/>
    <col min="7683" max="7683" width="3.00390625" style="166" customWidth="1"/>
    <col min="7684" max="7684" width="16.28125" style="166" customWidth="1"/>
    <col min="7685" max="7685" width="3.00390625" style="166" customWidth="1"/>
    <col min="7686" max="7686" width="14.140625" style="166" customWidth="1"/>
    <col min="7687" max="7687" width="2.00390625" style="166" customWidth="1"/>
    <col min="7688" max="7688" width="15.8515625" style="166" customWidth="1"/>
    <col min="7689" max="7689" width="3.140625" style="166" customWidth="1"/>
    <col min="7690" max="7690" width="17.8515625" style="166" customWidth="1"/>
    <col min="7691" max="7691" width="2.57421875" style="166" customWidth="1"/>
    <col min="7692" max="7692" width="15.57421875" style="166" customWidth="1"/>
    <col min="7693" max="7693" width="1.8515625" style="166" customWidth="1"/>
    <col min="7694" max="7694" width="14.140625" style="166" customWidth="1"/>
    <col min="7695" max="7695" width="11.00390625" style="166" customWidth="1"/>
    <col min="7696" max="7697" width="25.00390625" style="166" customWidth="1"/>
    <col min="7698" max="7698" width="1.8515625" style="166" customWidth="1"/>
    <col min="7699" max="7699" width="17.8515625" style="166" customWidth="1"/>
    <col min="7700" max="7700" width="1.8515625" style="166" customWidth="1"/>
    <col min="7701" max="7701" width="19.00390625" style="166" customWidth="1"/>
    <col min="7702" max="7702" width="1.8515625" style="166" customWidth="1"/>
    <col min="7703" max="7703" width="16.7109375" style="166" customWidth="1"/>
    <col min="7704" max="7704" width="1.8515625" style="166" customWidth="1"/>
    <col min="7705" max="7705" width="16.7109375" style="166" customWidth="1"/>
    <col min="7706" max="7706" width="1.8515625" style="166" customWidth="1"/>
    <col min="7707" max="7707" width="16.7109375" style="166" customWidth="1"/>
    <col min="7708" max="7708" width="1.8515625" style="166" customWidth="1"/>
    <col min="7709" max="7709" width="16.7109375" style="166" customWidth="1"/>
    <col min="7710" max="7710" width="1.8515625" style="166" customWidth="1"/>
    <col min="7711" max="7711" width="17.8515625" style="166" customWidth="1"/>
    <col min="7712" max="7712" width="5.28125" style="166" customWidth="1"/>
    <col min="7713" max="7713" width="16.7109375" style="166" customWidth="1"/>
    <col min="7714" max="7714" width="5.28125" style="166" customWidth="1"/>
    <col min="7715" max="7715" width="14.421875" style="166" customWidth="1"/>
    <col min="7716" max="7716" width="1.8515625" style="166" customWidth="1"/>
    <col min="7717" max="7717" width="16.7109375" style="166" customWidth="1"/>
    <col min="7718" max="7927" width="11.00390625" style="166" customWidth="1"/>
    <col min="7928" max="7928" width="7.57421875" style="166" customWidth="1"/>
    <col min="7929" max="7929" width="15.57421875" style="166" customWidth="1"/>
    <col min="7930" max="7930" width="20.140625" style="166" customWidth="1"/>
    <col min="7931" max="7931" width="2.28125" style="166" customWidth="1"/>
    <col min="7932" max="7932" width="17.421875" style="166" customWidth="1"/>
    <col min="7933" max="7933" width="1.8515625" style="166" customWidth="1"/>
    <col min="7934" max="7934" width="18.7109375" style="166" customWidth="1"/>
    <col min="7935" max="7935" width="1.8515625" style="166" customWidth="1"/>
    <col min="7936" max="7936" width="23.00390625" style="166" customWidth="1"/>
    <col min="7937" max="7937" width="1.8515625" style="166" customWidth="1"/>
    <col min="7938" max="7938" width="17.421875" style="166" customWidth="1"/>
    <col min="7939" max="7939" width="3.00390625" style="166" customWidth="1"/>
    <col min="7940" max="7940" width="16.28125" style="166" customWidth="1"/>
    <col min="7941" max="7941" width="3.00390625" style="166" customWidth="1"/>
    <col min="7942" max="7942" width="14.140625" style="166" customWidth="1"/>
    <col min="7943" max="7943" width="2.00390625" style="166" customWidth="1"/>
    <col min="7944" max="7944" width="15.8515625" style="166" customWidth="1"/>
    <col min="7945" max="7945" width="3.140625" style="166" customWidth="1"/>
    <col min="7946" max="7946" width="17.8515625" style="166" customWidth="1"/>
    <col min="7947" max="7947" width="2.57421875" style="166" customWidth="1"/>
    <col min="7948" max="7948" width="15.57421875" style="166" customWidth="1"/>
    <col min="7949" max="7949" width="1.8515625" style="166" customWidth="1"/>
    <col min="7950" max="7950" width="14.140625" style="166" customWidth="1"/>
    <col min="7951" max="7951" width="11.00390625" style="166" customWidth="1"/>
    <col min="7952" max="7953" width="25.00390625" style="166" customWidth="1"/>
    <col min="7954" max="7954" width="1.8515625" style="166" customWidth="1"/>
    <col min="7955" max="7955" width="17.8515625" style="166" customWidth="1"/>
    <col min="7956" max="7956" width="1.8515625" style="166" customWidth="1"/>
    <col min="7957" max="7957" width="19.00390625" style="166" customWidth="1"/>
    <col min="7958" max="7958" width="1.8515625" style="166" customWidth="1"/>
    <col min="7959" max="7959" width="16.7109375" style="166" customWidth="1"/>
    <col min="7960" max="7960" width="1.8515625" style="166" customWidth="1"/>
    <col min="7961" max="7961" width="16.7109375" style="166" customWidth="1"/>
    <col min="7962" max="7962" width="1.8515625" style="166" customWidth="1"/>
    <col min="7963" max="7963" width="16.7109375" style="166" customWidth="1"/>
    <col min="7964" max="7964" width="1.8515625" style="166" customWidth="1"/>
    <col min="7965" max="7965" width="16.7109375" style="166" customWidth="1"/>
    <col min="7966" max="7966" width="1.8515625" style="166" customWidth="1"/>
    <col min="7967" max="7967" width="17.8515625" style="166" customWidth="1"/>
    <col min="7968" max="7968" width="5.28125" style="166" customWidth="1"/>
    <col min="7969" max="7969" width="16.7109375" style="166" customWidth="1"/>
    <col min="7970" max="7970" width="5.28125" style="166" customWidth="1"/>
    <col min="7971" max="7971" width="14.421875" style="166" customWidth="1"/>
    <col min="7972" max="7972" width="1.8515625" style="166" customWidth="1"/>
    <col min="7973" max="7973" width="16.7109375" style="166" customWidth="1"/>
    <col min="7974" max="8183" width="11.00390625" style="166" customWidth="1"/>
    <col min="8184" max="8184" width="7.57421875" style="166" customWidth="1"/>
    <col min="8185" max="8185" width="15.57421875" style="166" customWidth="1"/>
    <col min="8186" max="8186" width="20.140625" style="166" customWidth="1"/>
    <col min="8187" max="8187" width="2.28125" style="166" customWidth="1"/>
    <col min="8188" max="8188" width="17.421875" style="166" customWidth="1"/>
    <col min="8189" max="8189" width="1.8515625" style="166" customWidth="1"/>
    <col min="8190" max="8190" width="18.7109375" style="166" customWidth="1"/>
    <col min="8191" max="8191" width="1.8515625" style="166" customWidth="1"/>
    <col min="8192" max="8192" width="23.00390625" style="166" customWidth="1"/>
    <col min="8193" max="8193" width="1.8515625" style="166" customWidth="1"/>
    <col min="8194" max="8194" width="17.421875" style="166" customWidth="1"/>
    <col min="8195" max="8195" width="3.00390625" style="166" customWidth="1"/>
    <col min="8196" max="8196" width="16.28125" style="166" customWidth="1"/>
    <col min="8197" max="8197" width="3.00390625" style="166" customWidth="1"/>
    <col min="8198" max="8198" width="14.140625" style="166" customWidth="1"/>
    <col min="8199" max="8199" width="2.00390625" style="166" customWidth="1"/>
    <col min="8200" max="8200" width="15.8515625" style="166" customWidth="1"/>
    <col min="8201" max="8201" width="3.140625" style="166" customWidth="1"/>
    <col min="8202" max="8202" width="17.8515625" style="166" customWidth="1"/>
    <col min="8203" max="8203" width="2.57421875" style="166" customWidth="1"/>
    <col min="8204" max="8204" width="15.57421875" style="166" customWidth="1"/>
    <col min="8205" max="8205" width="1.8515625" style="166" customWidth="1"/>
    <col min="8206" max="8206" width="14.140625" style="166" customWidth="1"/>
    <col min="8207" max="8207" width="11.00390625" style="166" customWidth="1"/>
    <col min="8208" max="8209" width="25.00390625" style="166" customWidth="1"/>
    <col min="8210" max="8210" width="1.8515625" style="166" customWidth="1"/>
    <col min="8211" max="8211" width="17.8515625" style="166" customWidth="1"/>
    <col min="8212" max="8212" width="1.8515625" style="166" customWidth="1"/>
    <col min="8213" max="8213" width="19.00390625" style="166" customWidth="1"/>
    <col min="8214" max="8214" width="1.8515625" style="166" customWidth="1"/>
    <col min="8215" max="8215" width="16.7109375" style="166" customWidth="1"/>
    <col min="8216" max="8216" width="1.8515625" style="166" customWidth="1"/>
    <col min="8217" max="8217" width="16.7109375" style="166" customWidth="1"/>
    <col min="8218" max="8218" width="1.8515625" style="166" customWidth="1"/>
    <col min="8219" max="8219" width="16.7109375" style="166" customWidth="1"/>
    <col min="8220" max="8220" width="1.8515625" style="166" customWidth="1"/>
    <col min="8221" max="8221" width="16.7109375" style="166" customWidth="1"/>
    <col min="8222" max="8222" width="1.8515625" style="166" customWidth="1"/>
    <col min="8223" max="8223" width="17.8515625" style="166" customWidth="1"/>
    <col min="8224" max="8224" width="5.28125" style="166" customWidth="1"/>
    <col min="8225" max="8225" width="16.7109375" style="166" customWidth="1"/>
    <col min="8226" max="8226" width="5.28125" style="166" customWidth="1"/>
    <col min="8227" max="8227" width="14.421875" style="166" customWidth="1"/>
    <col min="8228" max="8228" width="1.8515625" style="166" customWidth="1"/>
    <col min="8229" max="8229" width="16.7109375" style="166" customWidth="1"/>
    <col min="8230" max="8439" width="11.00390625" style="166" customWidth="1"/>
    <col min="8440" max="8440" width="7.57421875" style="166" customWidth="1"/>
    <col min="8441" max="8441" width="15.57421875" style="166" customWidth="1"/>
    <col min="8442" max="8442" width="20.140625" style="166" customWidth="1"/>
    <col min="8443" max="8443" width="2.28125" style="166" customWidth="1"/>
    <col min="8444" max="8444" width="17.421875" style="166" customWidth="1"/>
    <col min="8445" max="8445" width="1.8515625" style="166" customWidth="1"/>
    <col min="8446" max="8446" width="18.7109375" style="166" customWidth="1"/>
    <col min="8447" max="8447" width="1.8515625" style="166" customWidth="1"/>
    <col min="8448" max="8448" width="23.00390625" style="166" customWidth="1"/>
    <col min="8449" max="8449" width="1.8515625" style="166" customWidth="1"/>
    <col min="8450" max="8450" width="17.421875" style="166" customWidth="1"/>
    <col min="8451" max="8451" width="3.00390625" style="166" customWidth="1"/>
    <col min="8452" max="8452" width="16.28125" style="166" customWidth="1"/>
    <col min="8453" max="8453" width="3.00390625" style="166" customWidth="1"/>
    <col min="8454" max="8454" width="14.140625" style="166" customWidth="1"/>
    <col min="8455" max="8455" width="2.00390625" style="166" customWidth="1"/>
    <col min="8456" max="8456" width="15.8515625" style="166" customWidth="1"/>
    <col min="8457" max="8457" width="3.140625" style="166" customWidth="1"/>
    <col min="8458" max="8458" width="17.8515625" style="166" customWidth="1"/>
    <col min="8459" max="8459" width="2.57421875" style="166" customWidth="1"/>
    <col min="8460" max="8460" width="15.57421875" style="166" customWidth="1"/>
    <col min="8461" max="8461" width="1.8515625" style="166" customWidth="1"/>
    <col min="8462" max="8462" width="14.140625" style="166" customWidth="1"/>
    <col min="8463" max="8463" width="11.00390625" style="166" customWidth="1"/>
    <col min="8464" max="8465" width="25.00390625" style="166" customWidth="1"/>
    <col min="8466" max="8466" width="1.8515625" style="166" customWidth="1"/>
    <col min="8467" max="8467" width="17.8515625" style="166" customWidth="1"/>
    <col min="8468" max="8468" width="1.8515625" style="166" customWidth="1"/>
    <col min="8469" max="8469" width="19.00390625" style="166" customWidth="1"/>
    <col min="8470" max="8470" width="1.8515625" style="166" customWidth="1"/>
    <col min="8471" max="8471" width="16.7109375" style="166" customWidth="1"/>
    <col min="8472" max="8472" width="1.8515625" style="166" customWidth="1"/>
    <col min="8473" max="8473" width="16.7109375" style="166" customWidth="1"/>
    <col min="8474" max="8474" width="1.8515625" style="166" customWidth="1"/>
    <col min="8475" max="8475" width="16.7109375" style="166" customWidth="1"/>
    <col min="8476" max="8476" width="1.8515625" style="166" customWidth="1"/>
    <col min="8477" max="8477" width="16.7109375" style="166" customWidth="1"/>
    <col min="8478" max="8478" width="1.8515625" style="166" customWidth="1"/>
    <col min="8479" max="8479" width="17.8515625" style="166" customWidth="1"/>
    <col min="8480" max="8480" width="5.28125" style="166" customWidth="1"/>
    <col min="8481" max="8481" width="16.7109375" style="166" customWidth="1"/>
    <col min="8482" max="8482" width="5.28125" style="166" customWidth="1"/>
    <col min="8483" max="8483" width="14.421875" style="166" customWidth="1"/>
    <col min="8484" max="8484" width="1.8515625" style="166" customWidth="1"/>
    <col min="8485" max="8485" width="16.7109375" style="166" customWidth="1"/>
    <col min="8486" max="8695" width="11.00390625" style="166" customWidth="1"/>
    <col min="8696" max="8696" width="7.57421875" style="166" customWidth="1"/>
    <col min="8697" max="8697" width="15.57421875" style="166" customWidth="1"/>
    <col min="8698" max="8698" width="20.140625" style="166" customWidth="1"/>
    <col min="8699" max="8699" width="2.28125" style="166" customWidth="1"/>
    <col min="8700" max="8700" width="17.421875" style="166" customWidth="1"/>
    <col min="8701" max="8701" width="1.8515625" style="166" customWidth="1"/>
    <col min="8702" max="8702" width="18.7109375" style="166" customWidth="1"/>
    <col min="8703" max="8703" width="1.8515625" style="166" customWidth="1"/>
    <col min="8704" max="8704" width="23.00390625" style="166" customWidth="1"/>
    <col min="8705" max="8705" width="1.8515625" style="166" customWidth="1"/>
    <col min="8706" max="8706" width="17.421875" style="166" customWidth="1"/>
    <col min="8707" max="8707" width="3.00390625" style="166" customWidth="1"/>
    <col min="8708" max="8708" width="16.28125" style="166" customWidth="1"/>
    <col min="8709" max="8709" width="3.00390625" style="166" customWidth="1"/>
    <col min="8710" max="8710" width="14.140625" style="166" customWidth="1"/>
    <col min="8711" max="8711" width="2.00390625" style="166" customWidth="1"/>
    <col min="8712" max="8712" width="15.8515625" style="166" customWidth="1"/>
    <col min="8713" max="8713" width="3.140625" style="166" customWidth="1"/>
    <col min="8714" max="8714" width="17.8515625" style="166" customWidth="1"/>
    <col min="8715" max="8715" width="2.57421875" style="166" customWidth="1"/>
    <col min="8716" max="8716" width="15.57421875" style="166" customWidth="1"/>
    <col min="8717" max="8717" width="1.8515625" style="166" customWidth="1"/>
    <col min="8718" max="8718" width="14.140625" style="166" customWidth="1"/>
    <col min="8719" max="8719" width="11.00390625" style="166" customWidth="1"/>
    <col min="8720" max="8721" width="25.00390625" style="166" customWidth="1"/>
    <col min="8722" max="8722" width="1.8515625" style="166" customWidth="1"/>
    <col min="8723" max="8723" width="17.8515625" style="166" customWidth="1"/>
    <col min="8724" max="8724" width="1.8515625" style="166" customWidth="1"/>
    <col min="8725" max="8725" width="19.00390625" style="166" customWidth="1"/>
    <col min="8726" max="8726" width="1.8515625" style="166" customWidth="1"/>
    <col min="8727" max="8727" width="16.7109375" style="166" customWidth="1"/>
    <col min="8728" max="8728" width="1.8515625" style="166" customWidth="1"/>
    <col min="8729" max="8729" width="16.7109375" style="166" customWidth="1"/>
    <col min="8730" max="8730" width="1.8515625" style="166" customWidth="1"/>
    <col min="8731" max="8731" width="16.7109375" style="166" customWidth="1"/>
    <col min="8732" max="8732" width="1.8515625" style="166" customWidth="1"/>
    <col min="8733" max="8733" width="16.7109375" style="166" customWidth="1"/>
    <col min="8734" max="8734" width="1.8515625" style="166" customWidth="1"/>
    <col min="8735" max="8735" width="17.8515625" style="166" customWidth="1"/>
    <col min="8736" max="8736" width="5.28125" style="166" customWidth="1"/>
    <col min="8737" max="8737" width="16.7109375" style="166" customWidth="1"/>
    <col min="8738" max="8738" width="5.28125" style="166" customWidth="1"/>
    <col min="8739" max="8739" width="14.421875" style="166" customWidth="1"/>
    <col min="8740" max="8740" width="1.8515625" style="166" customWidth="1"/>
    <col min="8741" max="8741" width="16.7109375" style="166" customWidth="1"/>
    <col min="8742" max="8951" width="11.00390625" style="166" customWidth="1"/>
    <col min="8952" max="8952" width="7.57421875" style="166" customWidth="1"/>
    <col min="8953" max="8953" width="15.57421875" style="166" customWidth="1"/>
    <col min="8954" max="8954" width="20.140625" style="166" customWidth="1"/>
    <col min="8955" max="8955" width="2.28125" style="166" customWidth="1"/>
    <col min="8956" max="8956" width="17.421875" style="166" customWidth="1"/>
    <col min="8957" max="8957" width="1.8515625" style="166" customWidth="1"/>
    <col min="8958" max="8958" width="18.7109375" style="166" customWidth="1"/>
    <col min="8959" max="8959" width="1.8515625" style="166" customWidth="1"/>
    <col min="8960" max="8960" width="23.00390625" style="166" customWidth="1"/>
    <col min="8961" max="8961" width="1.8515625" style="166" customWidth="1"/>
    <col min="8962" max="8962" width="17.421875" style="166" customWidth="1"/>
    <col min="8963" max="8963" width="3.00390625" style="166" customWidth="1"/>
    <col min="8964" max="8964" width="16.28125" style="166" customWidth="1"/>
    <col min="8965" max="8965" width="3.00390625" style="166" customWidth="1"/>
    <col min="8966" max="8966" width="14.140625" style="166" customWidth="1"/>
    <col min="8967" max="8967" width="2.00390625" style="166" customWidth="1"/>
    <col min="8968" max="8968" width="15.8515625" style="166" customWidth="1"/>
    <col min="8969" max="8969" width="3.140625" style="166" customWidth="1"/>
    <col min="8970" max="8970" width="17.8515625" style="166" customWidth="1"/>
    <col min="8971" max="8971" width="2.57421875" style="166" customWidth="1"/>
    <col min="8972" max="8972" width="15.57421875" style="166" customWidth="1"/>
    <col min="8973" max="8973" width="1.8515625" style="166" customWidth="1"/>
    <col min="8974" max="8974" width="14.140625" style="166" customWidth="1"/>
    <col min="8975" max="8975" width="11.00390625" style="166" customWidth="1"/>
    <col min="8976" max="8977" width="25.00390625" style="166" customWidth="1"/>
    <col min="8978" max="8978" width="1.8515625" style="166" customWidth="1"/>
    <col min="8979" max="8979" width="17.8515625" style="166" customWidth="1"/>
    <col min="8980" max="8980" width="1.8515625" style="166" customWidth="1"/>
    <col min="8981" max="8981" width="19.00390625" style="166" customWidth="1"/>
    <col min="8982" max="8982" width="1.8515625" style="166" customWidth="1"/>
    <col min="8983" max="8983" width="16.7109375" style="166" customWidth="1"/>
    <col min="8984" max="8984" width="1.8515625" style="166" customWidth="1"/>
    <col min="8985" max="8985" width="16.7109375" style="166" customWidth="1"/>
    <col min="8986" max="8986" width="1.8515625" style="166" customWidth="1"/>
    <col min="8987" max="8987" width="16.7109375" style="166" customWidth="1"/>
    <col min="8988" max="8988" width="1.8515625" style="166" customWidth="1"/>
    <col min="8989" max="8989" width="16.7109375" style="166" customWidth="1"/>
    <col min="8990" max="8990" width="1.8515625" style="166" customWidth="1"/>
    <col min="8991" max="8991" width="17.8515625" style="166" customWidth="1"/>
    <col min="8992" max="8992" width="5.28125" style="166" customWidth="1"/>
    <col min="8993" max="8993" width="16.7109375" style="166" customWidth="1"/>
    <col min="8994" max="8994" width="5.28125" style="166" customWidth="1"/>
    <col min="8995" max="8995" width="14.421875" style="166" customWidth="1"/>
    <col min="8996" max="8996" width="1.8515625" style="166" customWidth="1"/>
    <col min="8997" max="8997" width="16.7109375" style="166" customWidth="1"/>
    <col min="8998" max="9207" width="11.00390625" style="166" customWidth="1"/>
    <col min="9208" max="9208" width="7.57421875" style="166" customWidth="1"/>
    <col min="9209" max="9209" width="15.57421875" style="166" customWidth="1"/>
    <col min="9210" max="9210" width="20.140625" style="166" customWidth="1"/>
    <col min="9211" max="9211" width="2.28125" style="166" customWidth="1"/>
    <col min="9212" max="9212" width="17.421875" style="166" customWidth="1"/>
    <col min="9213" max="9213" width="1.8515625" style="166" customWidth="1"/>
    <col min="9214" max="9214" width="18.7109375" style="166" customWidth="1"/>
    <col min="9215" max="9215" width="1.8515625" style="166" customWidth="1"/>
    <col min="9216" max="9216" width="23.00390625" style="166" customWidth="1"/>
    <col min="9217" max="9217" width="1.8515625" style="166" customWidth="1"/>
    <col min="9218" max="9218" width="17.421875" style="166" customWidth="1"/>
    <col min="9219" max="9219" width="3.00390625" style="166" customWidth="1"/>
    <col min="9220" max="9220" width="16.28125" style="166" customWidth="1"/>
    <col min="9221" max="9221" width="3.00390625" style="166" customWidth="1"/>
    <col min="9222" max="9222" width="14.140625" style="166" customWidth="1"/>
    <col min="9223" max="9223" width="2.00390625" style="166" customWidth="1"/>
    <col min="9224" max="9224" width="15.8515625" style="166" customWidth="1"/>
    <col min="9225" max="9225" width="3.140625" style="166" customWidth="1"/>
    <col min="9226" max="9226" width="17.8515625" style="166" customWidth="1"/>
    <col min="9227" max="9227" width="2.57421875" style="166" customWidth="1"/>
    <col min="9228" max="9228" width="15.57421875" style="166" customWidth="1"/>
    <col min="9229" max="9229" width="1.8515625" style="166" customWidth="1"/>
    <col min="9230" max="9230" width="14.140625" style="166" customWidth="1"/>
    <col min="9231" max="9231" width="11.00390625" style="166" customWidth="1"/>
    <col min="9232" max="9233" width="25.00390625" style="166" customWidth="1"/>
    <col min="9234" max="9234" width="1.8515625" style="166" customWidth="1"/>
    <col min="9235" max="9235" width="17.8515625" style="166" customWidth="1"/>
    <col min="9236" max="9236" width="1.8515625" style="166" customWidth="1"/>
    <col min="9237" max="9237" width="19.00390625" style="166" customWidth="1"/>
    <col min="9238" max="9238" width="1.8515625" style="166" customWidth="1"/>
    <col min="9239" max="9239" width="16.7109375" style="166" customWidth="1"/>
    <col min="9240" max="9240" width="1.8515625" style="166" customWidth="1"/>
    <col min="9241" max="9241" width="16.7109375" style="166" customWidth="1"/>
    <col min="9242" max="9242" width="1.8515625" style="166" customWidth="1"/>
    <col min="9243" max="9243" width="16.7109375" style="166" customWidth="1"/>
    <col min="9244" max="9244" width="1.8515625" style="166" customWidth="1"/>
    <col min="9245" max="9245" width="16.7109375" style="166" customWidth="1"/>
    <col min="9246" max="9246" width="1.8515625" style="166" customWidth="1"/>
    <col min="9247" max="9247" width="17.8515625" style="166" customWidth="1"/>
    <col min="9248" max="9248" width="5.28125" style="166" customWidth="1"/>
    <col min="9249" max="9249" width="16.7109375" style="166" customWidth="1"/>
    <col min="9250" max="9250" width="5.28125" style="166" customWidth="1"/>
    <col min="9251" max="9251" width="14.421875" style="166" customWidth="1"/>
    <col min="9252" max="9252" width="1.8515625" style="166" customWidth="1"/>
    <col min="9253" max="9253" width="16.7109375" style="166" customWidth="1"/>
    <col min="9254" max="9463" width="11.00390625" style="166" customWidth="1"/>
    <col min="9464" max="9464" width="7.57421875" style="166" customWidth="1"/>
    <col min="9465" max="9465" width="15.57421875" style="166" customWidth="1"/>
    <col min="9466" max="9466" width="20.140625" style="166" customWidth="1"/>
    <col min="9467" max="9467" width="2.28125" style="166" customWidth="1"/>
    <col min="9468" max="9468" width="17.421875" style="166" customWidth="1"/>
    <col min="9469" max="9469" width="1.8515625" style="166" customWidth="1"/>
    <col min="9470" max="9470" width="18.7109375" style="166" customWidth="1"/>
    <col min="9471" max="9471" width="1.8515625" style="166" customWidth="1"/>
    <col min="9472" max="9472" width="23.00390625" style="166" customWidth="1"/>
    <col min="9473" max="9473" width="1.8515625" style="166" customWidth="1"/>
    <col min="9474" max="9474" width="17.421875" style="166" customWidth="1"/>
    <col min="9475" max="9475" width="3.00390625" style="166" customWidth="1"/>
    <col min="9476" max="9476" width="16.28125" style="166" customWidth="1"/>
    <col min="9477" max="9477" width="3.00390625" style="166" customWidth="1"/>
    <col min="9478" max="9478" width="14.140625" style="166" customWidth="1"/>
    <col min="9479" max="9479" width="2.00390625" style="166" customWidth="1"/>
    <col min="9480" max="9480" width="15.8515625" style="166" customWidth="1"/>
    <col min="9481" max="9481" width="3.140625" style="166" customWidth="1"/>
    <col min="9482" max="9482" width="17.8515625" style="166" customWidth="1"/>
    <col min="9483" max="9483" width="2.57421875" style="166" customWidth="1"/>
    <col min="9484" max="9484" width="15.57421875" style="166" customWidth="1"/>
    <col min="9485" max="9485" width="1.8515625" style="166" customWidth="1"/>
    <col min="9486" max="9486" width="14.140625" style="166" customWidth="1"/>
    <col min="9487" max="9487" width="11.00390625" style="166" customWidth="1"/>
    <col min="9488" max="9489" width="25.00390625" style="166" customWidth="1"/>
    <col min="9490" max="9490" width="1.8515625" style="166" customWidth="1"/>
    <col min="9491" max="9491" width="17.8515625" style="166" customWidth="1"/>
    <col min="9492" max="9492" width="1.8515625" style="166" customWidth="1"/>
    <col min="9493" max="9493" width="19.00390625" style="166" customWidth="1"/>
    <col min="9494" max="9494" width="1.8515625" style="166" customWidth="1"/>
    <col min="9495" max="9495" width="16.7109375" style="166" customWidth="1"/>
    <col min="9496" max="9496" width="1.8515625" style="166" customWidth="1"/>
    <col min="9497" max="9497" width="16.7109375" style="166" customWidth="1"/>
    <col min="9498" max="9498" width="1.8515625" style="166" customWidth="1"/>
    <col min="9499" max="9499" width="16.7109375" style="166" customWidth="1"/>
    <col min="9500" max="9500" width="1.8515625" style="166" customWidth="1"/>
    <col min="9501" max="9501" width="16.7109375" style="166" customWidth="1"/>
    <col min="9502" max="9502" width="1.8515625" style="166" customWidth="1"/>
    <col min="9503" max="9503" width="17.8515625" style="166" customWidth="1"/>
    <col min="9504" max="9504" width="5.28125" style="166" customWidth="1"/>
    <col min="9505" max="9505" width="16.7109375" style="166" customWidth="1"/>
    <col min="9506" max="9506" width="5.28125" style="166" customWidth="1"/>
    <col min="9507" max="9507" width="14.421875" style="166" customWidth="1"/>
    <col min="9508" max="9508" width="1.8515625" style="166" customWidth="1"/>
    <col min="9509" max="9509" width="16.7109375" style="166" customWidth="1"/>
    <col min="9510" max="9719" width="11.00390625" style="166" customWidth="1"/>
    <col min="9720" max="9720" width="7.57421875" style="166" customWidth="1"/>
    <col min="9721" max="9721" width="15.57421875" style="166" customWidth="1"/>
    <col min="9722" max="9722" width="20.140625" style="166" customWidth="1"/>
    <col min="9723" max="9723" width="2.28125" style="166" customWidth="1"/>
    <col min="9724" max="9724" width="17.421875" style="166" customWidth="1"/>
    <col min="9725" max="9725" width="1.8515625" style="166" customWidth="1"/>
    <col min="9726" max="9726" width="18.7109375" style="166" customWidth="1"/>
    <col min="9727" max="9727" width="1.8515625" style="166" customWidth="1"/>
    <col min="9728" max="9728" width="23.00390625" style="166" customWidth="1"/>
    <col min="9729" max="9729" width="1.8515625" style="166" customWidth="1"/>
    <col min="9730" max="9730" width="17.421875" style="166" customWidth="1"/>
    <col min="9731" max="9731" width="3.00390625" style="166" customWidth="1"/>
    <col min="9732" max="9732" width="16.28125" style="166" customWidth="1"/>
    <col min="9733" max="9733" width="3.00390625" style="166" customWidth="1"/>
    <col min="9734" max="9734" width="14.140625" style="166" customWidth="1"/>
    <col min="9735" max="9735" width="2.00390625" style="166" customWidth="1"/>
    <col min="9736" max="9736" width="15.8515625" style="166" customWidth="1"/>
    <col min="9737" max="9737" width="3.140625" style="166" customWidth="1"/>
    <col min="9738" max="9738" width="17.8515625" style="166" customWidth="1"/>
    <col min="9739" max="9739" width="2.57421875" style="166" customWidth="1"/>
    <col min="9740" max="9740" width="15.57421875" style="166" customWidth="1"/>
    <col min="9741" max="9741" width="1.8515625" style="166" customWidth="1"/>
    <col min="9742" max="9742" width="14.140625" style="166" customWidth="1"/>
    <col min="9743" max="9743" width="11.00390625" style="166" customWidth="1"/>
    <col min="9744" max="9745" width="25.00390625" style="166" customWidth="1"/>
    <col min="9746" max="9746" width="1.8515625" style="166" customWidth="1"/>
    <col min="9747" max="9747" width="17.8515625" style="166" customWidth="1"/>
    <col min="9748" max="9748" width="1.8515625" style="166" customWidth="1"/>
    <col min="9749" max="9749" width="19.00390625" style="166" customWidth="1"/>
    <col min="9750" max="9750" width="1.8515625" style="166" customWidth="1"/>
    <col min="9751" max="9751" width="16.7109375" style="166" customWidth="1"/>
    <col min="9752" max="9752" width="1.8515625" style="166" customWidth="1"/>
    <col min="9753" max="9753" width="16.7109375" style="166" customWidth="1"/>
    <col min="9754" max="9754" width="1.8515625" style="166" customWidth="1"/>
    <col min="9755" max="9755" width="16.7109375" style="166" customWidth="1"/>
    <col min="9756" max="9756" width="1.8515625" style="166" customWidth="1"/>
    <col min="9757" max="9757" width="16.7109375" style="166" customWidth="1"/>
    <col min="9758" max="9758" width="1.8515625" style="166" customWidth="1"/>
    <col min="9759" max="9759" width="17.8515625" style="166" customWidth="1"/>
    <col min="9760" max="9760" width="5.28125" style="166" customWidth="1"/>
    <col min="9761" max="9761" width="16.7109375" style="166" customWidth="1"/>
    <col min="9762" max="9762" width="5.28125" style="166" customWidth="1"/>
    <col min="9763" max="9763" width="14.421875" style="166" customWidth="1"/>
    <col min="9764" max="9764" width="1.8515625" style="166" customWidth="1"/>
    <col min="9765" max="9765" width="16.7109375" style="166" customWidth="1"/>
    <col min="9766" max="9975" width="11.00390625" style="166" customWidth="1"/>
    <col min="9976" max="9976" width="7.57421875" style="166" customWidth="1"/>
    <col min="9977" max="9977" width="15.57421875" style="166" customWidth="1"/>
    <col min="9978" max="9978" width="20.140625" style="166" customWidth="1"/>
    <col min="9979" max="9979" width="2.28125" style="166" customWidth="1"/>
    <col min="9980" max="9980" width="17.421875" style="166" customWidth="1"/>
    <col min="9981" max="9981" width="1.8515625" style="166" customWidth="1"/>
    <col min="9982" max="9982" width="18.7109375" style="166" customWidth="1"/>
    <col min="9983" max="9983" width="1.8515625" style="166" customWidth="1"/>
    <col min="9984" max="9984" width="23.00390625" style="166" customWidth="1"/>
    <col min="9985" max="9985" width="1.8515625" style="166" customWidth="1"/>
    <col min="9986" max="9986" width="17.421875" style="166" customWidth="1"/>
    <col min="9987" max="9987" width="3.00390625" style="166" customWidth="1"/>
    <col min="9988" max="9988" width="16.28125" style="166" customWidth="1"/>
    <col min="9989" max="9989" width="3.00390625" style="166" customWidth="1"/>
    <col min="9990" max="9990" width="14.140625" style="166" customWidth="1"/>
    <col min="9991" max="9991" width="2.00390625" style="166" customWidth="1"/>
    <col min="9992" max="9992" width="15.8515625" style="166" customWidth="1"/>
    <col min="9993" max="9993" width="3.140625" style="166" customWidth="1"/>
    <col min="9994" max="9994" width="17.8515625" style="166" customWidth="1"/>
    <col min="9995" max="9995" width="2.57421875" style="166" customWidth="1"/>
    <col min="9996" max="9996" width="15.57421875" style="166" customWidth="1"/>
    <col min="9997" max="9997" width="1.8515625" style="166" customWidth="1"/>
    <col min="9998" max="9998" width="14.140625" style="166" customWidth="1"/>
    <col min="9999" max="9999" width="11.00390625" style="166" customWidth="1"/>
    <col min="10000" max="10001" width="25.00390625" style="166" customWidth="1"/>
    <col min="10002" max="10002" width="1.8515625" style="166" customWidth="1"/>
    <col min="10003" max="10003" width="17.8515625" style="166" customWidth="1"/>
    <col min="10004" max="10004" width="1.8515625" style="166" customWidth="1"/>
    <col min="10005" max="10005" width="19.00390625" style="166" customWidth="1"/>
    <col min="10006" max="10006" width="1.8515625" style="166" customWidth="1"/>
    <col min="10007" max="10007" width="16.7109375" style="166" customWidth="1"/>
    <col min="10008" max="10008" width="1.8515625" style="166" customWidth="1"/>
    <col min="10009" max="10009" width="16.7109375" style="166" customWidth="1"/>
    <col min="10010" max="10010" width="1.8515625" style="166" customWidth="1"/>
    <col min="10011" max="10011" width="16.7109375" style="166" customWidth="1"/>
    <col min="10012" max="10012" width="1.8515625" style="166" customWidth="1"/>
    <col min="10013" max="10013" width="16.7109375" style="166" customWidth="1"/>
    <col min="10014" max="10014" width="1.8515625" style="166" customWidth="1"/>
    <col min="10015" max="10015" width="17.8515625" style="166" customWidth="1"/>
    <col min="10016" max="10016" width="5.28125" style="166" customWidth="1"/>
    <col min="10017" max="10017" width="16.7109375" style="166" customWidth="1"/>
    <col min="10018" max="10018" width="5.28125" style="166" customWidth="1"/>
    <col min="10019" max="10019" width="14.421875" style="166" customWidth="1"/>
    <col min="10020" max="10020" width="1.8515625" style="166" customWidth="1"/>
    <col min="10021" max="10021" width="16.7109375" style="166" customWidth="1"/>
    <col min="10022" max="10231" width="11.00390625" style="166" customWidth="1"/>
    <col min="10232" max="10232" width="7.57421875" style="166" customWidth="1"/>
    <col min="10233" max="10233" width="15.57421875" style="166" customWidth="1"/>
    <col min="10234" max="10234" width="20.140625" style="166" customWidth="1"/>
    <col min="10235" max="10235" width="2.28125" style="166" customWidth="1"/>
    <col min="10236" max="10236" width="17.421875" style="166" customWidth="1"/>
    <col min="10237" max="10237" width="1.8515625" style="166" customWidth="1"/>
    <col min="10238" max="10238" width="18.7109375" style="166" customWidth="1"/>
    <col min="10239" max="10239" width="1.8515625" style="166" customWidth="1"/>
    <col min="10240" max="10240" width="23.00390625" style="166" customWidth="1"/>
    <col min="10241" max="10241" width="1.8515625" style="166" customWidth="1"/>
    <col min="10242" max="10242" width="17.421875" style="166" customWidth="1"/>
    <col min="10243" max="10243" width="3.00390625" style="166" customWidth="1"/>
    <col min="10244" max="10244" width="16.28125" style="166" customWidth="1"/>
    <col min="10245" max="10245" width="3.00390625" style="166" customWidth="1"/>
    <col min="10246" max="10246" width="14.140625" style="166" customWidth="1"/>
    <col min="10247" max="10247" width="2.00390625" style="166" customWidth="1"/>
    <col min="10248" max="10248" width="15.8515625" style="166" customWidth="1"/>
    <col min="10249" max="10249" width="3.140625" style="166" customWidth="1"/>
    <col min="10250" max="10250" width="17.8515625" style="166" customWidth="1"/>
    <col min="10251" max="10251" width="2.57421875" style="166" customWidth="1"/>
    <col min="10252" max="10252" width="15.57421875" style="166" customWidth="1"/>
    <col min="10253" max="10253" width="1.8515625" style="166" customWidth="1"/>
    <col min="10254" max="10254" width="14.140625" style="166" customWidth="1"/>
    <col min="10255" max="10255" width="11.00390625" style="166" customWidth="1"/>
    <col min="10256" max="10257" width="25.00390625" style="166" customWidth="1"/>
    <col min="10258" max="10258" width="1.8515625" style="166" customWidth="1"/>
    <col min="10259" max="10259" width="17.8515625" style="166" customWidth="1"/>
    <col min="10260" max="10260" width="1.8515625" style="166" customWidth="1"/>
    <col min="10261" max="10261" width="19.00390625" style="166" customWidth="1"/>
    <col min="10262" max="10262" width="1.8515625" style="166" customWidth="1"/>
    <col min="10263" max="10263" width="16.7109375" style="166" customWidth="1"/>
    <col min="10264" max="10264" width="1.8515625" style="166" customWidth="1"/>
    <col min="10265" max="10265" width="16.7109375" style="166" customWidth="1"/>
    <col min="10266" max="10266" width="1.8515625" style="166" customWidth="1"/>
    <col min="10267" max="10267" width="16.7109375" style="166" customWidth="1"/>
    <col min="10268" max="10268" width="1.8515625" style="166" customWidth="1"/>
    <col min="10269" max="10269" width="16.7109375" style="166" customWidth="1"/>
    <col min="10270" max="10270" width="1.8515625" style="166" customWidth="1"/>
    <col min="10271" max="10271" width="17.8515625" style="166" customWidth="1"/>
    <col min="10272" max="10272" width="5.28125" style="166" customWidth="1"/>
    <col min="10273" max="10273" width="16.7109375" style="166" customWidth="1"/>
    <col min="10274" max="10274" width="5.28125" style="166" customWidth="1"/>
    <col min="10275" max="10275" width="14.421875" style="166" customWidth="1"/>
    <col min="10276" max="10276" width="1.8515625" style="166" customWidth="1"/>
    <col min="10277" max="10277" width="16.7109375" style="166" customWidth="1"/>
    <col min="10278" max="10487" width="11.00390625" style="166" customWidth="1"/>
    <col min="10488" max="10488" width="7.57421875" style="166" customWidth="1"/>
    <col min="10489" max="10489" width="15.57421875" style="166" customWidth="1"/>
    <col min="10490" max="10490" width="20.140625" style="166" customWidth="1"/>
    <col min="10491" max="10491" width="2.28125" style="166" customWidth="1"/>
    <col min="10492" max="10492" width="17.421875" style="166" customWidth="1"/>
    <col min="10493" max="10493" width="1.8515625" style="166" customWidth="1"/>
    <col min="10494" max="10494" width="18.7109375" style="166" customWidth="1"/>
    <col min="10495" max="10495" width="1.8515625" style="166" customWidth="1"/>
    <col min="10496" max="10496" width="23.00390625" style="166" customWidth="1"/>
    <col min="10497" max="10497" width="1.8515625" style="166" customWidth="1"/>
    <col min="10498" max="10498" width="17.421875" style="166" customWidth="1"/>
    <col min="10499" max="10499" width="3.00390625" style="166" customWidth="1"/>
    <col min="10500" max="10500" width="16.28125" style="166" customWidth="1"/>
    <col min="10501" max="10501" width="3.00390625" style="166" customWidth="1"/>
    <col min="10502" max="10502" width="14.140625" style="166" customWidth="1"/>
    <col min="10503" max="10503" width="2.00390625" style="166" customWidth="1"/>
    <col min="10504" max="10504" width="15.8515625" style="166" customWidth="1"/>
    <col min="10505" max="10505" width="3.140625" style="166" customWidth="1"/>
    <col min="10506" max="10506" width="17.8515625" style="166" customWidth="1"/>
    <col min="10507" max="10507" width="2.57421875" style="166" customWidth="1"/>
    <col min="10508" max="10508" width="15.57421875" style="166" customWidth="1"/>
    <col min="10509" max="10509" width="1.8515625" style="166" customWidth="1"/>
    <col min="10510" max="10510" width="14.140625" style="166" customWidth="1"/>
    <col min="10511" max="10511" width="11.00390625" style="166" customWidth="1"/>
    <col min="10512" max="10513" width="25.00390625" style="166" customWidth="1"/>
    <col min="10514" max="10514" width="1.8515625" style="166" customWidth="1"/>
    <col min="10515" max="10515" width="17.8515625" style="166" customWidth="1"/>
    <col min="10516" max="10516" width="1.8515625" style="166" customWidth="1"/>
    <col min="10517" max="10517" width="19.00390625" style="166" customWidth="1"/>
    <col min="10518" max="10518" width="1.8515625" style="166" customWidth="1"/>
    <col min="10519" max="10519" width="16.7109375" style="166" customWidth="1"/>
    <col min="10520" max="10520" width="1.8515625" style="166" customWidth="1"/>
    <col min="10521" max="10521" width="16.7109375" style="166" customWidth="1"/>
    <col min="10522" max="10522" width="1.8515625" style="166" customWidth="1"/>
    <col min="10523" max="10523" width="16.7109375" style="166" customWidth="1"/>
    <col min="10524" max="10524" width="1.8515625" style="166" customWidth="1"/>
    <col min="10525" max="10525" width="16.7109375" style="166" customWidth="1"/>
    <col min="10526" max="10526" width="1.8515625" style="166" customWidth="1"/>
    <col min="10527" max="10527" width="17.8515625" style="166" customWidth="1"/>
    <col min="10528" max="10528" width="5.28125" style="166" customWidth="1"/>
    <col min="10529" max="10529" width="16.7109375" style="166" customWidth="1"/>
    <col min="10530" max="10530" width="5.28125" style="166" customWidth="1"/>
    <col min="10531" max="10531" width="14.421875" style="166" customWidth="1"/>
    <col min="10532" max="10532" width="1.8515625" style="166" customWidth="1"/>
    <col min="10533" max="10533" width="16.7109375" style="166" customWidth="1"/>
    <col min="10534" max="10743" width="11.00390625" style="166" customWidth="1"/>
    <col min="10744" max="10744" width="7.57421875" style="166" customWidth="1"/>
    <col min="10745" max="10745" width="15.57421875" style="166" customWidth="1"/>
    <col min="10746" max="10746" width="20.140625" style="166" customWidth="1"/>
    <col min="10747" max="10747" width="2.28125" style="166" customWidth="1"/>
    <col min="10748" max="10748" width="17.421875" style="166" customWidth="1"/>
    <col min="10749" max="10749" width="1.8515625" style="166" customWidth="1"/>
    <col min="10750" max="10750" width="18.7109375" style="166" customWidth="1"/>
    <col min="10751" max="10751" width="1.8515625" style="166" customWidth="1"/>
    <col min="10752" max="10752" width="23.00390625" style="166" customWidth="1"/>
    <col min="10753" max="10753" width="1.8515625" style="166" customWidth="1"/>
    <col min="10754" max="10754" width="17.421875" style="166" customWidth="1"/>
    <col min="10755" max="10755" width="3.00390625" style="166" customWidth="1"/>
    <col min="10756" max="10756" width="16.28125" style="166" customWidth="1"/>
    <col min="10757" max="10757" width="3.00390625" style="166" customWidth="1"/>
    <col min="10758" max="10758" width="14.140625" style="166" customWidth="1"/>
    <col min="10759" max="10759" width="2.00390625" style="166" customWidth="1"/>
    <col min="10760" max="10760" width="15.8515625" style="166" customWidth="1"/>
    <col min="10761" max="10761" width="3.140625" style="166" customWidth="1"/>
    <col min="10762" max="10762" width="17.8515625" style="166" customWidth="1"/>
    <col min="10763" max="10763" width="2.57421875" style="166" customWidth="1"/>
    <col min="10764" max="10764" width="15.57421875" style="166" customWidth="1"/>
    <col min="10765" max="10765" width="1.8515625" style="166" customWidth="1"/>
    <col min="10766" max="10766" width="14.140625" style="166" customWidth="1"/>
    <col min="10767" max="10767" width="11.00390625" style="166" customWidth="1"/>
    <col min="10768" max="10769" width="25.00390625" style="166" customWidth="1"/>
    <col min="10770" max="10770" width="1.8515625" style="166" customWidth="1"/>
    <col min="10771" max="10771" width="17.8515625" style="166" customWidth="1"/>
    <col min="10772" max="10772" width="1.8515625" style="166" customWidth="1"/>
    <col min="10773" max="10773" width="19.00390625" style="166" customWidth="1"/>
    <col min="10774" max="10774" width="1.8515625" style="166" customWidth="1"/>
    <col min="10775" max="10775" width="16.7109375" style="166" customWidth="1"/>
    <col min="10776" max="10776" width="1.8515625" style="166" customWidth="1"/>
    <col min="10777" max="10777" width="16.7109375" style="166" customWidth="1"/>
    <col min="10778" max="10778" width="1.8515625" style="166" customWidth="1"/>
    <col min="10779" max="10779" width="16.7109375" style="166" customWidth="1"/>
    <col min="10780" max="10780" width="1.8515625" style="166" customWidth="1"/>
    <col min="10781" max="10781" width="16.7109375" style="166" customWidth="1"/>
    <col min="10782" max="10782" width="1.8515625" style="166" customWidth="1"/>
    <col min="10783" max="10783" width="17.8515625" style="166" customWidth="1"/>
    <col min="10784" max="10784" width="5.28125" style="166" customWidth="1"/>
    <col min="10785" max="10785" width="16.7109375" style="166" customWidth="1"/>
    <col min="10786" max="10786" width="5.28125" style="166" customWidth="1"/>
    <col min="10787" max="10787" width="14.421875" style="166" customWidth="1"/>
    <col min="10788" max="10788" width="1.8515625" style="166" customWidth="1"/>
    <col min="10789" max="10789" width="16.7109375" style="166" customWidth="1"/>
    <col min="10790" max="10999" width="11.00390625" style="166" customWidth="1"/>
    <col min="11000" max="11000" width="7.57421875" style="166" customWidth="1"/>
    <col min="11001" max="11001" width="15.57421875" style="166" customWidth="1"/>
    <col min="11002" max="11002" width="20.140625" style="166" customWidth="1"/>
    <col min="11003" max="11003" width="2.28125" style="166" customWidth="1"/>
    <col min="11004" max="11004" width="17.421875" style="166" customWidth="1"/>
    <col min="11005" max="11005" width="1.8515625" style="166" customWidth="1"/>
    <col min="11006" max="11006" width="18.7109375" style="166" customWidth="1"/>
    <col min="11007" max="11007" width="1.8515625" style="166" customWidth="1"/>
    <col min="11008" max="11008" width="23.00390625" style="166" customWidth="1"/>
    <col min="11009" max="11009" width="1.8515625" style="166" customWidth="1"/>
    <col min="11010" max="11010" width="17.421875" style="166" customWidth="1"/>
    <col min="11011" max="11011" width="3.00390625" style="166" customWidth="1"/>
    <col min="11012" max="11012" width="16.28125" style="166" customWidth="1"/>
    <col min="11013" max="11013" width="3.00390625" style="166" customWidth="1"/>
    <col min="11014" max="11014" width="14.140625" style="166" customWidth="1"/>
    <col min="11015" max="11015" width="2.00390625" style="166" customWidth="1"/>
    <col min="11016" max="11016" width="15.8515625" style="166" customWidth="1"/>
    <col min="11017" max="11017" width="3.140625" style="166" customWidth="1"/>
    <col min="11018" max="11018" width="17.8515625" style="166" customWidth="1"/>
    <col min="11019" max="11019" width="2.57421875" style="166" customWidth="1"/>
    <col min="11020" max="11020" width="15.57421875" style="166" customWidth="1"/>
    <col min="11021" max="11021" width="1.8515625" style="166" customWidth="1"/>
    <col min="11022" max="11022" width="14.140625" style="166" customWidth="1"/>
    <col min="11023" max="11023" width="11.00390625" style="166" customWidth="1"/>
    <col min="11024" max="11025" width="25.00390625" style="166" customWidth="1"/>
    <col min="11026" max="11026" width="1.8515625" style="166" customWidth="1"/>
    <col min="11027" max="11027" width="17.8515625" style="166" customWidth="1"/>
    <col min="11028" max="11028" width="1.8515625" style="166" customWidth="1"/>
    <col min="11029" max="11029" width="19.00390625" style="166" customWidth="1"/>
    <col min="11030" max="11030" width="1.8515625" style="166" customWidth="1"/>
    <col min="11031" max="11031" width="16.7109375" style="166" customWidth="1"/>
    <col min="11032" max="11032" width="1.8515625" style="166" customWidth="1"/>
    <col min="11033" max="11033" width="16.7109375" style="166" customWidth="1"/>
    <col min="11034" max="11034" width="1.8515625" style="166" customWidth="1"/>
    <col min="11035" max="11035" width="16.7109375" style="166" customWidth="1"/>
    <col min="11036" max="11036" width="1.8515625" style="166" customWidth="1"/>
    <col min="11037" max="11037" width="16.7109375" style="166" customWidth="1"/>
    <col min="11038" max="11038" width="1.8515625" style="166" customWidth="1"/>
    <col min="11039" max="11039" width="17.8515625" style="166" customWidth="1"/>
    <col min="11040" max="11040" width="5.28125" style="166" customWidth="1"/>
    <col min="11041" max="11041" width="16.7109375" style="166" customWidth="1"/>
    <col min="11042" max="11042" width="5.28125" style="166" customWidth="1"/>
    <col min="11043" max="11043" width="14.421875" style="166" customWidth="1"/>
    <col min="11044" max="11044" width="1.8515625" style="166" customWidth="1"/>
    <col min="11045" max="11045" width="16.7109375" style="166" customWidth="1"/>
    <col min="11046" max="11255" width="11.00390625" style="166" customWidth="1"/>
    <col min="11256" max="11256" width="7.57421875" style="166" customWidth="1"/>
    <col min="11257" max="11257" width="15.57421875" style="166" customWidth="1"/>
    <col min="11258" max="11258" width="20.140625" style="166" customWidth="1"/>
    <col min="11259" max="11259" width="2.28125" style="166" customWidth="1"/>
    <col min="11260" max="11260" width="17.421875" style="166" customWidth="1"/>
    <col min="11261" max="11261" width="1.8515625" style="166" customWidth="1"/>
    <col min="11262" max="11262" width="18.7109375" style="166" customWidth="1"/>
    <col min="11263" max="11263" width="1.8515625" style="166" customWidth="1"/>
    <col min="11264" max="11264" width="23.00390625" style="166" customWidth="1"/>
    <col min="11265" max="11265" width="1.8515625" style="166" customWidth="1"/>
    <col min="11266" max="11266" width="17.421875" style="166" customWidth="1"/>
    <col min="11267" max="11267" width="3.00390625" style="166" customWidth="1"/>
    <col min="11268" max="11268" width="16.28125" style="166" customWidth="1"/>
    <col min="11269" max="11269" width="3.00390625" style="166" customWidth="1"/>
    <col min="11270" max="11270" width="14.140625" style="166" customWidth="1"/>
    <col min="11271" max="11271" width="2.00390625" style="166" customWidth="1"/>
    <col min="11272" max="11272" width="15.8515625" style="166" customWidth="1"/>
    <col min="11273" max="11273" width="3.140625" style="166" customWidth="1"/>
    <col min="11274" max="11274" width="17.8515625" style="166" customWidth="1"/>
    <col min="11275" max="11275" width="2.57421875" style="166" customWidth="1"/>
    <col min="11276" max="11276" width="15.57421875" style="166" customWidth="1"/>
    <col min="11277" max="11277" width="1.8515625" style="166" customWidth="1"/>
    <col min="11278" max="11278" width="14.140625" style="166" customWidth="1"/>
    <col min="11279" max="11279" width="11.00390625" style="166" customWidth="1"/>
    <col min="11280" max="11281" width="25.00390625" style="166" customWidth="1"/>
    <col min="11282" max="11282" width="1.8515625" style="166" customWidth="1"/>
    <col min="11283" max="11283" width="17.8515625" style="166" customWidth="1"/>
    <col min="11284" max="11284" width="1.8515625" style="166" customWidth="1"/>
    <col min="11285" max="11285" width="19.00390625" style="166" customWidth="1"/>
    <col min="11286" max="11286" width="1.8515625" style="166" customWidth="1"/>
    <col min="11287" max="11287" width="16.7109375" style="166" customWidth="1"/>
    <col min="11288" max="11288" width="1.8515625" style="166" customWidth="1"/>
    <col min="11289" max="11289" width="16.7109375" style="166" customWidth="1"/>
    <col min="11290" max="11290" width="1.8515625" style="166" customWidth="1"/>
    <col min="11291" max="11291" width="16.7109375" style="166" customWidth="1"/>
    <col min="11292" max="11292" width="1.8515625" style="166" customWidth="1"/>
    <col min="11293" max="11293" width="16.7109375" style="166" customWidth="1"/>
    <col min="11294" max="11294" width="1.8515625" style="166" customWidth="1"/>
    <col min="11295" max="11295" width="17.8515625" style="166" customWidth="1"/>
    <col min="11296" max="11296" width="5.28125" style="166" customWidth="1"/>
    <col min="11297" max="11297" width="16.7109375" style="166" customWidth="1"/>
    <col min="11298" max="11298" width="5.28125" style="166" customWidth="1"/>
    <col min="11299" max="11299" width="14.421875" style="166" customWidth="1"/>
    <col min="11300" max="11300" width="1.8515625" style="166" customWidth="1"/>
    <col min="11301" max="11301" width="16.7109375" style="166" customWidth="1"/>
    <col min="11302" max="11511" width="11.00390625" style="166" customWidth="1"/>
    <col min="11512" max="11512" width="7.57421875" style="166" customWidth="1"/>
    <col min="11513" max="11513" width="15.57421875" style="166" customWidth="1"/>
    <col min="11514" max="11514" width="20.140625" style="166" customWidth="1"/>
    <col min="11515" max="11515" width="2.28125" style="166" customWidth="1"/>
    <col min="11516" max="11516" width="17.421875" style="166" customWidth="1"/>
    <col min="11517" max="11517" width="1.8515625" style="166" customWidth="1"/>
    <col min="11518" max="11518" width="18.7109375" style="166" customWidth="1"/>
    <col min="11519" max="11519" width="1.8515625" style="166" customWidth="1"/>
    <col min="11520" max="11520" width="23.00390625" style="166" customWidth="1"/>
    <col min="11521" max="11521" width="1.8515625" style="166" customWidth="1"/>
    <col min="11522" max="11522" width="17.421875" style="166" customWidth="1"/>
    <col min="11523" max="11523" width="3.00390625" style="166" customWidth="1"/>
    <col min="11524" max="11524" width="16.28125" style="166" customWidth="1"/>
    <col min="11525" max="11525" width="3.00390625" style="166" customWidth="1"/>
    <col min="11526" max="11526" width="14.140625" style="166" customWidth="1"/>
    <col min="11527" max="11527" width="2.00390625" style="166" customWidth="1"/>
    <col min="11528" max="11528" width="15.8515625" style="166" customWidth="1"/>
    <col min="11529" max="11529" width="3.140625" style="166" customWidth="1"/>
    <col min="11530" max="11530" width="17.8515625" style="166" customWidth="1"/>
    <col min="11531" max="11531" width="2.57421875" style="166" customWidth="1"/>
    <col min="11532" max="11532" width="15.57421875" style="166" customWidth="1"/>
    <col min="11533" max="11533" width="1.8515625" style="166" customWidth="1"/>
    <col min="11534" max="11534" width="14.140625" style="166" customWidth="1"/>
    <col min="11535" max="11535" width="11.00390625" style="166" customWidth="1"/>
    <col min="11536" max="11537" width="25.00390625" style="166" customWidth="1"/>
    <col min="11538" max="11538" width="1.8515625" style="166" customWidth="1"/>
    <col min="11539" max="11539" width="17.8515625" style="166" customWidth="1"/>
    <col min="11540" max="11540" width="1.8515625" style="166" customWidth="1"/>
    <col min="11541" max="11541" width="19.00390625" style="166" customWidth="1"/>
    <col min="11542" max="11542" width="1.8515625" style="166" customWidth="1"/>
    <col min="11543" max="11543" width="16.7109375" style="166" customWidth="1"/>
    <col min="11544" max="11544" width="1.8515625" style="166" customWidth="1"/>
    <col min="11545" max="11545" width="16.7109375" style="166" customWidth="1"/>
    <col min="11546" max="11546" width="1.8515625" style="166" customWidth="1"/>
    <col min="11547" max="11547" width="16.7109375" style="166" customWidth="1"/>
    <col min="11548" max="11548" width="1.8515625" style="166" customWidth="1"/>
    <col min="11549" max="11549" width="16.7109375" style="166" customWidth="1"/>
    <col min="11550" max="11550" width="1.8515625" style="166" customWidth="1"/>
    <col min="11551" max="11551" width="17.8515625" style="166" customWidth="1"/>
    <col min="11552" max="11552" width="5.28125" style="166" customWidth="1"/>
    <col min="11553" max="11553" width="16.7109375" style="166" customWidth="1"/>
    <col min="11554" max="11554" width="5.28125" style="166" customWidth="1"/>
    <col min="11555" max="11555" width="14.421875" style="166" customWidth="1"/>
    <col min="11556" max="11556" width="1.8515625" style="166" customWidth="1"/>
    <col min="11557" max="11557" width="16.7109375" style="166" customWidth="1"/>
    <col min="11558" max="11767" width="11.00390625" style="166" customWidth="1"/>
    <col min="11768" max="11768" width="7.57421875" style="166" customWidth="1"/>
    <col min="11769" max="11769" width="15.57421875" style="166" customWidth="1"/>
    <col min="11770" max="11770" width="20.140625" style="166" customWidth="1"/>
    <col min="11771" max="11771" width="2.28125" style="166" customWidth="1"/>
    <col min="11772" max="11772" width="17.421875" style="166" customWidth="1"/>
    <col min="11773" max="11773" width="1.8515625" style="166" customWidth="1"/>
    <col min="11774" max="11774" width="18.7109375" style="166" customWidth="1"/>
    <col min="11775" max="11775" width="1.8515625" style="166" customWidth="1"/>
    <col min="11776" max="11776" width="23.00390625" style="166" customWidth="1"/>
    <col min="11777" max="11777" width="1.8515625" style="166" customWidth="1"/>
    <col min="11778" max="11778" width="17.421875" style="166" customWidth="1"/>
    <col min="11779" max="11779" width="3.00390625" style="166" customWidth="1"/>
    <col min="11780" max="11780" width="16.28125" style="166" customWidth="1"/>
    <col min="11781" max="11781" width="3.00390625" style="166" customWidth="1"/>
    <col min="11782" max="11782" width="14.140625" style="166" customWidth="1"/>
    <col min="11783" max="11783" width="2.00390625" style="166" customWidth="1"/>
    <col min="11784" max="11784" width="15.8515625" style="166" customWidth="1"/>
    <col min="11785" max="11785" width="3.140625" style="166" customWidth="1"/>
    <col min="11786" max="11786" width="17.8515625" style="166" customWidth="1"/>
    <col min="11787" max="11787" width="2.57421875" style="166" customWidth="1"/>
    <col min="11788" max="11788" width="15.57421875" style="166" customWidth="1"/>
    <col min="11789" max="11789" width="1.8515625" style="166" customWidth="1"/>
    <col min="11790" max="11790" width="14.140625" style="166" customWidth="1"/>
    <col min="11791" max="11791" width="11.00390625" style="166" customWidth="1"/>
    <col min="11792" max="11793" width="25.00390625" style="166" customWidth="1"/>
    <col min="11794" max="11794" width="1.8515625" style="166" customWidth="1"/>
    <col min="11795" max="11795" width="17.8515625" style="166" customWidth="1"/>
    <col min="11796" max="11796" width="1.8515625" style="166" customWidth="1"/>
    <col min="11797" max="11797" width="19.00390625" style="166" customWidth="1"/>
    <col min="11798" max="11798" width="1.8515625" style="166" customWidth="1"/>
    <col min="11799" max="11799" width="16.7109375" style="166" customWidth="1"/>
    <col min="11800" max="11800" width="1.8515625" style="166" customWidth="1"/>
    <col min="11801" max="11801" width="16.7109375" style="166" customWidth="1"/>
    <col min="11802" max="11802" width="1.8515625" style="166" customWidth="1"/>
    <col min="11803" max="11803" width="16.7109375" style="166" customWidth="1"/>
    <col min="11804" max="11804" width="1.8515625" style="166" customWidth="1"/>
    <col min="11805" max="11805" width="16.7109375" style="166" customWidth="1"/>
    <col min="11806" max="11806" width="1.8515625" style="166" customWidth="1"/>
    <col min="11807" max="11807" width="17.8515625" style="166" customWidth="1"/>
    <col min="11808" max="11808" width="5.28125" style="166" customWidth="1"/>
    <col min="11809" max="11809" width="16.7109375" style="166" customWidth="1"/>
    <col min="11810" max="11810" width="5.28125" style="166" customWidth="1"/>
    <col min="11811" max="11811" width="14.421875" style="166" customWidth="1"/>
    <col min="11812" max="11812" width="1.8515625" style="166" customWidth="1"/>
    <col min="11813" max="11813" width="16.7109375" style="166" customWidth="1"/>
    <col min="11814" max="12023" width="11.00390625" style="166" customWidth="1"/>
    <col min="12024" max="12024" width="7.57421875" style="166" customWidth="1"/>
    <col min="12025" max="12025" width="15.57421875" style="166" customWidth="1"/>
    <col min="12026" max="12026" width="20.140625" style="166" customWidth="1"/>
    <col min="12027" max="12027" width="2.28125" style="166" customWidth="1"/>
    <col min="12028" max="12028" width="17.421875" style="166" customWidth="1"/>
    <col min="12029" max="12029" width="1.8515625" style="166" customWidth="1"/>
    <col min="12030" max="12030" width="18.7109375" style="166" customWidth="1"/>
    <col min="12031" max="12031" width="1.8515625" style="166" customWidth="1"/>
    <col min="12032" max="12032" width="23.00390625" style="166" customWidth="1"/>
    <col min="12033" max="12033" width="1.8515625" style="166" customWidth="1"/>
    <col min="12034" max="12034" width="17.421875" style="166" customWidth="1"/>
    <col min="12035" max="12035" width="3.00390625" style="166" customWidth="1"/>
    <col min="12036" max="12036" width="16.28125" style="166" customWidth="1"/>
    <col min="12037" max="12037" width="3.00390625" style="166" customWidth="1"/>
    <col min="12038" max="12038" width="14.140625" style="166" customWidth="1"/>
    <col min="12039" max="12039" width="2.00390625" style="166" customWidth="1"/>
    <col min="12040" max="12040" width="15.8515625" style="166" customWidth="1"/>
    <col min="12041" max="12041" width="3.140625" style="166" customWidth="1"/>
    <col min="12042" max="12042" width="17.8515625" style="166" customWidth="1"/>
    <col min="12043" max="12043" width="2.57421875" style="166" customWidth="1"/>
    <col min="12044" max="12044" width="15.57421875" style="166" customWidth="1"/>
    <col min="12045" max="12045" width="1.8515625" style="166" customWidth="1"/>
    <col min="12046" max="12046" width="14.140625" style="166" customWidth="1"/>
    <col min="12047" max="12047" width="11.00390625" style="166" customWidth="1"/>
    <col min="12048" max="12049" width="25.00390625" style="166" customWidth="1"/>
    <col min="12050" max="12050" width="1.8515625" style="166" customWidth="1"/>
    <col min="12051" max="12051" width="17.8515625" style="166" customWidth="1"/>
    <col min="12052" max="12052" width="1.8515625" style="166" customWidth="1"/>
    <col min="12053" max="12053" width="19.00390625" style="166" customWidth="1"/>
    <col min="12054" max="12054" width="1.8515625" style="166" customWidth="1"/>
    <col min="12055" max="12055" width="16.7109375" style="166" customWidth="1"/>
    <col min="12056" max="12056" width="1.8515625" style="166" customWidth="1"/>
    <col min="12057" max="12057" width="16.7109375" style="166" customWidth="1"/>
    <col min="12058" max="12058" width="1.8515625" style="166" customWidth="1"/>
    <col min="12059" max="12059" width="16.7109375" style="166" customWidth="1"/>
    <col min="12060" max="12060" width="1.8515625" style="166" customWidth="1"/>
    <col min="12061" max="12061" width="16.7109375" style="166" customWidth="1"/>
    <col min="12062" max="12062" width="1.8515625" style="166" customWidth="1"/>
    <col min="12063" max="12063" width="17.8515625" style="166" customWidth="1"/>
    <col min="12064" max="12064" width="5.28125" style="166" customWidth="1"/>
    <col min="12065" max="12065" width="16.7109375" style="166" customWidth="1"/>
    <col min="12066" max="12066" width="5.28125" style="166" customWidth="1"/>
    <col min="12067" max="12067" width="14.421875" style="166" customWidth="1"/>
    <col min="12068" max="12068" width="1.8515625" style="166" customWidth="1"/>
    <col min="12069" max="12069" width="16.7109375" style="166" customWidth="1"/>
    <col min="12070" max="12279" width="11.00390625" style="166" customWidth="1"/>
    <col min="12280" max="12280" width="7.57421875" style="166" customWidth="1"/>
    <col min="12281" max="12281" width="15.57421875" style="166" customWidth="1"/>
    <col min="12282" max="12282" width="20.140625" style="166" customWidth="1"/>
    <col min="12283" max="12283" width="2.28125" style="166" customWidth="1"/>
    <col min="12284" max="12284" width="17.421875" style="166" customWidth="1"/>
    <col min="12285" max="12285" width="1.8515625" style="166" customWidth="1"/>
    <col min="12286" max="12286" width="18.7109375" style="166" customWidth="1"/>
    <col min="12287" max="12287" width="1.8515625" style="166" customWidth="1"/>
    <col min="12288" max="12288" width="23.00390625" style="166" customWidth="1"/>
    <col min="12289" max="12289" width="1.8515625" style="166" customWidth="1"/>
    <col min="12290" max="12290" width="17.421875" style="166" customWidth="1"/>
    <col min="12291" max="12291" width="3.00390625" style="166" customWidth="1"/>
    <col min="12292" max="12292" width="16.28125" style="166" customWidth="1"/>
    <col min="12293" max="12293" width="3.00390625" style="166" customWidth="1"/>
    <col min="12294" max="12294" width="14.140625" style="166" customWidth="1"/>
    <col min="12295" max="12295" width="2.00390625" style="166" customWidth="1"/>
    <col min="12296" max="12296" width="15.8515625" style="166" customWidth="1"/>
    <col min="12297" max="12297" width="3.140625" style="166" customWidth="1"/>
    <col min="12298" max="12298" width="17.8515625" style="166" customWidth="1"/>
    <col min="12299" max="12299" width="2.57421875" style="166" customWidth="1"/>
    <col min="12300" max="12300" width="15.57421875" style="166" customWidth="1"/>
    <col min="12301" max="12301" width="1.8515625" style="166" customWidth="1"/>
    <col min="12302" max="12302" width="14.140625" style="166" customWidth="1"/>
    <col min="12303" max="12303" width="11.00390625" style="166" customWidth="1"/>
    <col min="12304" max="12305" width="25.00390625" style="166" customWidth="1"/>
    <col min="12306" max="12306" width="1.8515625" style="166" customWidth="1"/>
    <col min="12307" max="12307" width="17.8515625" style="166" customWidth="1"/>
    <col min="12308" max="12308" width="1.8515625" style="166" customWidth="1"/>
    <col min="12309" max="12309" width="19.00390625" style="166" customWidth="1"/>
    <col min="12310" max="12310" width="1.8515625" style="166" customWidth="1"/>
    <col min="12311" max="12311" width="16.7109375" style="166" customWidth="1"/>
    <col min="12312" max="12312" width="1.8515625" style="166" customWidth="1"/>
    <col min="12313" max="12313" width="16.7109375" style="166" customWidth="1"/>
    <col min="12314" max="12314" width="1.8515625" style="166" customWidth="1"/>
    <col min="12315" max="12315" width="16.7109375" style="166" customWidth="1"/>
    <col min="12316" max="12316" width="1.8515625" style="166" customWidth="1"/>
    <col min="12317" max="12317" width="16.7109375" style="166" customWidth="1"/>
    <col min="12318" max="12318" width="1.8515625" style="166" customWidth="1"/>
    <col min="12319" max="12319" width="17.8515625" style="166" customWidth="1"/>
    <col min="12320" max="12320" width="5.28125" style="166" customWidth="1"/>
    <col min="12321" max="12321" width="16.7109375" style="166" customWidth="1"/>
    <col min="12322" max="12322" width="5.28125" style="166" customWidth="1"/>
    <col min="12323" max="12323" width="14.421875" style="166" customWidth="1"/>
    <col min="12324" max="12324" width="1.8515625" style="166" customWidth="1"/>
    <col min="12325" max="12325" width="16.7109375" style="166" customWidth="1"/>
    <col min="12326" max="12535" width="11.00390625" style="166" customWidth="1"/>
    <col min="12536" max="12536" width="7.57421875" style="166" customWidth="1"/>
    <col min="12537" max="12537" width="15.57421875" style="166" customWidth="1"/>
    <col min="12538" max="12538" width="20.140625" style="166" customWidth="1"/>
    <col min="12539" max="12539" width="2.28125" style="166" customWidth="1"/>
    <col min="12540" max="12540" width="17.421875" style="166" customWidth="1"/>
    <col min="12541" max="12541" width="1.8515625" style="166" customWidth="1"/>
    <col min="12542" max="12542" width="18.7109375" style="166" customWidth="1"/>
    <col min="12543" max="12543" width="1.8515625" style="166" customWidth="1"/>
    <col min="12544" max="12544" width="23.00390625" style="166" customWidth="1"/>
    <col min="12545" max="12545" width="1.8515625" style="166" customWidth="1"/>
    <col min="12546" max="12546" width="17.421875" style="166" customWidth="1"/>
    <col min="12547" max="12547" width="3.00390625" style="166" customWidth="1"/>
    <col min="12548" max="12548" width="16.28125" style="166" customWidth="1"/>
    <col min="12549" max="12549" width="3.00390625" style="166" customWidth="1"/>
    <col min="12550" max="12550" width="14.140625" style="166" customWidth="1"/>
    <col min="12551" max="12551" width="2.00390625" style="166" customWidth="1"/>
    <col min="12552" max="12552" width="15.8515625" style="166" customWidth="1"/>
    <col min="12553" max="12553" width="3.140625" style="166" customWidth="1"/>
    <col min="12554" max="12554" width="17.8515625" style="166" customWidth="1"/>
    <col min="12555" max="12555" width="2.57421875" style="166" customWidth="1"/>
    <col min="12556" max="12556" width="15.57421875" style="166" customWidth="1"/>
    <col min="12557" max="12557" width="1.8515625" style="166" customWidth="1"/>
    <col min="12558" max="12558" width="14.140625" style="166" customWidth="1"/>
    <col min="12559" max="12559" width="11.00390625" style="166" customWidth="1"/>
    <col min="12560" max="12561" width="25.00390625" style="166" customWidth="1"/>
    <col min="12562" max="12562" width="1.8515625" style="166" customWidth="1"/>
    <col min="12563" max="12563" width="17.8515625" style="166" customWidth="1"/>
    <col min="12564" max="12564" width="1.8515625" style="166" customWidth="1"/>
    <col min="12565" max="12565" width="19.00390625" style="166" customWidth="1"/>
    <col min="12566" max="12566" width="1.8515625" style="166" customWidth="1"/>
    <col min="12567" max="12567" width="16.7109375" style="166" customWidth="1"/>
    <col min="12568" max="12568" width="1.8515625" style="166" customWidth="1"/>
    <col min="12569" max="12569" width="16.7109375" style="166" customWidth="1"/>
    <col min="12570" max="12570" width="1.8515625" style="166" customWidth="1"/>
    <col min="12571" max="12571" width="16.7109375" style="166" customWidth="1"/>
    <col min="12572" max="12572" width="1.8515625" style="166" customWidth="1"/>
    <col min="12573" max="12573" width="16.7109375" style="166" customWidth="1"/>
    <col min="12574" max="12574" width="1.8515625" style="166" customWidth="1"/>
    <col min="12575" max="12575" width="17.8515625" style="166" customWidth="1"/>
    <col min="12576" max="12576" width="5.28125" style="166" customWidth="1"/>
    <col min="12577" max="12577" width="16.7109375" style="166" customWidth="1"/>
    <col min="12578" max="12578" width="5.28125" style="166" customWidth="1"/>
    <col min="12579" max="12579" width="14.421875" style="166" customWidth="1"/>
    <col min="12580" max="12580" width="1.8515625" style="166" customWidth="1"/>
    <col min="12581" max="12581" width="16.7109375" style="166" customWidth="1"/>
    <col min="12582" max="12791" width="11.00390625" style="166" customWidth="1"/>
    <col min="12792" max="12792" width="7.57421875" style="166" customWidth="1"/>
    <col min="12793" max="12793" width="15.57421875" style="166" customWidth="1"/>
    <col min="12794" max="12794" width="20.140625" style="166" customWidth="1"/>
    <col min="12795" max="12795" width="2.28125" style="166" customWidth="1"/>
    <col min="12796" max="12796" width="17.421875" style="166" customWidth="1"/>
    <col min="12797" max="12797" width="1.8515625" style="166" customWidth="1"/>
    <col min="12798" max="12798" width="18.7109375" style="166" customWidth="1"/>
    <col min="12799" max="12799" width="1.8515625" style="166" customWidth="1"/>
    <col min="12800" max="12800" width="23.00390625" style="166" customWidth="1"/>
    <col min="12801" max="12801" width="1.8515625" style="166" customWidth="1"/>
    <col min="12802" max="12802" width="17.421875" style="166" customWidth="1"/>
    <col min="12803" max="12803" width="3.00390625" style="166" customWidth="1"/>
    <col min="12804" max="12804" width="16.28125" style="166" customWidth="1"/>
    <col min="12805" max="12805" width="3.00390625" style="166" customWidth="1"/>
    <col min="12806" max="12806" width="14.140625" style="166" customWidth="1"/>
    <col min="12807" max="12807" width="2.00390625" style="166" customWidth="1"/>
    <col min="12808" max="12808" width="15.8515625" style="166" customWidth="1"/>
    <col min="12809" max="12809" width="3.140625" style="166" customWidth="1"/>
    <col min="12810" max="12810" width="17.8515625" style="166" customWidth="1"/>
    <col min="12811" max="12811" width="2.57421875" style="166" customWidth="1"/>
    <col min="12812" max="12812" width="15.57421875" style="166" customWidth="1"/>
    <col min="12813" max="12813" width="1.8515625" style="166" customWidth="1"/>
    <col min="12814" max="12814" width="14.140625" style="166" customWidth="1"/>
    <col min="12815" max="12815" width="11.00390625" style="166" customWidth="1"/>
    <col min="12816" max="12817" width="25.00390625" style="166" customWidth="1"/>
    <col min="12818" max="12818" width="1.8515625" style="166" customWidth="1"/>
    <col min="12819" max="12819" width="17.8515625" style="166" customWidth="1"/>
    <col min="12820" max="12820" width="1.8515625" style="166" customWidth="1"/>
    <col min="12821" max="12821" width="19.00390625" style="166" customWidth="1"/>
    <col min="12822" max="12822" width="1.8515625" style="166" customWidth="1"/>
    <col min="12823" max="12823" width="16.7109375" style="166" customWidth="1"/>
    <col min="12824" max="12824" width="1.8515625" style="166" customWidth="1"/>
    <col min="12825" max="12825" width="16.7109375" style="166" customWidth="1"/>
    <col min="12826" max="12826" width="1.8515625" style="166" customWidth="1"/>
    <col min="12827" max="12827" width="16.7109375" style="166" customWidth="1"/>
    <col min="12828" max="12828" width="1.8515625" style="166" customWidth="1"/>
    <col min="12829" max="12829" width="16.7109375" style="166" customWidth="1"/>
    <col min="12830" max="12830" width="1.8515625" style="166" customWidth="1"/>
    <col min="12831" max="12831" width="17.8515625" style="166" customWidth="1"/>
    <col min="12832" max="12832" width="5.28125" style="166" customWidth="1"/>
    <col min="12833" max="12833" width="16.7109375" style="166" customWidth="1"/>
    <col min="12834" max="12834" width="5.28125" style="166" customWidth="1"/>
    <col min="12835" max="12835" width="14.421875" style="166" customWidth="1"/>
    <col min="12836" max="12836" width="1.8515625" style="166" customWidth="1"/>
    <col min="12837" max="12837" width="16.7109375" style="166" customWidth="1"/>
    <col min="12838" max="13047" width="11.00390625" style="166" customWidth="1"/>
    <col min="13048" max="13048" width="7.57421875" style="166" customWidth="1"/>
    <col min="13049" max="13049" width="15.57421875" style="166" customWidth="1"/>
    <col min="13050" max="13050" width="20.140625" style="166" customWidth="1"/>
    <col min="13051" max="13051" width="2.28125" style="166" customWidth="1"/>
    <col min="13052" max="13052" width="17.421875" style="166" customWidth="1"/>
    <col min="13053" max="13053" width="1.8515625" style="166" customWidth="1"/>
    <col min="13054" max="13054" width="18.7109375" style="166" customWidth="1"/>
    <col min="13055" max="13055" width="1.8515625" style="166" customWidth="1"/>
    <col min="13056" max="13056" width="23.00390625" style="166" customWidth="1"/>
    <col min="13057" max="13057" width="1.8515625" style="166" customWidth="1"/>
    <col min="13058" max="13058" width="17.421875" style="166" customWidth="1"/>
    <col min="13059" max="13059" width="3.00390625" style="166" customWidth="1"/>
    <col min="13060" max="13060" width="16.28125" style="166" customWidth="1"/>
    <col min="13061" max="13061" width="3.00390625" style="166" customWidth="1"/>
    <col min="13062" max="13062" width="14.140625" style="166" customWidth="1"/>
    <col min="13063" max="13063" width="2.00390625" style="166" customWidth="1"/>
    <col min="13064" max="13064" width="15.8515625" style="166" customWidth="1"/>
    <col min="13065" max="13065" width="3.140625" style="166" customWidth="1"/>
    <col min="13066" max="13066" width="17.8515625" style="166" customWidth="1"/>
    <col min="13067" max="13067" width="2.57421875" style="166" customWidth="1"/>
    <col min="13068" max="13068" width="15.57421875" style="166" customWidth="1"/>
    <col min="13069" max="13069" width="1.8515625" style="166" customWidth="1"/>
    <col min="13070" max="13070" width="14.140625" style="166" customWidth="1"/>
    <col min="13071" max="13071" width="11.00390625" style="166" customWidth="1"/>
    <col min="13072" max="13073" width="25.00390625" style="166" customWidth="1"/>
    <col min="13074" max="13074" width="1.8515625" style="166" customWidth="1"/>
    <col min="13075" max="13075" width="17.8515625" style="166" customWidth="1"/>
    <col min="13076" max="13076" width="1.8515625" style="166" customWidth="1"/>
    <col min="13077" max="13077" width="19.00390625" style="166" customWidth="1"/>
    <col min="13078" max="13078" width="1.8515625" style="166" customWidth="1"/>
    <col min="13079" max="13079" width="16.7109375" style="166" customWidth="1"/>
    <col min="13080" max="13080" width="1.8515625" style="166" customWidth="1"/>
    <col min="13081" max="13081" width="16.7109375" style="166" customWidth="1"/>
    <col min="13082" max="13082" width="1.8515625" style="166" customWidth="1"/>
    <col min="13083" max="13083" width="16.7109375" style="166" customWidth="1"/>
    <col min="13084" max="13084" width="1.8515625" style="166" customWidth="1"/>
    <col min="13085" max="13085" width="16.7109375" style="166" customWidth="1"/>
    <col min="13086" max="13086" width="1.8515625" style="166" customWidth="1"/>
    <col min="13087" max="13087" width="17.8515625" style="166" customWidth="1"/>
    <col min="13088" max="13088" width="5.28125" style="166" customWidth="1"/>
    <col min="13089" max="13089" width="16.7109375" style="166" customWidth="1"/>
    <col min="13090" max="13090" width="5.28125" style="166" customWidth="1"/>
    <col min="13091" max="13091" width="14.421875" style="166" customWidth="1"/>
    <col min="13092" max="13092" width="1.8515625" style="166" customWidth="1"/>
    <col min="13093" max="13093" width="16.7109375" style="166" customWidth="1"/>
    <col min="13094" max="13303" width="11.00390625" style="166" customWidth="1"/>
    <col min="13304" max="13304" width="7.57421875" style="166" customWidth="1"/>
    <col min="13305" max="13305" width="15.57421875" style="166" customWidth="1"/>
    <col min="13306" max="13306" width="20.140625" style="166" customWidth="1"/>
    <col min="13307" max="13307" width="2.28125" style="166" customWidth="1"/>
    <col min="13308" max="13308" width="17.421875" style="166" customWidth="1"/>
    <col min="13309" max="13309" width="1.8515625" style="166" customWidth="1"/>
    <col min="13310" max="13310" width="18.7109375" style="166" customWidth="1"/>
    <col min="13311" max="13311" width="1.8515625" style="166" customWidth="1"/>
    <col min="13312" max="13312" width="23.00390625" style="166" customWidth="1"/>
    <col min="13313" max="13313" width="1.8515625" style="166" customWidth="1"/>
    <col min="13314" max="13314" width="17.421875" style="166" customWidth="1"/>
    <col min="13315" max="13315" width="3.00390625" style="166" customWidth="1"/>
    <col min="13316" max="13316" width="16.28125" style="166" customWidth="1"/>
    <col min="13317" max="13317" width="3.00390625" style="166" customWidth="1"/>
    <col min="13318" max="13318" width="14.140625" style="166" customWidth="1"/>
    <col min="13319" max="13319" width="2.00390625" style="166" customWidth="1"/>
    <col min="13320" max="13320" width="15.8515625" style="166" customWidth="1"/>
    <col min="13321" max="13321" width="3.140625" style="166" customWidth="1"/>
    <col min="13322" max="13322" width="17.8515625" style="166" customWidth="1"/>
    <col min="13323" max="13323" width="2.57421875" style="166" customWidth="1"/>
    <col min="13324" max="13324" width="15.57421875" style="166" customWidth="1"/>
    <col min="13325" max="13325" width="1.8515625" style="166" customWidth="1"/>
    <col min="13326" max="13326" width="14.140625" style="166" customWidth="1"/>
    <col min="13327" max="13327" width="11.00390625" style="166" customWidth="1"/>
    <col min="13328" max="13329" width="25.00390625" style="166" customWidth="1"/>
    <col min="13330" max="13330" width="1.8515625" style="166" customWidth="1"/>
    <col min="13331" max="13331" width="17.8515625" style="166" customWidth="1"/>
    <col min="13332" max="13332" width="1.8515625" style="166" customWidth="1"/>
    <col min="13333" max="13333" width="19.00390625" style="166" customWidth="1"/>
    <col min="13334" max="13334" width="1.8515625" style="166" customWidth="1"/>
    <col min="13335" max="13335" width="16.7109375" style="166" customWidth="1"/>
    <col min="13336" max="13336" width="1.8515625" style="166" customWidth="1"/>
    <col min="13337" max="13337" width="16.7109375" style="166" customWidth="1"/>
    <col min="13338" max="13338" width="1.8515625" style="166" customWidth="1"/>
    <col min="13339" max="13339" width="16.7109375" style="166" customWidth="1"/>
    <col min="13340" max="13340" width="1.8515625" style="166" customWidth="1"/>
    <col min="13341" max="13341" width="16.7109375" style="166" customWidth="1"/>
    <col min="13342" max="13342" width="1.8515625" style="166" customWidth="1"/>
    <col min="13343" max="13343" width="17.8515625" style="166" customWidth="1"/>
    <col min="13344" max="13344" width="5.28125" style="166" customWidth="1"/>
    <col min="13345" max="13345" width="16.7109375" style="166" customWidth="1"/>
    <col min="13346" max="13346" width="5.28125" style="166" customWidth="1"/>
    <col min="13347" max="13347" width="14.421875" style="166" customWidth="1"/>
    <col min="13348" max="13348" width="1.8515625" style="166" customWidth="1"/>
    <col min="13349" max="13349" width="16.7109375" style="166" customWidth="1"/>
    <col min="13350" max="13559" width="11.00390625" style="166" customWidth="1"/>
    <col min="13560" max="13560" width="7.57421875" style="166" customWidth="1"/>
    <col min="13561" max="13561" width="15.57421875" style="166" customWidth="1"/>
    <col min="13562" max="13562" width="20.140625" style="166" customWidth="1"/>
    <col min="13563" max="13563" width="2.28125" style="166" customWidth="1"/>
    <col min="13564" max="13564" width="17.421875" style="166" customWidth="1"/>
    <col min="13565" max="13565" width="1.8515625" style="166" customWidth="1"/>
    <col min="13566" max="13566" width="18.7109375" style="166" customWidth="1"/>
    <col min="13567" max="13567" width="1.8515625" style="166" customWidth="1"/>
    <col min="13568" max="13568" width="23.00390625" style="166" customWidth="1"/>
    <col min="13569" max="13569" width="1.8515625" style="166" customWidth="1"/>
    <col min="13570" max="13570" width="17.421875" style="166" customWidth="1"/>
    <col min="13571" max="13571" width="3.00390625" style="166" customWidth="1"/>
    <col min="13572" max="13572" width="16.28125" style="166" customWidth="1"/>
    <col min="13573" max="13573" width="3.00390625" style="166" customWidth="1"/>
    <col min="13574" max="13574" width="14.140625" style="166" customWidth="1"/>
    <col min="13575" max="13575" width="2.00390625" style="166" customWidth="1"/>
    <col min="13576" max="13576" width="15.8515625" style="166" customWidth="1"/>
    <col min="13577" max="13577" width="3.140625" style="166" customWidth="1"/>
    <col min="13578" max="13578" width="17.8515625" style="166" customWidth="1"/>
    <col min="13579" max="13579" width="2.57421875" style="166" customWidth="1"/>
    <col min="13580" max="13580" width="15.57421875" style="166" customWidth="1"/>
    <col min="13581" max="13581" width="1.8515625" style="166" customWidth="1"/>
    <col min="13582" max="13582" width="14.140625" style="166" customWidth="1"/>
    <col min="13583" max="13583" width="11.00390625" style="166" customWidth="1"/>
    <col min="13584" max="13585" width="25.00390625" style="166" customWidth="1"/>
    <col min="13586" max="13586" width="1.8515625" style="166" customWidth="1"/>
    <col min="13587" max="13587" width="17.8515625" style="166" customWidth="1"/>
    <col min="13588" max="13588" width="1.8515625" style="166" customWidth="1"/>
    <col min="13589" max="13589" width="19.00390625" style="166" customWidth="1"/>
    <col min="13590" max="13590" width="1.8515625" style="166" customWidth="1"/>
    <col min="13591" max="13591" width="16.7109375" style="166" customWidth="1"/>
    <col min="13592" max="13592" width="1.8515625" style="166" customWidth="1"/>
    <col min="13593" max="13593" width="16.7109375" style="166" customWidth="1"/>
    <col min="13594" max="13594" width="1.8515625" style="166" customWidth="1"/>
    <col min="13595" max="13595" width="16.7109375" style="166" customWidth="1"/>
    <col min="13596" max="13596" width="1.8515625" style="166" customWidth="1"/>
    <col min="13597" max="13597" width="16.7109375" style="166" customWidth="1"/>
    <col min="13598" max="13598" width="1.8515625" style="166" customWidth="1"/>
    <col min="13599" max="13599" width="17.8515625" style="166" customWidth="1"/>
    <col min="13600" max="13600" width="5.28125" style="166" customWidth="1"/>
    <col min="13601" max="13601" width="16.7109375" style="166" customWidth="1"/>
    <col min="13602" max="13602" width="5.28125" style="166" customWidth="1"/>
    <col min="13603" max="13603" width="14.421875" style="166" customWidth="1"/>
    <col min="13604" max="13604" width="1.8515625" style="166" customWidth="1"/>
    <col min="13605" max="13605" width="16.7109375" style="166" customWidth="1"/>
    <col min="13606" max="13815" width="11.00390625" style="166" customWidth="1"/>
    <col min="13816" max="13816" width="7.57421875" style="166" customWidth="1"/>
    <col min="13817" max="13817" width="15.57421875" style="166" customWidth="1"/>
    <col min="13818" max="13818" width="20.140625" style="166" customWidth="1"/>
    <col min="13819" max="13819" width="2.28125" style="166" customWidth="1"/>
    <col min="13820" max="13820" width="17.421875" style="166" customWidth="1"/>
    <col min="13821" max="13821" width="1.8515625" style="166" customWidth="1"/>
    <col min="13822" max="13822" width="18.7109375" style="166" customWidth="1"/>
    <col min="13823" max="13823" width="1.8515625" style="166" customWidth="1"/>
    <col min="13824" max="13824" width="23.00390625" style="166" customWidth="1"/>
    <col min="13825" max="13825" width="1.8515625" style="166" customWidth="1"/>
    <col min="13826" max="13826" width="17.421875" style="166" customWidth="1"/>
    <col min="13827" max="13827" width="3.00390625" style="166" customWidth="1"/>
    <col min="13828" max="13828" width="16.28125" style="166" customWidth="1"/>
    <col min="13829" max="13829" width="3.00390625" style="166" customWidth="1"/>
    <col min="13830" max="13830" width="14.140625" style="166" customWidth="1"/>
    <col min="13831" max="13831" width="2.00390625" style="166" customWidth="1"/>
    <col min="13832" max="13832" width="15.8515625" style="166" customWidth="1"/>
    <col min="13833" max="13833" width="3.140625" style="166" customWidth="1"/>
    <col min="13834" max="13834" width="17.8515625" style="166" customWidth="1"/>
    <col min="13835" max="13835" width="2.57421875" style="166" customWidth="1"/>
    <col min="13836" max="13836" width="15.57421875" style="166" customWidth="1"/>
    <col min="13837" max="13837" width="1.8515625" style="166" customWidth="1"/>
    <col min="13838" max="13838" width="14.140625" style="166" customWidth="1"/>
    <col min="13839" max="13839" width="11.00390625" style="166" customWidth="1"/>
    <col min="13840" max="13841" width="25.00390625" style="166" customWidth="1"/>
    <col min="13842" max="13842" width="1.8515625" style="166" customWidth="1"/>
    <col min="13843" max="13843" width="17.8515625" style="166" customWidth="1"/>
    <col min="13844" max="13844" width="1.8515625" style="166" customWidth="1"/>
    <col min="13845" max="13845" width="19.00390625" style="166" customWidth="1"/>
    <col min="13846" max="13846" width="1.8515625" style="166" customWidth="1"/>
    <col min="13847" max="13847" width="16.7109375" style="166" customWidth="1"/>
    <col min="13848" max="13848" width="1.8515625" style="166" customWidth="1"/>
    <col min="13849" max="13849" width="16.7109375" style="166" customWidth="1"/>
    <col min="13850" max="13850" width="1.8515625" style="166" customWidth="1"/>
    <col min="13851" max="13851" width="16.7109375" style="166" customWidth="1"/>
    <col min="13852" max="13852" width="1.8515625" style="166" customWidth="1"/>
    <col min="13853" max="13853" width="16.7109375" style="166" customWidth="1"/>
    <col min="13854" max="13854" width="1.8515625" style="166" customWidth="1"/>
    <col min="13855" max="13855" width="17.8515625" style="166" customWidth="1"/>
    <col min="13856" max="13856" width="5.28125" style="166" customWidth="1"/>
    <col min="13857" max="13857" width="16.7109375" style="166" customWidth="1"/>
    <col min="13858" max="13858" width="5.28125" style="166" customWidth="1"/>
    <col min="13859" max="13859" width="14.421875" style="166" customWidth="1"/>
    <col min="13860" max="13860" width="1.8515625" style="166" customWidth="1"/>
    <col min="13861" max="13861" width="16.7109375" style="166" customWidth="1"/>
    <col min="13862" max="14071" width="11.00390625" style="166" customWidth="1"/>
    <col min="14072" max="14072" width="7.57421875" style="166" customWidth="1"/>
    <col min="14073" max="14073" width="15.57421875" style="166" customWidth="1"/>
    <col min="14074" max="14074" width="20.140625" style="166" customWidth="1"/>
    <col min="14075" max="14075" width="2.28125" style="166" customWidth="1"/>
    <col min="14076" max="14076" width="17.421875" style="166" customWidth="1"/>
    <col min="14077" max="14077" width="1.8515625" style="166" customWidth="1"/>
    <col min="14078" max="14078" width="18.7109375" style="166" customWidth="1"/>
    <col min="14079" max="14079" width="1.8515625" style="166" customWidth="1"/>
    <col min="14080" max="14080" width="23.00390625" style="166" customWidth="1"/>
    <col min="14081" max="14081" width="1.8515625" style="166" customWidth="1"/>
    <col min="14082" max="14082" width="17.421875" style="166" customWidth="1"/>
    <col min="14083" max="14083" width="3.00390625" style="166" customWidth="1"/>
    <col min="14084" max="14084" width="16.28125" style="166" customWidth="1"/>
    <col min="14085" max="14085" width="3.00390625" style="166" customWidth="1"/>
    <col min="14086" max="14086" width="14.140625" style="166" customWidth="1"/>
    <col min="14087" max="14087" width="2.00390625" style="166" customWidth="1"/>
    <col min="14088" max="14088" width="15.8515625" style="166" customWidth="1"/>
    <col min="14089" max="14089" width="3.140625" style="166" customWidth="1"/>
    <col min="14090" max="14090" width="17.8515625" style="166" customWidth="1"/>
    <col min="14091" max="14091" width="2.57421875" style="166" customWidth="1"/>
    <col min="14092" max="14092" width="15.57421875" style="166" customWidth="1"/>
    <col min="14093" max="14093" width="1.8515625" style="166" customWidth="1"/>
    <col min="14094" max="14094" width="14.140625" style="166" customWidth="1"/>
    <col min="14095" max="14095" width="11.00390625" style="166" customWidth="1"/>
    <col min="14096" max="14097" width="25.00390625" style="166" customWidth="1"/>
    <col min="14098" max="14098" width="1.8515625" style="166" customWidth="1"/>
    <col min="14099" max="14099" width="17.8515625" style="166" customWidth="1"/>
    <col min="14100" max="14100" width="1.8515625" style="166" customWidth="1"/>
    <col min="14101" max="14101" width="19.00390625" style="166" customWidth="1"/>
    <col min="14102" max="14102" width="1.8515625" style="166" customWidth="1"/>
    <col min="14103" max="14103" width="16.7109375" style="166" customWidth="1"/>
    <col min="14104" max="14104" width="1.8515625" style="166" customWidth="1"/>
    <col min="14105" max="14105" width="16.7109375" style="166" customWidth="1"/>
    <col min="14106" max="14106" width="1.8515625" style="166" customWidth="1"/>
    <col min="14107" max="14107" width="16.7109375" style="166" customWidth="1"/>
    <col min="14108" max="14108" width="1.8515625" style="166" customWidth="1"/>
    <col min="14109" max="14109" width="16.7109375" style="166" customWidth="1"/>
    <col min="14110" max="14110" width="1.8515625" style="166" customWidth="1"/>
    <col min="14111" max="14111" width="17.8515625" style="166" customWidth="1"/>
    <col min="14112" max="14112" width="5.28125" style="166" customWidth="1"/>
    <col min="14113" max="14113" width="16.7109375" style="166" customWidth="1"/>
    <col min="14114" max="14114" width="5.28125" style="166" customWidth="1"/>
    <col min="14115" max="14115" width="14.421875" style="166" customWidth="1"/>
    <col min="14116" max="14116" width="1.8515625" style="166" customWidth="1"/>
    <col min="14117" max="14117" width="16.7109375" style="166" customWidth="1"/>
    <col min="14118" max="14327" width="11.00390625" style="166" customWidth="1"/>
    <col min="14328" max="14328" width="7.57421875" style="166" customWidth="1"/>
    <col min="14329" max="14329" width="15.57421875" style="166" customWidth="1"/>
    <col min="14330" max="14330" width="20.140625" style="166" customWidth="1"/>
    <col min="14331" max="14331" width="2.28125" style="166" customWidth="1"/>
    <col min="14332" max="14332" width="17.421875" style="166" customWidth="1"/>
    <col min="14333" max="14333" width="1.8515625" style="166" customWidth="1"/>
    <col min="14334" max="14334" width="18.7109375" style="166" customWidth="1"/>
    <col min="14335" max="14335" width="1.8515625" style="166" customWidth="1"/>
    <col min="14336" max="14336" width="23.00390625" style="166" customWidth="1"/>
    <col min="14337" max="14337" width="1.8515625" style="166" customWidth="1"/>
    <col min="14338" max="14338" width="17.421875" style="166" customWidth="1"/>
    <col min="14339" max="14339" width="3.00390625" style="166" customWidth="1"/>
    <col min="14340" max="14340" width="16.28125" style="166" customWidth="1"/>
    <col min="14341" max="14341" width="3.00390625" style="166" customWidth="1"/>
    <col min="14342" max="14342" width="14.140625" style="166" customWidth="1"/>
    <col min="14343" max="14343" width="2.00390625" style="166" customWidth="1"/>
    <col min="14344" max="14344" width="15.8515625" style="166" customWidth="1"/>
    <col min="14345" max="14345" width="3.140625" style="166" customWidth="1"/>
    <col min="14346" max="14346" width="17.8515625" style="166" customWidth="1"/>
    <col min="14347" max="14347" width="2.57421875" style="166" customWidth="1"/>
    <col min="14348" max="14348" width="15.57421875" style="166" customWidth="1"/>
    <col min="14349" max="14349" width="1.8515625" style="166" customWidth="1"/>
    <col min="14350" max="14350" width="14.140625" style="166" customWidth="1"/>
    <col min="14351" max="14351" width="11.00390625" style="166" customWidth="1"/>
    <col min="14352" max="14353" width="25.00390625" style="166" customWidth="1"/>
    <col min="14354" max="14354" width="1.8515625" style="166" customWidth="1"/>
    <col min="14355" max="14355" width="17.8515625" style="166" customWidth="1"/>
    <col min="14356" max="14356" width="1.8515625" style="166" customWidth="1"/>
    <col min="14357" max="14357" width="19.00390625" style="166" customWidth="1"/>
    <col min="14358" max="14358" width="1.8515625" style="166" customWidth="1"/>
    <col min="14359" max="14359" width="16.7109375" style="166" customWidth="1"/>
    <col min="14360" max="14360" width="1.8515625" style="166" customWidth="1"/>
    <col min="14361" max="14361" width="16.7109375" style="166" customWidth="1"/>
    <col min="14362" max="14362" width="1.8515625" style="166" customWidth="1"/>
    <col min="14363" max="14363" width="16.7109375" style="166" customWidth="1"/>
    <col min="14364" max="14364" width="1.8515625" style="166" customWidth="1"/>
    <col min="14365" max="14365" width="16.7109375" style="166" customWidth="1"/>
    <col min="14366" max="14366" width="1.8515625" style="166" customWidth="1"/>
    <col min="14367" max="14367" width="17.8515625" style="166" customWidth="1"/>
    <col min="14368" max="14368" width="5.28125" style="166" customWidth="1"/>
    <col min="14369" max="14369" width="16.7109375" style="166" customWidth="1"/>
    <col min="14370" max="14370" width="5.28125" style="166" customWidth="1"/>
    <col min="14371" max="14371" width="14.421875" style="166" customWidth="1"/>
    <col min="14372" max="14372" width="1.8515625" style="166" customWidth="1"/>
    <col min="14373" max="14373" width="16.7109375" style="166" customWidth="1"/>
    <col min="14374" max="14583" width="11.00390625" style="166" customWidth="1"/>
    <col min="14584" max="14584" width="7.57421875" style="166" customWidth="1"/>
    <col min="14585" max="14585" width="15.57421875" style="166" customWidth="1"/>
    <col min="14586" max="14586" width="20.140625" style="166" customWidth="1"/>
    <col min="14587" max="14587" width="2.28125" style="166" customWidth="1"/>
    <col min="14588" max="14588" width="17.421875" style="166" customWidth="1"/>
    <col min="14589" max="14589" width="1.8515625" style="166" customWidth="1"/>
    <col min="14590" max="14590" width="18.7109375" style="166" customWidth="1"/>
    <col min="14591" max="14591" width="1.8515625" style="166" customWidth="1"/>
    <col min="14592" max="14592" width="23.00390625" style="166" customWidth="1"/>
    <col min="14593" max="14593" width="1.8515625" style="166" customWidth="1"/>
    <col min="14594" max="14594" width="17.421875" style="166" customWidth="1"/>
    <col min="14595" max="14595" width="3.00390625" style="166" customWidth="1"/>
    <col min="14596" max="14596" width="16.28125" style="166" customWidth="1"/>
    <col min="14597" max="14597" width="3.00390625" style="166" customWidth="1"/>
    <col min="14598" max="14598" width="14.140625" style="166" customWidth="1"/>
    <col min="14599" max="14599" width="2.00390625" style="166" customWidth="1"/>
    <col min="14600" max="14600" width="15.8515625" style="166" customWidth="1"/>
    <col min="14601" max="14601" width="3.140625" style="166" customWidth="1"/>
    <col min="14602" max="14602" width="17.8515625" style="166" customWidth="1"/>
    <col min="14603" max="14603" width="2.57421875" style="166" customWidth="1"/>
    <col min="14604" max="14604" width="15.57421875" style="166" customWidth="1"/>
    <col min="14605" max="14605" width="1.8515625" style="166" customWidth="1"/>
    <col min="14606" max="14606" width="14.140625" style="166" customWidth="1"/>
    <col min="14607" max="14607" width="11.00390625" style="166" customWidth="1"/>
    <col min="14608" max="14609" width="25.00390625" style="166" customWidth="1"/>
    <col min="14610" max="14610" width="1.8515625" style="166" customWidth="1"/>
    <col min="14611" max="14611" width="17.8515625" style="166" customWidth="1"/>
    <col min="14612" max="14612" width="1.8515625" style="166" customWidth="1"/>
    <col min="14613" max="14613" width="19.00390625" style="166" customWidth="1"/>
    <col min="14614" max="14614" width="1.8515625" style="166" customWidth="1"/>
    <col min="14615" max="14615" width="16.7109375" style="166" customWidth="1"/>
    <col min="14616" max="14616" width="1.8515625" style="166" customWidth="1"/>
    <col min="14617" max="14617" width="16.7109375" style="166" customWidth="1"/>
    <col min="14618" max="14618" width="1.8515625" style="166" customWidth="1"/>
    <col min="14619" max="14619" width="16.7109375" style="166" customWidth="1"/>
    <col min="14620" max="14620" width="1.8515625" style="166" customWidth="1"/>
    <col min="14621" max="14621" width="16.7109375" style="166" customWidth="1"/>
    <col min="14622" max="14622" width="1.8515625" style="166" customWidth="1"/>
    <col min="14623" max="14623" width="17.8515625" style="166" customWidth="1"/>
    <col min="14624" max="14624" width="5.28125" style="166" customWidth="1"/>
    <col min="14625" max="14625" width="16.7109375" style="166" customWidth="1"/>
    <col min="14626" max="14626" width="5.28125" style="166" customWidth="1"/>
    <col min="14627" max="14627" width="14.421875" style="166" customWidth="1"/>
    <col min="14628" max="14628" width="1.8515625" style="166" customWidth="1"/>
    <col min="14629" max="14629" width="16.7109375" style="166" customWidth="1"/>
    <col min="14630" max="14839" width="11.00390625" style="166" customWidth="1"/>
    <col min="14840" max="14840" width="7.57421875" style="166" customWidth="1"/>
    <col min="14841" max="14841" width="15.57421875" style="166" customWidth="1"/>
    <col min="14842" max="14842" width="20.140625" style="166" customWidth="1"/>
    <col min="14843" max="14843" width="2.28125" style="166" customWidth="1"/>
    <col min="14844" max="14844" width="17.421875" style="166" customWidth="1"/>
    <col min="14845" max="14845" width="1.8515625" style="166" customWidth="1"/>
    <col min="14846" max="14846" width="18.7109375" style="166" customWidth="1"/>
    <col min="14847" max="14847" width="1.8515625" style="166" customWidth="1"/>
    <col min="14848" max="14848" width="23.00390625" style="166" customWidth="1"/>
    <col min="14849" max="14849" width="1.8515625" style="166" customWidth="1"/>
    <col min="14850" max="14850" width="17.421875" style="166" customWidth="1"/>
    <col min="14851" max="14851" width="3.00390625" style="166" customWidth="1"/>
    <col min="14852" max="14852" width="16.28125" style="166" customWidth="1"/>
    <col min="14853" max="14853" width="3.00390625" style="166" customWidth="1"/>
    <col min="14854" max="14854" width="14.140625" style="166" customWidth="1"/>
    <col min="14855" max="14855" width="2.00390625" style="166" customWidth="1"/>
    <col min="14856" max="14856" width="15.8515625" style="166" customWidth="1"/>
    <col min="14857" max="14857" width="3.140625" style="166" customWidth="1"/>
    <col min="14858" max="14858" width="17.8515625" style="166" customWidth="1"/>
    <col min="14859" max="14859" width="2.57421875" style="166" customWidth="1"/>
    <col min="14860" max="14860" width="15.57421875" style="166" customWidth="1"/>
    <col min="14861" max="14861" width="1.8515625" style="166" customWidth="1"/>
    <col min="14862" max="14862" width="14.140625" style="166" customWidth="1"/>
    <col min="14863" max="14863" width="11.00390625" style="166" customWidth="1"/>
    <col min="14864" max="14865" width="25.00390625" style="166" customWidth="1"/>
    <col min="14866" max="14866" width="1.8515625" style="166" customWidth="1"/>
    <col min="14867" max="14867" width="17.8515625" style="166" customWidth="1"/>
    <col min="14868" max="14868" width="1.8515625" style="166" customWidth="1"/>
    <col min="14869" max="14869" width="19.00390625" style="166" customWidth="1"/>
    <col min="14870" max="14870" width="1.8515625" style="166" customWidth="1"/>
    <col min="14871" max="14871" width="16.7109375" style="166" customWidth="1"/>
    <col min="14872" max="14872" width="1.8515625" style="166" customWidth="1"/>
    <col min="14873" max="14873" width="16.7109375" style="166" customWidth="1"/>
    <col min="14874" max="14874" width="1.8515625" style="166" customWidth="1"/>
    <col min="14875" max="14875" width="16.7109375" style="166" customWidth="1"/>
    <col min="14876" max="14876" width="1.8515625" style="166" customWidth="1"/>
    <col min="14877" max="14877" width="16.7109375" style="166" customWidth="1"/>
    <col min="14878" max="14878" width="1.8515625" style="166" customWidth="1"/>
    <col min="14879" max="14879" width="17.8515625" style="166" customWidth="1"/>
    <col min="14880" max="14880" width="5.28125" style="166" customWidth="1"/>
    <col min="14881" max="14881" width="16.7109375" style="166" customWidth="1"/>
    <col min="14882" max="14882" width="5.28125" style="166" customWidth="1"/>
    <col min="14883" max="14883" width="14.421875" style="166" customWidth="1"/>
    <col min="14884" max="14884" width="1.8515625" style="166" customWidth="1"/>
    <col min="14885" max="14885" width="16.7109375" style="166" customWidth="1"/>
    <col min="14886" max="15095" width="11.00390625" style="166" customWidth="1"/>
    <col min="15096" max="15096" width="7.57421875" style="166" customWidth="1"/>
    <col min="15097" max="15097" width="15.57421875" style="166" customWidth="1"/>
    <col min="15098" max="15098" width="20.140625" style="166" customWidth="1"/>
    <col min="15099" max="15099" width="2.28125" style="166" customWidth="1"/>
    <col min="15100" max="15100" width="17.421875" style="166" customWidth="1"/>
    <col min="15101" max="15101" width="1.8515625" style="166" customWidth="1"/>
    <col min="15102" max="15102" width="18.7109375" style="166" customWidth="1"/>
    <col min="15103" max="15103" width="1.8515625" style="166" customWidth="1"/>
    <col min="15104" max="15104" width="23.00390625" style="166" customWidth="1"/>
    <col min="15105" max="15105" width="1.8515625" style="166" customWidth="1"/>
    <col min="15106" max="15106" width="17.421875" style="166" customWidth="1"/>
    <col min="15107" max="15107" width="3.00390625" style="166" customWidth="1"/>
    <col min="15108" max="15108" width="16.28125" style="166" customWidth="1"/>
    <col min="15109" max="15109" width="3.00390625" style="166" customWidth="1"/>
    <col min="15110" max="15110" width="14.140625" style="166" customWidth="1"/>
    <col min="15111" max="15111" width="2.00390625" style="166" customWidth="1"/>
    <col min="15112" max="15112" width="15.8515625" style="166" customWidth="1"/>
    <col min="15113" max="15113" width="3.140625" style="166" customWidth="1"/>
    <col min="15114" max="15114" width="17.8515625" style="166" customWidth="1"/>
    <col min="15115" max="15115" width="2.57421875" style="166" customWidth="1"/>
    <col min="15116" max="15116" width="15.57421875" style="166" customWidth="1"/>
    <col min="15117" max="15117" width="1.8515625" style="166" customWidth="1"/>
    <col min="15118" max="15118" width="14.140625" style="166" customWidth="1"/>
    <col min="15119" max="15119" width="11.00390625" style="166" customWidth="1"/>
    <col min="15120" max="15121" width="25.00390625" style="166" customWidth="1"/>
    <col min="15122" max="15122" width="1.8515625" style="166" customWidth="1"/>
    <col min="15123" max="15123" width="17.8515625" style="166" customWidth="1"/>
    <col min="15124" max="15124" width="1.8515625" style="166" customWidth="1"/>
    <col min="15125" max="15125" width="19.00390625" style="166" customWidth="1"/>
    <col min="15126" max="15126" width="1.8515625" style="166" customWidth="1"/>
    <col min="15127" max="15127" width="16.7109375" style="166" customWidth="1"/>
    <col min="15128" max="15128" width="1.8515625" style="166" customWidth="1"/>
    <col min="15129" max="15129" width="16.7109375" style="166" customWidth="1"/>
    <col min="15130" max="15130" width="1.8515625" style="166" customWidth="1"/>
    <col min="15131" max="15131" width="16.7109375" style="166" customWidth="1"/>
    <col min="15132" max="15132" width="1.8515625" style="166" customWidth="1"/>
    <col min="15133" max="15133" width="16.7109375" style="166" customWidth="1"/>
    <col min="15134" max="15134" width="1.8515625" style="166" customWidth="1"/>
    <col min="15135" max="15135" width="17.8515625" style="166" customWidth="1"/>
    <col min="15136" max="15136" width="5.28125" style="166" customWidth="1"/>
    <col min="15137" max="15137" width="16.7109375" style="166" customWidth="1"/>
    <col min="15138" max="15138" width="5.28125" style="166" customWidth="1"/>
    <col min="15139" max="15139" width="14.421875" style="166" customWidth="1"/>
    <col min="15140" max="15140" width="1.8515625" style="166" customWidth="1"/>
    <col min="15141" max="15141" width="16.7109375" style="166" customWidth="1"/>
    <col min="15142" max="15351" width="11.00390625" style="166" customWidth="1"/>
    <col min="15352" max="15352" width="7.57421875" style="166" customWidth="1"/>
    <col min="15353" max="15353" width="15.57421875" style="166" customWidth="1"/>
    <col min="15354" max="15354" width="20.140625" style="166" customWidth="1"/>
    <col min="15355" max="15355" width="2.28125" style="166" customWidth="1"/>
    <col min="15356" max="15356" width="17.421875" style="166" customWidth="1"/>
    <col min="15357" max="15357" width="1.8515625" style="166" customWidth="1"/>
    <col min="15358" max="15358" width="18.7109375" style="166" customWidth="1"/>
    <col min="15359" max="15359" width="1.8515625" style="166" customWidth="1"/>
    <col min="15360" max="15360" width="23.00390625" style="166" customWidth="1"/>
    <col min="15361" max="15361" width="1.8515625" style="166" customWidth="1"/>
    <col min="15362" max="15362" width="17.421875" style="166" customWidth="1"/>
    <col min="15363" max="15363" width="3.00390625" style="166" customWidth="1"/>
    <col min="15364" max="15364" width="16.28125" style="166" customWidth="1"/>
    <col min="15365" max="15365" width="3.00390625" style="166" customWidth="1"/>
    <col min="15366" max="15366" width="14.140625" style="166" customWidth="1"/>
    <col min="15367" max="15367" width="2.00390625" style="166" customWidth="1"/>
    <col min="15368" max="15368" width="15.8515625" style="166" customWidth="1"/>
    <col min="15369" max="15369" width="3.140625" style="166" customWidth="1"/>
    <col min="15370" max="15370" width="17.8515625" style="166" customWidth="1"/>
    <col min="15371" max="15371" width="2.57421875" style="166" customWidth="1"/>
    <col min="15372" max="15372" width="15.57421875" style="166" customWidth="1"/>
    <col min="15373" max="15373" width="1.8515625" style="166" customWidth="1"/>
    <col min="15374" max="15374" width="14.140625" style="166" customWidth="1"/>
    <col min="15375" max="15375" width="11.00390625" style="166" customWidth="1"/>
    <col min="15376" max="15377" width="25.00390625" style="166" customWidth="1"/>
    <col min="15378" max="15378" width="1.8515625" style="166" customWidth="1"/>
    <col min="15379" max="15379" width="17.8515625" style="166" customWidth="1"/>
    <col min="15380" max="15380" width="1.8515625" style="166" customWidth="1"/>
    <col min="15381" max="15381" width="19.00390625" style="166" customWidth="1"/>
    <col min="15382" max="15382" width="1.8515625" style="166" customWidth="1"/>
    <col min="15383" max="15383" width="16.7109375" style="166" customWidth="1"/>
    <col min="15384" max="15384" width="1.8515625" style="166" customWidth="1"/>
    <col min="15385" max="15385" width="16.7109375" style="166" customWidth="1"/>
    <col min="15386" max="15386" width="1.8515625" style="166" customWidth="1"/>
    <col min="15387" max="15387" width="16.7109375" style="166" customWidth="1"/>
    <col min="15388" max="15388" width="1.8515625" style="166" customWidth="1"/>
    <col min="15389" max="15389" width="16.7109375" style="166" customWidth="1"/>
    <col min="15390" max="15390" width="1.8515625" style="166" customWidth="1"/>
    <col min="15391" max="15391" width="17.8515625" style="166" customWidth="1"/>
    <col min="15392" max="15392" width="5.28125" style="166" customWidth="1"/>
    <col min="15393" max="15393" width="16.7109375" style="166" customWidth="1"/>
    <col min="15394" max="15394" width="5.28125" style="166" customWidth="1"/>
    <col min="15395" max="15395" width="14.421875" style="166" customWidth="1"/>
    <col min="15396" max="15396" width="1.8515625" style="166" customWidth="1"/>
    <col min="15397" max="15397" width="16.7109375" style="166" customWidth="1"/>
    <col min="15398" max="15607" width="11.00390625" style="166" customWidth="1"/>
    <col min="15608" max="15608" width="7.57421875" style="166" customWidth="1"/>
    <col min="15609" max="15609" width="15.57421875" style="166" customWidth="1"/>
    <col min="15610" max="15610" width="20.140625" style="166" customWidth="1"/>
    <col min="15611" max="15611" width="2.28125" style="166" customWidth="1"/>
    <col min="15612" max="15612" width="17.421875" style="166" customWidth="1"/>
    <col min="15613" max="15613" width="1.8515625" style="166" customWidth="1"/>
    <col min="15614" max="15614" width="18.7109375" style="166" customWidth="1"/>
    <col min="15615" max="15615" width="1.8515625" style="166" customWidth="1"/>
    <col min="15616" max="15616" width="23.00390625" style="166" customWidth="1"/>
    <col min="15617" max="15617" width="1.8515625" style="166" customWidth="1"/>
    <col min="15618" max="15618" width="17.421875" style="166" customWidth="1"/>
    <col min="15619" max="15619" width="3.00390625" style="166" customWidth="1"/>
    <col min="15620" max="15620" width="16.28125" style="166" customWidth="1"/>
    <col min="15621" max="15621" width="3.00390625" style="166" customWidth="1"/>
    <col min="15622" max="15622" width="14.140625" style="166" customWidth="1"/>
    <col min="15623" max="15623" width="2.00390625" style="166" customWidth="1"/>
    <col min="15624" max="15624" width="15.8515625" style="166" customWidth="1"/>
    <col min="15625" max="15625" width="3.140625" style="166" customWidth="1"/>
    <col min="15626" max="15626" width="17.8515625" style="166" customWidth="1"/>
    <col min="15627" max="15627" width="2.57421875" style="166" customWidth="1"/>
    <col min="15628" max="15628" width="15.57421875" style="166" customWidth="1"/>
    <col min="15629" max="15629" width="1.8515625" style="166" customWidth="1"/>
    <col min="15630" max="15630" width="14.140625" style="166" customWidth="1"/>
    <col min="15631" max="15631" width="11.00390625" style="166" customWidth="1"/>
    <col min="15632" max="15633" width="25.00390625" style="166" customWidth="1"/>
    <col min="15634" max="15634" width="1.8515625" style="166" customWidth="1"/>
    <col min="15635" max="15635" width="17.8515625" style="166" customWidth="1"/>
    <col min="15636" max="15636" width="1.8515625" style="166" customWidth="1"/>
    <col min="15637" max="15637" width="19.00390625" style="166" customWidth="1"/>
    <col min="15638" max="15638" width="1.8515625" style="166" customWidth="1"/>
    <col min="15639" max="15639" width="16.7109375" style="166" customWidth="1"/>
    <col min="15640" max="15640" width="1.8515625" style="166" customWidth="1"/>
    <col min="15641" max="15641" width="16.7109375" style="166" customWidth="1"/>
    <col min="15642" max="15642" width="1.8515625" style="166" customWidth="1"/>
    <col min="15643" max="15643" width="16.7109375" style="166" customWidth="1"/>
    <col min="15644" max="15644" width="1.8515625" style="166" customWidth="1"/>
    <col min="15645" max="15645" width="16.7109375" style="166" customWidth="1"/>
    <col min="15646" max="15646" width="1.8515625" style="166" customWidth="1"/>
    <col min="15647" max="15647" width="17.8515625" style="166" customWidth="1"/>
    <col min="15648" max="15648" width="5.28125" style="166" customWidth="1"/>
    <col min="15649" max="15649" width="16.7109375" style="166" customWidth="1"/>
    <col min="15650" max="15650" width="5.28125" style="166" customWidth="1"/>
    <col min="15651" max="15651" width="14.421875" style="166" customWidth="1"/>
    <col min="15652" max="15652" width="1.8515625" style="166" customWidth="1"/>
    <col min="15653" max="15653" width="16.7109375" style="166" customWidth="1"/>
    <col min="15654" max="15863" width="11.00390625" style="166" customWidth="1"/>
    <col min="15864" max="15864" width="7.57421875" style="166" customWidth="1"/>
    <col min="15865" max="15865" width="15.57421875" style="166" customWidth="1"/>
    <col min="15866" max="15866" width="20.140625" style="166" customWidth="1"/>
    <col min="15867" max="15867" width="2.28125" style="166" customWidth="1"/>
    <col min="15868" max="15868" width="17.421875" style="166" customWidth="1"/>
    <col min="15869" max="15869" width="1.8515625" style="166" customWidth="1"/>
    <col min="15870" max="15870" width="18.7109375" style="166" customWidth="1"/>
    <col min="15871" max="15871" width="1.8515625" style="166" customWidth="1"/>
    <col min="15872" max="15872" width="23.00390625" style="166" customWidth="1"/>
    <col min="15873" max="15873" width="1.8515625" style="166" customWidth="1"/>
    <col min="15874" max="15874" width="17.421875" style="166" customWidth="1"/>
    <col min="15875" max="15875" width="3.00390625" style="166" customWidth="1"/>
    <col min="15876" max="15876" width="16.28125" style="166" customWidth="1"/>
    <col min="15877" max="15877" width="3.00390625" style="166" customWidth="1"/>
    <col min="15878" max="15878" width="14.140625" style="166" customWidth="1"/>
    <col min="15879" max="15879" width="2.00390625" style="166" customWidth="1"/>
    <col min="15880" max="15880" width="15.8515625" style="166" customWidth="1"/>
    <col min="15881" max="15881" width="3.140625" style="166" customWidth="1"/>
    <col min="15882" max="15882" width="17.8515625" style="166" customWidth="1"/>
    <col min="15883" max="15883" width="2.57421875" style="166" customWidth="1"/>
    <col min="15884" max="15884" width="15.57421875" style="166" customWidth="1"/>
    <col min="15885" max="15885" width="1.8515625" style="166" customWidth="1"/>
    <col min="15886" max="15886" width="14.140625" style="166" customWidth="1"/>
    <col min="15887" max="15887" width="11.00390625" style="166" customWidth="1"/>
    <col min="15888" max="15889" width="25.00390625" style="166" customWidth="1"/>
    <col min="15890" max="15890" width="1.8515625" style="166" customWidth="1"/>
    <col min="15891" max="15891" width="17.8515625" style="166" customWidth="1"/>
    <col min="15892" max="15892" width="1.8515625" style="166" customWidth="1"/>
    <col min="15893" max="15893" width="19.00390625" style="166" customWidth="1"/>
    <col min="15894" max="15894" width="1.8515625" style="166" customWidth="1"/>
    <col min="15895" max="15895" width="16.7109375" style="166" customWidth="1"/>
    <col min="15896" max="15896" width="1.8515625" style="166" customWidth="1"/>
    <col min="15897" max="15897" width="16.7109375" style="166" customWidth="1"/>
    <col min="15898" max="15898" width="1.8515625" style="166" customWidth="1"/>
    <col min="15899" max="15899" width="16.7109375" style="166" customWidth="1"/>
    <col min="15900" max="15900" width="1.8515625" style="166" customWidth="1"/>
    <col min="15901" max="15901" width="16.7109375" style="166" customWidth="1"/>
    <col min="15902" max="15902" width="1.8515625" style="166" customWidth="1"/>
    <col min="15903" max="15903" width="17.8515625" style="166" customWidth="1"/>
    <col min="15904" max="15904" width="5.28125" style="166" customWidth="1"/>
    <col min="15905" max="15905" width="16.7109375" style="166" customWidth="1"/>
    <col min="15906" max="15906" width="5.28125" style="166" customWidth="1"/>
    <col min="15907" max="15907" width="14.421875" style="166" customWidth="1"/>
    <col min="15908" max="15908" width="1.8515625" style="166" customWidth="1"/>
    <col min="15909" max="15909" width="16.7109375" style="166" customWidth="1"/>
    <col min="15910" max="16119" width="11.00390625" style="166" customWidth="1"/>
    <col min="16120" max="16120" width="7.57421875" style="166" customWidth="1"/>
    <col min="16121" max="16121" width="15.57421875" style="166" customWidth="1"/>
    <col min="16122" max="16122" width="20.140625" style="166" customWidth="1"/>
    <col min="16123" max="16123" width="2.28125" style="166" customWidth="1"/>
    <col min="16124" max="16124" width="17.421875" style="166" customWidth="1"/>
    <col min="16125" max="16125" width="1.8515625" style="166" customWidth="1"/>
    <col min="16126" max="16126" width="18.7109375" style="166" customWidth="1"/>
    <col min="16127" max="16127" width="1.8515625" style="166" customWidth="1"/>
    <col min="16128" max="16128" width="23.00390625" style="166" customWidth="1"/>
    <col min="16129" max="16129" width="1.8515625" style="166" customWidth="1"/>
    <col min="16130" max="16130" width="17.421875" style="166" customWidth="1"/>
    <col min="16131" max="16131" width="3.00390625" style="166" customWidth="1"/>
    <col min="16132" max="16132" width="16.28125" style="166" customWidth="1"/>
    <col min="16133" max="16133" width="3.00390625" style="166" customWidth="1"/>
    <col min="16134" max="16134" width="14.140625" style="166" customWidth="1"/>
    <col min="16135" max="16135" width="2.00390625" style="166" customWidth="1"/>
    <col min="16136" max="16136" width="15.8515625" style="166" customWidth="1"/>
    <col min="16137" max="16137" width="3.140625" style="166" customWidth="1"/>
    <col min="16138" max="16138" width="17.8515625" style="166" customWidth="1"/>
    <col min="16139" max="16139" width="2.57421875" style="166" customWidth="1"/>
    <col min="16140" max="16140" width="15.57421875" style="166" customWidth="1"/>
    <col min="16141" max="16141" width="1.8515625" style="166" customWidth="1"/>
    <col min="16142" max="16142" width="14.140625" style="166" customWidth="1"/>
    <col min="16143" max="16143" width="11.00390625" style="166" customWidth="1"/>
    <col min="16144" max="16145" width="25.00390625" style="166" customWidth="1"/>
    <col min="16146" max="16146" width="1.8515625" style="166" customWidth="1"/>
    <col min="16147" max="16147" width="17.8515625" style="166" customWidth="1"/>
    <col min="16148" max="16148" width="1.8515625" style="166" customWidth="1"/>
    <col min="16149" max="16149" width="19.00390625" style="166" customWidth="1"/>
    <col min="16150" max="16150" width="1.8515625" style="166" customWidth="1"/>
    <col min="16151" max="16151" width="16.7109375" style="166" customWidth="1"/>
    <col min="16152" max="16152" width="1.8515625" style="166" customWidth="1"/>
    <col min="16153" max="16153" width="16.7109375" style="166" customWidth="1"/>
    <col min="16154" max="16154" width="1.8515625" style="166" customWidth="1"/>
    <col min="16155" max="16155" width="16.7109375" style="166" customWidth="1"/>
    <col min="16156" max="16156" width="1.8515625" style="166" customWidth="1"/>
    <col min="16157" max="16157" width="16.7109375" style="166" customWidth="1"/>
    <col min="16158" max="16158" width="1.8515625" style="166" customWidth="1"/>
    <col min="16159" max="16159" width="17.8515625" style="166" customWidth="1"/>
    <col min="16160" max="16160" width="5.28125" style="166" customWidth="1"/>
    <col min="16161" max="16161" width="16.7109375" style="166" customWidth="1"/>
    <col min="16162" max="16162" width="5.28125" style="166" customWidth="1"/>
    <col min="16163" max="16163" width="14.421875" style="166" customWidth="1"/>
    <col min="16164" max="16164" width="1.8515625" style="166" customWidth="1"/>
    <col min="16165" max="16165" width="16.7109375" style="166" customWidth="1"/>
    <col min="16166" max="16384" width="11.00390625" style="166" customWidth="1"/>
  </cols>
  <sheetData>
    <row r="1" ht="12.75" hidden="1">
      <c r="A1" s="166"/>
    </row>
    <row r="2" spans="1:37" ht="12.75" hidden="1">
      <c r="A2" s="166"/>
      <c r="B2" s="399" t="s">
        <v>433</v>
      </c>
      <c r="C2" s="399"/>
      <c r="D2" s="399"/>
      <c r="E2" s="399"/>
      <c r="F2" s="399"/>
      <c r="G2" s="399"/>
      <c r="H2" s="399"/>
      <c r="I2" s="399"/>
      <c r="J2" s="399"/>
      <c r="K2" s="399"/>
      <c r="L2" s="399"/>
      <c r="M2" s="399"/>
      <c r="N2" s="399"/>
      <c r="O2" s="182"/>
      <c r="R2" s="168"/>
      <c r="S2" s="168"/>
      <c r="T2" s="168"/>
      <c r="U2" s="167"/>
      <c r="V2" s="168"/>
      <c r="W2" s="167"/>
      <c r="X2" s="168"/>
      <c r="Y2" s="167"/>
      <c r="Z2" s="168"/>
      <c r="AA2" s="168"/>
      <c r="AB2" s="168"/>
      <c r="AC2" s="168"/>
      <c r="AD2" s="168"/>
      <c r="AE2" s="168"/>
      <c r="AF2" s="168"/>
      <c r="AG2" s="168"/>
      <c r="AH2" s="168"/>
      <c r="AI2" s="168"/>
      <c r="AJ2" s="168"/>
      <c r="AK2" s="168"/>
    </row>
    <row r="3" spans="1:37" ht="12.75" hidden="1">
      <c r="A3" s="166"/>
      <c r="B3" s="399" t="s">
        <v>434</v>
      </c>
      <c r="C3" s="399"/>
      <c r="D3" s="399"/>
      <c r="E3" s="399"/>
      <c r="F3" s="399"/>
      <c r="G3" s="399"/>
      <c r="H3" s="399"/>
      <c r="I3" s="399"/>
      <c r="J3" s="399"/>
      <c r="K3" s="399"/>
      <c r="L3" s="399"/>
      <c r="M3" s="399"/>
      <c r="N3" s="399"/>
      <c r="O3" s="182"/>
      <c r="R3" s="168"/>
      <c r="S3" s="168"/>
      <c r="T3" s="168"/>
      <c r="U3" s="167"/>
      <c r="V3" s="168"/>
      <c r="W3" s="167"/>
      <c r="X3" s="168"/>
      <c r="Y3" s="168"/>
      <c r="Z3" s="168"/>
      <c r="AA3" s="168"/>
      <c r="AB3" s="168"/>
      <c r="AC3" s="168"/>
      <c r="AD3" s="168"/>
      <c r="AE3" s="168"/>
      <c r="AF3" s="168"/>
      <c r="AG3" s="168"/>
      <c r="AH3" s="168"/>
      <c r="AI3" s="168"/>
      <c r="AJ3" s="168"/>
      <c r="AK3" s="168"/>
    </row>
    <row r="4" spans="1:37" ht="12.75" hidden="1">
      <c r="A4" s="166"/>
      <c r="B4" s="399" t="s">
        <v>435</v>
      </c>
      <c r="C4" s="399"/>
      <c r="D4" s="399"/>
      <c r="E4" s="399"/>
      <c r="F4" s="399"/>
      <c r="G4" s="399"/>
      <c r="H4" s="399"/>
      <c r="I4" s="399"/>
      <c r="J4" s="399"/>
      <c r="K4" s="399"/>
      <c r="L4" s="399"/>
      <c r="M4" s="399"/>
      <c r="N4" s="399"/>
      <c r="O4" s="182"/>
      <c r="R4" s="168"/>
      <c r="S4" s="168"/>
      <c r="T4" s="168"/>
      <c r="U4" s="167"/>
      <c r="V4" s="168"/>
      <c r="W4" s="167"/>
      <c r="X4" s="167"/>
      <c r="Y4" s="168"/>
      <c r="Z4" s="168"/>
      <c r="AA4" s="168"/>
      <c r="AB4" s="168"/>
      <c r="AC4" s="168"/>
      <c r="AD4" s="168"/>
      <c r="AE4" s="168"/>
      <c r="AF4" s="168"/>
      <c r="AG4" s="168"/>
      <c r="AH4" s="168"/>
      <c r="AI4" s="168"/>
      <c r="AJ4" s="168"/>
      <c r="AK4" s="168"/>
    </row>
    <row r="5" spans="1:37" ht="12.75" hidden="1">
      <c r="A5" s="166"/>
      <c r="B5" s="399" t="s">
        <v>436</v>
      </c>
      <c r="C5" s="399"/>
      <c r="D5" s="399"/>
      <c r="E5" s="399"/>
      <c r="F5" s="399"/>
      <c r="G5" s="399"/>
      <c r="H5" s="399"/>
      <c r="I5" s="399"/>
      <c r="J5" s="399"/>
      <c r="K5" s="399"/>
      <c r="L5" s="399"/>
      <c r="M5" s="399"/>
      <c r="N5" s="399"/>
      <c r="O5" s="182"/>
      <c r="R5" s="168"/>
      <c r="S5" s="168"/>
      <c r="T5" s="167"/>
      <c r="U5" s="167"/>
      <c r="V5" s="168"/>
      <c r="W5" s="168"/>
      <c r="X5" s="168"/>
      <c r="Y5" s="168"/>
      <c r="Z5" s="168"/>
      <c r="AA5" s="168"/>
      <c r="AB5" s="168"/>
      <c r="AC5" s="168"/>
      <c r="AD5" s="168"/>
      <c r="AE5" s="168"/>
      <c r="AF5" s="168"/>
      <c r="AG5" s="168"/>
      <c r="AH5" s="168"/>
      <c r="AI5" s="168"/>
      <c r="AJ5" s="168"/>
      <c r="AK5" s="168"/>
    </row>
    <row r="6" spans="1:37" ht="12.75" hidden="1">
      <c r="A6" s="166"/>
      <c r="B6" s="400" t="s">
        <v>437</v>
      </c>
      <c r="C6" s="400"/>
      <c r="D6" s="400"/>
      <c r="E6" s="400"/>
      <c r="F6" s="400"/>
      <c r="G6" s="400"/>
      <c r="H6" s="400"/>
      <c r="I6" s="400"/>
      <c r="J6" s="400"/>
      <c r="K6" s="400"/>
      <c r="L6" s="400"/>
      <c r="M6" s="400"/>
      <c r="N6" s="400"/>
      <c r="O6" s="182"/>
      <c r="R6" s="168"/>
      <c r="S6" s="168"/>
      <c r="T6" s="168"/>
      <c r="U6" s="167"/>
      <c r="V6" s="168"/>
      <c r="W6" s="168"/>
      <c r="X6" s="168"/>
      <c r="Y6" s="167"/>
      <c r="Z6" s="168"/>
      <c r="AA6" s="168"/>
      <c r="AB6" s="168"/>
      <c r="AC6" s="168"/>
      <c r="AD6" s="168"/>
      <c r="AE6" s="168"/>
      <c r="AF6" s="168"/>
      <c r="AG6" s="168"/>
      <c r="AH6" s="168"/>
      <c r="AI6" s="168"/>
      <c r="AJ6" s="168"/>
      <c r="AK6" s="168"/>
    </row>
    <row r="7" spans="1:37" ht="12.75" hidden="1">
      <c r="A7" s="166"/>
      <c r="C7" s="167"/>
      <c r="D7" s="168"/>
      <c r="E7" s="168"/>
      <c r="F7" s="168"/>
      <c r="G7" s="167"/>
      <c r="H7" s="168"/>
      <c r="I7" s="168"/>
      <c r="J7" s="168"/>
      <c r="K7" s="168"/>
      <c r="L7" s="183"/>
      <c r="M7" s="183"/>
      <c r="N7" s="183"/>
      <c r="O7" s="182"/>
      <c r="R7" s="168"/>
      <c r="S7" s="168"/>
      <c r="T7" s="168"/>
      <c r="U7" s="167"/>
      <c r="V7" s="168"/>
      <c r="W7" s="168"/>
      <c r="X7" s="168"/>
      <c r="Y7" s="167"/>
      <c r="Z7" s="168"/>
      <c r="AA7" s="168"/>
      <c r="AB7" s="168"/>
      <c r="AC7" s="168"/>
      <c r="AD7" s="168"/>
      <c r="AE7" s="168"/>
      <c r="AF7" s="168"/>
      <c r="AG7" s="168"/>
      <c r="AH7" s="168"/>
      <c r="AI7" s="168"/>
      <c r="AJ7" s="168"/>
      <c r="AK7" s="168"/>
    </row>
    <row r="8" spans="1:37" ht="12.75" hidden="1">
      <c r="A8" s="166"/>
      <c r="C8" s="169"/>
      <c r="D8" s="169"/>
      <c r="E8" s="169"/>
      <c r="F8" s="169"/>
      <c r="G8" s="169"/>
      <c r="H8" s="169"/>
      <c r="I8" s="169"/>
      <c r="J8" s="169"/>
      <c r="K8" s="169"/>
      <c r="L8" s="184"/>
      <c r="M8" s="184"/>
      <c r="N8" s="184"/>
      <c r="R8" s="169"/>
      <c r="S8" s="169"/>
      <c r="T8" s="169"/>
      <c r="U8" s="169"/>
      <c r="V8" s="169"/>
      <c r="W8" s="169"/>
      <c r="X8" s="169"/>
      <c r="Y8" s="169"/>
      <c r="Z8" s="169"/>
      <c r="AA8" s="169"/>
      <c r="AB8" s="169"/>
      <c r="AC8" s="169"/>
      <c r="AD8" s="169"/>
      <c r="AE8" s="169"/>
      <c r="AF8" s="169"/>
      <c r="AG8" s="169"/>
      <c r="AH8" s="169"/>
      <c r="AI8" s="169"/>
      <c r="AJ8" s="169"/>
      <c r="AK8" s="169"/>
    </row>
    <row r="9" spans="1:37" ht="18" customHeight="1">
      <c r="A9" s="166"/>
      <c r="R9" s="169"/>
      <c r="S9" s="342"/>
      <c r="T9" s="169"/>
      <c r="U9" s="342"/>
      <c r="V9" s="169"/>
      <c r="W9" s="342"/>
      <c r="X9" s="169"/>
      <c r="Y9" s="342"/>
      <c r="Z9" s="169"/>
      <c r="AA9" s="342"/>
      <c r="AB9" s="169"/>
      <c r="AC9" s="342"/>
      <c r="AD9" s="169"/>
      <c r="AE9" s="342"/>
      <c r="AF9" s="169"/>
      <c r="AG9" s="342"/>
      <c r="AH9" s="169"/>
      <c r="AI9" s="342"/>
      <c r="AJ9" s="169"/>
      <c r="AK9" s="342"/>
    </row>
    <row r="10" spans="1:37" ht="12.75">
      <c r="A10" s="166"/>
      <c r="R10" s="169"/>
      <c r="S10" s="169"/>
      <c r="T10" s="169"/>
      <c r="U10" s="342"/>
      <c r="V10" s="169"/>
      <c r="W10" s="169"/>
      <c r="X10" s="169"/>
      <c r="Y10" s="169"/>
      <c r="Z10" s="169"/>
      <c r="AA10" s="169"/>
      <c r="AB10" s="169"/>
      <c r="AC10" s="169"/>
      <c r="AD10" s="169"/>
      <c r="AE10" s="169"/>
      <c r="AF10" s="169"/>
      <c r="AG10" s="169"/>
      <c r="AH10" s="169"/>
      <c r="AI10" s="169"/>
      <c r="AJ10" s="169"/>
      <c r="AK10" s="169"/>
    </row>
    <row r="11" spans="1:37" ht="12.75">
      <c r="A11" s="166"/>
      <c r="C11" s="342" t="s">
        <v>162</v>
      </c>
      <c r="D11" s="342" t="s">
        <v>163</v>
      </c>
      <c r="E11" s="342" t="s">
        <v>164</v>
      </c>
      <c r="F11" s="342" t="s">
        <v>165</v>
      </c>
      <c r="G11" s="342" t="s">
        <v>166</v>
      </c>
      <c r="H11" s="342" t="s">
        <v>167</v>
      </c>
      <c r="I11" s="342" t="s">
        <v>255</v>
      </c>
      <c r="J11" s="342" t="s">
        <v>256</v>
      </c>
      <c r="K11" s="185" t="s">
        <v>257</v>
      </c>
      <c r="L11" s="185" t="s">
        <v>258</v>
      </c>
      <c r="M11" s="185" t="s">
        <v>259</v>
      </c>
      <c r="N11" s="343" t="s">
        <v>260</v>
      </c>
      <c r="R11" s="169"/>
      <c r="S11" s="169"/>
      <c r="T11" s="169"/>
      <c r="U11" s="342"/>
      <c r="V11" s="169"/>
      <c r="W11" s="169"/>
      <c r="X11" s="169"/>
      <c r="Y11" s="342"/>
      <c r="Z11" s="169"/>
      <c r="AA11" s="169"/>
      <c r="AB11" s="169"/>
      <c r="AC11" s="169"/>
      <c r="AD11" s="169"/>
      <c r="AE11" s="342"/>
      <c r="AF11" s="169"/>
      <c r="AG11" s="169"/>
      <c r="AH11" s="169"/>
      <c r="AI11" s="169"/>
      <c r="AJ11" s="169"/>
      <c r="AK11" s="169"/>
    </row>
    <row r="12" spans="1:37" ht="14.25">
      <c r="A12" s="166"/>
      <c r="C12" s="169"/>
      <c r="D12" s="169"/>
      <c r="E12" s="342" t="s">
        <v>438</v>
      </c>
      <c r="F12" s="169"/>
      <c r="G12" s="169"/>
      <c r="H12" s="169"/>
      <c r="I12" s="169"/>
      <c r="J12" s="169"/>
      <c r="K12" s="169"/>
      <c r="L12" s="184"/>
      <c r="M12" s="184"/>
      <c r="N12" s="184"/>
      <c r="P12" s="276"/>
      <c r="R12" s="169"/>
      <c r="S12" s="342"/>
      <c r="T12" s="169"/>
      <c r="U12" s="342"/>
      <c r="V12" s="169"/>
      <c r="W12" s="169"/>
      <c r="X12" s="169"/>
      <c r="Y12" s="342"/>
      <c r="Z12" s="169"/>
      <c r="AA12" s="342"/>
      <c r="AB12" s="169"/>
      <c r="AC12" s="342"/>
      <c r="AD12" s="169"/>
      <c r="AE12" s="342"/>
      <c r="AF12" s="169"/>
      <c r="AG12" s="342"/>
      <c r="AH12" s="169"/>
      <c r="AI12" s="342"/>
      <c r="AJ12" s="169"/>
      <c r="AK12" s="342"/>
    </row>
    <row r="13" spans="1:37" ht="12.75">
      <c r="A13" s="166"/>
      <c r="C13" s="169"/>
      <c r="D13" s="169"/>
      <c r="E13" s="342" t="s">
        <v>439</v>
      </c>
      <c r="F13" s="169"/>
      <c r="H13" s="169"/>
      <c r="I13" s="169"/>
      <c r="J13" s="342" t="s">
        <v>440</v>
      </c>
      <c r="K13" s="342" t="s">
        <v>710</v>
      </c>
      <c r="L13" s="343" t="s">
        <v>709</v>
      </c>
      <c r="M13" s="184"/>
      <c r="N13" s="184"/>
      <c r="R13" s="169"/>
      <c r="S13" s="342"/>
      <c r="T13" s="169"/>
      <c r="U13" s="342"/>
      <c r="V13" s="169"/>
      <c r="W13" s="169"/>
      <c r="X13" s="169"/>
      <c r="Y13" s="342"/>
      <c r="Z13" s="169"/>
      <c r="AA13" s="342"/>
      <c r="AB13" s="169"/>
      <c r="AC13" s="342"/>
      <c r="AD13" s="169"/>
      <c r="AE13" s="342"/>
      <c r="AF13" s="169"/>
      <c r="AG13" s="342"/>
      <c r="AH13" s="169"/>
      <c r="AI13" s="342"/>
      <c r="AJ13" s="169"/>
      <c r="AK13" s="342"/>
    </row>
    <row r="14" spans="1:37" ht="12.75">
      <c r="A14" s="166"/>
      <c r="B14" s="342" t="s">
        <v>441</v>
      </c>
      <c r="C14" s="169"/>
      <c r="D14" s="342" t="s">
        <v>442</v>
      </c>
      <c r="E14" s="342" t="s">
        <v>443</v>
      </c>
      <c r="F14" s="169"/>
      <c r="G14" s="342" t="s">
        <v>288</v>
      </c>
      <c r="H14" s="342" t="s">
        <v>288</v>
      </c>
      <c r="I14" s="342" t="s">
        <v>444</v>
      </c>
      <c r="J14" s="342" t="s">
        <v>445</v>
      </c>
      <c r="K14" s="185" t="s">
        <v>711</v>
      </c>
      <c r="L14" s="185" t="s">
        <v>194</v>
      </c>
      <c r="M14" s="185" t="s">
        <v>446</v>
      </c>
      <c r="N14" s="185" t="s">
        <v>288</v>
      </c>
      <c r="R14" s="169"/>
      <c r="S14" s="342"/>
      <c r="T14" s="169"/>
      <c r="U14" s="342"/>
      <c r="V14" s="169"/>
      <c r="W14" s="342"/>
      <c r="X14" s="169"/>
      <c r="Y14" s="342"/>
      <c r="Z14" s="169"/>
      <c r="AA14" s="342"/>
      <c r="AB14" s="169"/>
      <c r="AC14" s="342"/>
      <c r="AD14" s="169"/>
      <c r="AE14" s="342"/>
      <c r="AF14" s="169"/>
      <c r="AG14" s="342"/>
      <c r="AH14" s="169"/>
      <c r="AI14" s="342"/>
      <c r="AJ14" s="169"/>
      <c r="AK14" s="342"/>
    </row>
    <row r="15" spans="1:14" ht="12.75">
      <c r="A15" s="166"/>
      <c r="B15" s="342" t="s">
        <v>447</v>
      </c>
      <c r="C15" s="209" t="s">
        <v>448</v>
      </c>
      <c r="D15" s="209" t="s">
        <v>449</v>
      </c>
      <c r="E15" s="209" t="s">
        <v>450</v>
      </c>
      <c r="F15" s="210"/>
      <c r="G15" s="209" t="s">
        <v>184</v>
      </c>
      <c r="H15" s="209" t="s">
        <v>448</v>
      </c>
      <c r="I15" s="209" t="s">
        <v>451</v>
      </c>
      <c r="J15" s="209" t="s">
        <v>452</v>
      </c>
      <c r="K15" s="211" t="s">
        <v>453</v>
      </c>
      <c r="L15" s="211" t="s">
        <v>453</v>
      </c>
      <c r="M15" s="211" t="s">
        <v>194</v>
      </c>
      <c r="N15" s="185" t="s">
        <v>454</v>
      </c>
    </row>
    <row r="16" spans="1:17" ht="12.75">
      <c r="A16" s="166"/>
      <c r="B16" s="170" t="s">
        <v>455</v>
      </c>
      <c r="C16" s="209" t="s">
        <v>456</v>
      </c>
      <c r="D16" s="209" t="s">
        <v>457</v>
      </c>
      <c r="E16" s="209" t="s">
        <v>457</v>
      </c>
      <c r="F16" s="209" t="s">
        <v>193</v>
      </c>
      <c r="G16" s="209" t="s">
        <v>458</v>
      </c>
      <c r="H16" s="209" t="s">
        <v>459</v>
      </c>
      <c r="I16" s="209" t="s">
        <v>460</v>
      </c>
      <c r="J16" s="209" t="s">
        <v>461</v>
      </c>
      <c r="K16" s="211" t="s">
        <v>462</v>
      </c>
      <c r="L16" s="211" t="s">
        <v>462</v>
      </c>
      <c r="M16" s="211" t="s">
        <v>463</v>
      </c>
      <c r="N16" s="185" t="s">
        <v>464</v>
      </c>
      <c r="Q16" s="186"/>
    </row>
    <row r="17" spans="1:37" ht="12.75" hidden="1">
      <c r="A17" s="165">
        <v>1</v>
      </c>
      <c r="B17" s="342" t="s">
        <v>465</v>
      </c>
      <c r="C17" s="171">
        <v>3298951</v>
      </c>
      <c r="D17" s="171">
        <v>963839</v>
      </c>
      <c r="E17" s="171">
        <v>348748</v>
      </c>
      <c r="F17" s="171">
        <v>807047</v>
      </c>
      <c r="G17" s="171">
        <v>1220170</v>
      </c>
      <c r="H17" s="171">
        <f>C17-D17-E17-F17-G17</f>
        <v>-40853</v>
      </c>
      <c r="I17" s="171">
        <f>F17</f>
        <v>807047</v>
      </c>
      <c r="J17" s="171">
        <f>H17+I17</f>
        <v>766194</v>
      </c>
      <c r="K17" s="171"/>
      <c r="L17" s="186">
        <v>628460</v>
      </c>
      <c r="N17" s="186">
        <f>J17-L17</f>
        <v>137734</v>
      </c>
      <c r="S17" s="171"/>
      <c r="U17" s="171"/>
      <c r="W17" s="171"/>
      <c r="Y17" s="171"/>
      <c r="AA17" s="171"/>
      <c r="AC17" s="171"/>
      <c r="AE17" s="171"/>
      <c r="AG17" s="171"/>
      <c r="AK17" s="171"/>
    </row>
    <row r="18" ht="12.75" hidden="1">
      <c r="A18" s="165">
        <v>3</v>
      </c>
    </row>
    <row r="19" spans="1:37" ht="12.75" hidden="1">
      <c r="A19" s="165">
        <v>4</v>
      </c>
      <c r="B19" s="342" t="s">
        <v>466</v>
      </c>
      <c r="C19" s="171">
        <v>217534</v>
      </c>
      <c r="D19" s="171">
        <v>40331</v>
      </c>
      <c r="E19" s="171">
        <v>51130</v>
      </c>
      <c r="F19" s="171">
        <v>36511</v>
      </c>
      <c r="G19" s="171">
        <v>81883</v>
      </c>
      <c r="H19" s="171">
        <f>C19-D19-E19-F19-G19</f>
        <v>7679</v>
      </c>
      <c r="I19" s="171">
        <f>F19+10010</f>
        <v>46521</v>
      </c>
      <c r="J19" s="171">
        <f>H19+I19</f>
        <v>54200</v>
      </c>
      <c r="K19" s="171"/>
      <c r="L19" s="186">
        <v>6937</v>
      </c>
      <c r="N19" s="186">
        <f>J19-L19-M19</f>
        <v>47263</v>
      </c>
      <c r="S19" s="171"/>
      <c r="U19" s="171"/>
      <c r="W19" s="171"/>
      <c r="Y19" s="171"/>
      <c r="AA19" s="171"/>
      <c r="AC19" s="171"/>
      <c r="AE19" s="171"/>
      <c r="AG19" s="171"/>
      <c r="AK19" s="171"/>
    </row>
    <row r="20" spans="1:37" ht="12.75" hidden="1">
      <c r="A20" s="165">
        <v>5</v>
      </c>
      <c r="B20" s="342" t="s">
        <v>467</v>
      </c>
      <c r="C20" s="171">
        <v>189542</v>
      </c>
      <c r="D20" s="171">
        <f>9898+39449</f>
        <v>49347</v>
      </c>
      <c r="E20" s="171">
        <v>25195</v>
      </c>
      <c r="F20" s="171">
        <v>39083</v>
      </c>
      <c r="G20" s="171">
        <v>98889</v>
      </c>
      <c r="H20" s="171">
        <f>C20-D20-E20-F20-G20</f>
        <v>-22972</v>
      </c>
      <c r="I20" s="171">
        <f>F20+3503</f>
        <v>42586</v>
      </c>
      <c r="J20" s="171">
        <f>H20+I20</f>
        <v>19614</v>
      </c>
      <c r="K20" s="171"/>
      <c r="L20" s="186">
        <v>914</v>
      </c>
      <c r="N20" s="186">
        <f>J20-L20-M20</f>
        <v>18700</v>
      </c>
      <c r="S20" s="171"/>
      <c r="U20" s="171"/>
      <c r="W20" s="171"/>
      <c r="Y20" s="171"/>
      <c r="AA20" s="171"/>
      <c r="AC20" s="171"/>
      <c r="AE20" s="171"/>
      <c r="AG20" s="171"/>
      <c r="AK20" s="171"/>
    </row>
    <row r="21" spans="1:37" ht="12.75" hidden="1">
      <c r="A21" s="165">
        <v>6</v>
      </c>
      <c r="B21" s="342" t="s">
        <v>468</v>
      </c>
      <c r="C21" s="171">
        <v>341863</v>
      </c>
      <c r="D21" s="171">
        <v>76460</v>
      </c>
      <c r="E21" s="171">
        <f>89272+93471</f>
        <v>182743</v>
      </c>
      <c r="F21" s="171">
        <v>41237</v>
      </c>
      <c r="G21" s="171">
        <v>105740</v>
      </c>
      <c r="H21" s="171">
        <f>C21-D21-E21-F21-G21</f>
        <v>-64317</v>
      </c>
      <c r="I21" s="171">
        <f>F21+44210+8994</f>
        <v>94441</v>
      </c>
      <c r="J21" s="171">
        <f>H21+I21</f>
        <v>30124</v>
      </c>
      <c r="K21" s="171"/>
      <c r="L21" s="186">
        <v>73</v>
      </c>
      <c r="N21" s="186">
        <f>J21-L21-M21</f>
        <v>30051</v>
      </c>
      <c r="S21" s="171"/>
      <c r="U21" s="171"/>
      <c r="W21" s="171"/>
      <c r="Y21" s="171"/>
      <c r="AA21" s="171"/>
      <c r="AC21" s="171"/>
      <c r="AE21" s="171"/>
      <c r="AG21" s="171"/>
      <c r="AK21" s="171"/>
    </row>
    <row r="22" spans="1:37" ht="12.75" hidden="1">
      <c r="A22" s="165">
        <v>7</v>
      </c>
      <c r="B22" s="342" t="s">
        <v>469</v>
      </c>
      <c r="C22" s="171">
        <v>502589</v>
      </c>
      <c r="D22" s="171">
        <f>43497+49493</f>
        <v>92990</v>
      </c>
      <c r="E22" s="171">
        <f>205636+63989</f>
        <v>269625</v>
      </c>
      <c r="F22" s="171">
        <v>42870</v>
      </c>
      <c r="G22" s="171">
        <v>118861</v>
      </c>
      <c r="H22" s="171">
        <f>C22-D22-E22-F22-G22</f>
        <v>-21757</v>
      </c>
      <c r="I22" s="171">
        <f>F22+6071</f>
        <v>48941</v>
      </c>
      <c r="J22" s="171">
        <f>H22+I22</f>
        <v>27184</v>
      </c>
      <c r="K22" s="171"/>
      <c r="L22" s="186">
        <f>1650+2760</f>
        <v>4410</v>
      </c>
      <c r="N22" s="186">
        <f>J22-L22-M22</f>
        <v>22774</v>
      </c>
      <c r="S22" s="171"/>
      <c r="U22" s="171"/>
      <c r="W22" s="171"/>
      <c r="Y22" s="171"/>
      <c r="AA22" s="171"/>
      <c r="AC22" s="171"/>
      <c r="AE22" s="171"/>
      <c r="AG22" s="171"/>
      <c r="AH22" s="170"/>
      <c r="AK22" s="171"/>
    </row>
    <row r="23" spans="1:37" ht="12.75" hidden="1">
      <c r="A23" s="165">
        <v>8</v>
      </c>
      <c r="B23" s="342" t="s">
        <v>470</v>
      </c>
      <c r="C23" s="171">
        <v>1067604</v>
      </c>
      <c r="D23" s="171">
        <f>61354+55494-1418</f>
        <v>115430</v>
      </c>
      <c r="E23" s="171">
        <f>135662+381409+428371</f>
        <v>945442</v>
      </c>
      <c r="F23" s="171">
        <f>47937+1418</f>
        <v>49355</v>
      </c>
      <c r="G23" s="171">
        <v>145610</v>
      </c>
      <c r="H23" s="171">
        <f>C23-D23-E23-F23-G23</f>
        <v>-188233</v>
      </c>
      <c r="I23" s="171">
        <f>F23+6072</f>
        <v>55427</v>
      </c>
      <c r="J23" s="171">
        <f>H23+I23</f>
        <v>-132806</v>
      </c>
      <c r="K23" s="171"/>
      <c r="L23" s="186">
        <v>0</v>
      </c>
      <c r="N23" s="186">
        <f>J23-L23-M23</f>
        <v>-132806</v>
      </c>
      <c r="P23" s="186"/>
      <c r="S23" s="171"/>
      <c r="U23" s="171"/>
      <c r="W23" s="171"/>
      <c r="Y23" s="171"/>
      <c r="AA23" s="171"/>
      <c r="AC23" s="171"/>
      <c r="AE23" s="171"/>
      <c r="AG23" s="171"/>
      <c r="AH23" s="169"/>
      <c r="AK23" s="171"/>
    </row>
    <row r="24" spans="1:37" ht="12.75" hidden="1">
      <c r="A24" s="165">
        <v>9</v>
      </c>
      <c r="B24" s="342"/>
      <c r="C24" s="171"/>
      <c r="D24" s="171"/>
      <c r="E24" s="171"/>
      <c r="F24" s="171"/>
      <c r="G24" s="171"/>
      <c r="H24" s="171"/>
      <c r="I24" s="171"/>
      <c r="J24" s="171"/>
      <c r="K24" s="171"/>
      <c r="L24" s="186"/>
      <c r="N24" s="186"/>
      <c r="P24" s="186"/>
      <c r="S24" s="171"/>
      <c r="U24" s="171"/>
      <c r="W24" s="171"/>
      <c r="Y24" s="171"/>
      <c r="AA24" s="171"/>
      <c r="AC24" s="171"/>
      <c r="AE24" s="171"/>
      <c r="AG24" s="171"/>
      <c r="AH24" s="169"/>
      <c r="AK24" s="171"/>
    </row>
    <row r="25" spans="1:37" ht="12.75" hidden="1">
      <c r="A25" s="165">
        <v>10</v>
      </c>
      <c r="B25" s="342" t="s">
        <v>471</v>
      </c>
      <c r="C25" s="171">
        <f>1549866-64125</f>
        <v>1485741</v>
      </c>
      <c r="D25" s="171">
        <f>55616+64508-5164</f>
        <v>114960</v>
      </c>
      <c r="E25" s="171">
        <f>73334+633007+549469</f>
        <v>1255810</v>
      </c>
      <c r="F25" s="171">
        <f>52803+5164</f>
        <v>57967</v>
      </c>
      <c r="G25" s="171">
        <v>153763</v>
      </c>
      <c r="H25" s="171">
        <f>C25-D25-E25-F25-G25</f>
        <v>-96759</v>
      </c>
      <c r="I25" s="171">
        <f>F25+6072</f>
        <v>64039</v>
      </c>
      <c r="J25" s="171">
        <f>H25+I25</f>
        <v>-32720</v>
      </c>
      <c r="K25" s="171"/>
      <c r="L25" s="186">
        <v>0</v>
      </c>
      <c r="N25" s="186">
        <f>J25-L25-M25</f>
        <v>-32720</v>
      </c>
      <c r="S25" s="171"/>
      <c r="U25" s="171"/>
      <c r="W25" s="171"/>
      <c r="Y25" s="171"/>
      <c r="AA25" s="171"/>
      <c r="AC25" s="171"/>
      <c r="AE25" s="171"/>
      <c r="AG25" s="171"/>
      <c r="AH25" s="169"/>
      <c r="AK25" s="171"/>
    </row>
    <row r="26" spans="1:37" ht="12.75" hidden="1">
      <c r="A26" s="165">
        <v>11</v>
      </c>
      <c r="B26" s="342" t="s">
        <v>472</v>
      </c>
      <c r="C26" s="171">
        <v>2248654</v>
      </c>
      <c r="D26" s="171">
        <v>146870</v>
      </c>
      <c r="E26" s="171">
        <v>1898859</v>
      </c>
      <c r="F26" s="171">
        <f>54008+13636</f>
        <v>67644</v>
      </c>
      <c r="G26" s="171">
        <v>170942</v>
      </c>
      <c r="H26" s="171">
        <f>C26-D26-E26-F26-G26</f>
        <v>-35661</v>
      </c>
      <c r="I26" s="171">
        <f>F26+189738</f>
        <v>257382</v>
      </c>
      <c r="J26" s="171">
        <f>H26+I26</f>
        <v>221721</v>
      </c>
      <c r="K26" s="171"/>
      <c r="L26" s="186">
        <f>1342+190952</f>
        <v>192294</v>
      </c>
      <c r="N26" s="186">
        <f>J26-L26-M26</f>
        <v>29427</v>
      </c>
      <c r="S26" s="171"/>
      <c r="U26" s="171"/>
      <c r="W26" s="171"/>
      <c r="Y26" s="171"/>
      <c r="AA26" s="171"/>
      <c r="AC26" s="171"/>
      <c r="AE26" s="171"/>
      <c r="AG26" s="171"/>
      <c r="AH26" s="170"/>
      <c r="AK26" s="171"/>
    </row>
    <row r="27" spans="1:37" ht="12.75" hidden="1">
      <c r="A27" s="165">
        <v>12</v>
      </c>
      <c r="B27" s="342" t="s">
        <v>473</v>
      </c>
      <c r="C27" s="171">
        <v>2371829</v>
      </c>
      <c r="D27" s="171">
        <f>74671+44018+14627+4348</f>
        <v>137664</v>
      </c>
      <c r="E27" s="171">
        <f>51079+51816+206272+357843+206239+16166+1008762+1</f>
        <v>1898178</v>
      </c>
      <c r="F27" s="171">
        <f>57987+17724</f>
        <v>75711</v>
      </c>
      <c r="G27" s="171">
        <v>173888</v>
      </c>
      <c r="H27" s="171">
        <f>C27-D27-E27-F27-G27</f>
        <v>86388</v>
      </c>
      <c r="I27" s="171">
        <f>F27</f>
        <v>75711</v>
      </c>
      <c r="J27" s="171">
        <f>H27+I27</f>
        <v>162099</v>
      </c>
      <c r="K27" s="171"/>
      <c r="L27" s="186">
        <v>37354</v>
      </c>
      <c r="N27" s="186">
        <f>J27-L27-M27</f>
        <v>124745</v>
      </c>
      <c r="S27" s="171"/>
      <c r="U27" s="171"/>
      <c r="W27" s="171"/>
      <c r="Y27" s="171"/>
      <c r="AA27" s="171"/>
      <c r="AC27" s="171"/>
      <c r="AE27" s="171"/>
      <c r="AG27" s="171"/>
      <c r="AK27" s="171"/>
    </row>
    <row r="28" spans="1:37" ht="12.75" hidden="1">
      <c r="A28" s="165">
        <v>13</v>
      </c>
      <c r="B28" s="342" t="s">
        <v>474</v>
      </c>
      <c r="C28" s="171">
        <v>2179326</v>
      </c>
      <c r="D28" s="171">
        <f>76520+41909+13847+3356</f>
        <v>135632</v>
      </c>
      <c r="E28" s="171">
        <f>37500+54116+199046+375937+176102+6074+1046379-1</f>
        <v>1895153</v>
      </c>
      <c r="F28" s="171">
        <f>60548+23614</f>
        <v>84162</v>
      </c>
      <c r="G28" s="171">
        <v>175257</v>
      </c>
      <c r="H28" s="171">
        <f>C28-D28-E28-F28-G28</f>
        <v>-110878</v>
      </c>
      <c r="I28" s="171">
        <f>F28</f>
        <v>84162</v>
      </c>
      <c r="J28" s="171">
        <f>H28+I28</f>
        <v>-26716</v>
      </c>
      <c r="K28" s="171"/>
      <c r="L28" s="186">
        <v>10587</v>
      </c>
      <c r="N28" s="186">
        <f>J28-L28-M28</f>
        <v>-37303</v>
      </c>
      <c r="S28" s="171"/>
      <c r="U28" s="171"/>
      <c r="W28" s="171"/>
      <c r="Y28" s="171"/>
      <c r="AA28" s="171"/>
      <c r="AC28" s="171"/>
      <c r="AE28" s="171"/>
      <c r="AG28" s="171"/>
      <c r="AK28" s="171"/>
    </row>
    <row r="29" spans="1:37" ht="12.75" hidden="1">
      <c r="A29" s="165">
        <v>14</v>
      </c>
      <c r="B29" s="342" t="s">
        <v>475</v>
      </c>
      <c r="C29" s="171">
        <f>1217315+796725</f>
        <v>2014040</v>
      </c>
      <c r="D29" s="171">
        <f>149231+4953</f>
        <v>154184</v>
      </c>
      <c r="E29" s="171">
        <f>17100+56538+199668+346352+183669+9428+1013956</f>
        <v>1826711</v>
      </c>
      <c r="F29" s="171">
        <f>63134+28418</f>
        <v>91552</v>
      </c>
      <c r="G29" s="171">
        <v>199448</v>
      </c>
      <c r="H29" s="171">
        <f>C29-D29-E29-F29-G29</f>
        <v>-257855</v>
      </c>
      <c r="I29" s="171">
        <f>F29</f>
        <v>91552</v>
      </c>
      <c r="J29" s="171">
        <f>H29+I29</f>
        <v>-166303</v>
      </c>
      <c r="K29" s="171"/>
      <c r="L29" s="186">
        <v>2471</v>
      </c>
      <c r="N29" s="186">
        <f>J29-L29-M29</f>
        <v>-168774</v>
      </c>
      <c r="S29" s="171"/>
      <c r="U29" s="171"/>
      <c r="W29" s="171"/>
      <c r="Y29" s="171"/>
      <c r="AA29" s="171"/>
      <c r="AC29" s="171"/>
      <c r="AE29" s="171"/>
      <c r="AG29" s="171"/>
      <c r="AK29" s="171"/>
    </row>
    <row r="30" ht="12.75" hidden="1">
      <c r="A30" s="165">
        <v>15</v>
      </c>
    </row>
    <row r="31" spans="1:37" ht="12.75" hidden="1">
      <c r="A31" s="165">
        <v>16</v>
      </c>
      <c r="B31" s="342" t="s">
        <v>476</v>
      </c>
      <c r="C31" s="171">
        <f>1541742+761737</f>
        <v>2303479</v>
      </c>
      <c r="D31" s="171">
        <v>183326</v>
      </c>
      <c r="E31" s="171">
        <v>1796029</v>
      </c>
      <c r="F31" s="171">
        <v>98288</v>
      </c>
      <c r="G31" s="171">
        <v>204416</v>
      </c>
      <c r="H31" s="171">
        <f>C31-D31-E31-F31-G31</f>
        <v>21420</v>
      </c>
      <c r="I31" s="171">
        <f>F31</f>
        <v>98288</v>
      </c>
      <c r="J31" s="171">
        <f>H31+I31</f>
        <v>119708</v>
      </c>
      <c r="K31" s="171"/>
      <c r="L31" s="186">
        <v>149778</v>
      </c>
      <c r="N31" s="186">
        <f>J31-L31-M31</f>
        <v>-30070</v>
      </c>
      <c r="S31" s="171"/>
      <c r="U31" s="171"/>
      <c r="W31" s="171"/>
      <c r="Y31" s="171"/>
      <c r="AA31" s="171"/>
      <c r="AC31" s="171"/>
      <c r="AE31" s="171"/>
      <c r="AG31" s="171"/>
      <c r="AK31" s="171"/>
    </row>
    <row r="32" spans="1:37" ht="12.75" hidden="1">
      <c r="A32" s="165">
        <v>17</v>
      </c>
      <c r="B32" s="342" t="s">
        <v>477</v>
      </c>
      <c r="C32" s="171">
        <v>2273508</v>
      </c>
      <c r="D32" s="171">
        <v>173694</v>
      </c>
      <c r="E32" s="171">
        <v>1760205</v>
      </c>
      <c r="F32" s="171">
        <v>100104</v>
      </c>
      <c r="G32" s="171">
        <v>189446</v>
      </c>
      <c r="H32" s="171">
        <f>C32-D32-E32-F32-G32</f>
        <v>50059</v>
      </c>
      <c r="I32" s="171">
        <f>F32</f>
        <v>100104</v>
      </c>
      <c r="J32" s="171">
        <f>H32+I32</f>
        <v>150163</v>
      </c>
      <c r="K32" s="171"/>
      <c r="L32" s="186">
        <v>32875</v>
      </c>
      <c r="N32" s="186">
        <f>J32-L32-M32</f>
        <v>117288</v>
      </c>
      <c r="S32" s="171"/>
      <c r="U32" s="171"/>
      <c r="W32" s="171"/>
      <c r="Y32" s="171"/>
      <c r="AA32" s="171"/>
      <c r="AC32" s="171"/>
      <c r="AE32" s="171"/>
      <c r="AG32" s="171"/>
      <c r="AK32" s="171"/>
    </row>
    <row r="33" spans="1:37" ht="12.75" hidden="1">
      <c r="A33" s="165">
        <v>18</v>
      </c>
      <c r="B33" s="342" t="s">
        <v>478</v>
      </c>
      <c r="C33" s="171">
        <v>2315035</v>
      </c>
      <c r="D33" s="171">
        <v>198721</v>
      </c>
      <c r="E33" s="171">
        <v>1527829</v>
      </c>
      <c r="F33" s="171">
        <v>105338</v>
      </c>
      <c r="G33" s="171">
        <v>197462</v>
      </c>
      <c r="H33" s="171">
        <f>C33-D33-E33-F33-G33</f>
        <v>285685</v>
      </c>
      <c r="I33" s="171">
        <f>F33</f>
        <v>105338</v>
      </c>
      <c r="J33" s="171">
        <f>H33+I33</f>
        <v>391023</v>
      </c>
      <c r="K33" s="171"/>
      <c r="L33" s="186">
        <v>63336</v>
      </c>
      <c r="N33" s="186">
        <f>J33-L33-M33</f>
        <v>327687</v>
      </c>
      <c r="S33" s="171"/>
      <c r="U33" s="171"/>
      <c r="W33" s="171"/>
      <c r="Y33" s="171"/>
      <c r="AA33" s="171"/>
      <c r="AC33" s="171"/>
      <c r="AE33" s="171"/>
      <c r="AG33" s="171"/>
      <c r="AK33" s="171"/>
    </row>
    <row r="34" spans="1:37" ht="12.75" hidden="1">
      <c r="A34" s="165">
        <v>19</v>
      </c>
      <c r="B34" s="342" t="s">
        <v>479</v>
      </c>
      <c r="C34" s="171">
        <v>2482482</v>
      </c>
      <c r="D34" s="171">
        <v>216777</v>
      </c>
      <c r="E34" s="171">
        <v>1572046</v>
      </c>
      <c r="F34" s="171">
        <v>103047</v>
      </c>
      <c r="G34" s="171">
        <v>167559</v>
      </c>
      <c r="H34" s="171">
        <f>C34-D34-E34-F34-G34</f>
        <v>423053</v>
      </c>
      <c r="I34" s="171">
        <f>F34</f>
        <v>103047</v>
      </c>
      <c r="J34" s="171">
        <f>H34+I34</f>
        <v>526100</v>
      </c>
      <c r="K34" s="171"/>
      <c r="L34" s="186">
        <v>114583</v>
      </c>
      <c r="N34" s="186">
        <f>J34-L34-M34</f>
        <v>411517</v>
      </c>
      <c r="S34" s="171"/>
      <c r="U34" s="171"/>
      <c r="W34" s="171"/>
      <c r="Y34" s="171"/>
      <c r="AA34" s="171"/>
      <c r="AC34" s="171"/>
      <c r="AE34" s="171"/>
      <c r="AG34" s="171"/>
      <c r="AK34" s="171"/>
    </row>
    <row r="35" spans="1:37" ht="12.75" hidden="1">
      <c r="A35" s="165">
        <v>20</v>
      </c>
      <c r="B35" s="342" t="s">
        <v>480</v>
      </c>
      <c r="C35" s="171">
        <v>2142645</v>
      </c>
      <c r="D35" s="171">
        <v>287360</v>
      </c>
      <c r="E35" s="171">
        <v>1821930</v>
      </c>
      <c r="F35" s="171">
        <v>110403</v>
      </c>
      <c r="G35" s="171">
        <v>169711</v>
      </c>
      <c r="H35" s="171">
        <f>C35-D35-E35-F35-G35</f>
        <v>-246759</v>
      </c>
      <c r="I35" s="171">
        <f>F35</f>
        <v>110403</v>
      </c>
      <c r="J35" s="171">
        <f>H35+I35</f>
        <v>-136356</v>
      </c>
      <c r="K35" s="171"/>
      <c r="L35" s="186">
        <v>57543</v>
      </c>
      <c r="N35" s="186">
        <f>J35-L35-M35</f>
        <v>-193899</v>
      </c>
      <c r="S35" s="171"/>
      <c r="U35" s="171"/>
      <c r="W35" s="171"/>
      <c r="Y35" s="171"/>
      <c r="AA35" s="171"/>
      <c r="AC35" s="171"/>
      <c r="AE35" s="171"/>
      <c r="AG35" s="171"/>
      <c r="AK35" s="171"/>
    </row>
    <row r="36" spans="1:37" ht="12.75" hidden="1">
      <c r="A36" s="165">
        <v>21</v>
      </c>
      <c r="B36" s="342"/>
      <c r="C36" s="171"/>
      <c r="D36" s="171"/>
      <c r="E36" s="171"/>
      <c r="F36" s="171"/>
      <c r="G36" s="171"/>
      <c r="H36" s="171"/>
      <c r="I36" s="171"/>
      <c r="J36" s="171"/>
      <c r="K36" s="171"/>
      <c r="L36" s="186"/>
      <c r="N36" s="186"/>
      <c r="S36" s="171"/>
      <c r="U36" s="171"/>
      <c r="W36" s="171"/>
      <c r="Y36" s="171"/>
      <c r="AA36" s="171"/>
      <c r="AC36" s="171"/>
      <c r="AE36" s="171"/>
      <c r="AG36" s="171"/>
      <c r="AK36" s="171"/>
    </row>
    <row r="37" spans="1:37" ht="12.75" hidden="1">
      <c r="A37" s="165">
        <v>22</v>
      </c>
      <c r="B37" s="342" t="s">
        <v>481</v>
      </c>
      <c r="C37" s="171">
        <v>2233989</v>
      </c>
      <c r="D37" s="171">
        <v>309915</v>
      </c>
      <c r="E37" s="171">
        <v>1868863</v>
      </c>
      <c r="F37" s="172">
        <v>118143</v>
      </c>
      <c r="G37" s="171">
        <v>186455</v>
      </c>
      <c r="H37" s="171">
        <f>C37-D37-E37-F37-G37</f>
        <v>-249387</v>
      </c>
      <c r="I37" s="171">
        <f>F37</f>
        <v>118143</v>
      </c>
      <c r="J37" s="171">
        <f>H37+I37</f>
        <v>-131244</v>
      </c>
      <c r="K37" s="171"/>
      <c r="L37" s="186">
        <v>117974</v>
      </c>
      <c r="N37" s="186">
        <f>J37-L37-M37</f>
        <v>-249218</v>
      </c>
      <c r="S37" s="171"/>
      <c r="U37" s="171"/>
      <c r="W37" s="171"/>
      <c r="Y37" s="171"/>
      <c r="AA37" s="171"/>
      <c r="AC37" s="171"/>
      <c r="AE37" s="171"/>
      <c r="AG37" s="171"/>
      <c r="AK37" s="171"/>
    </row>
    <row r="38" spans="1:37" ht="12.75" hidden="1">
      <c r="A38" s="165">
        <v>23</v>
      </c>
      <c r="B38" s="173">
        <v>1994</v>
      </c>
      <c r="C38" s="174">
        <v>2536059</v>
      </c>
      <c r="D38" s="171">
        <v>316352</v>
      </c>
      <c r="E38" s="171">
        <v>1934944</v>
      </c>
      <c r="F38" s="172">
        <v>125396</v>
      </c>
      <c r="G38" s="171">
        <v>197222</v>
      </c>
      <c r="H38" s="171">
        <f>C38-D38-E38-F38-G38</f>
        <v>-37855</v>
      </c>
      <c r="I38" s="171">
        <f>F38</f>
        <v>125396</v>
      </c>
      <c r="J38" s="171">
        <f>H38+I38</f>
        <v>87541</v>
      </c>
      <c r="K38" s="171"/>
      <c r="L38" s="186">
        <v>135018</v>
      </c>
      <c r="N38" s="186">
        <f>J38-L38-M38</f>
        <v>-47477</v>
      </c>
      <c r="S38" s="171"/>
      <c r="U38" s="171"/>
      <c r="W38" s="171"/>
      <c r="Y38" s="171"/>
      <c r="AA38" s="171"/>
      <c r="AC38" s="171"/>
      <c r="AE38" s="171"/>
      <c r="AG38" s="171"/>
      <c r="AK38" s="171"/>
    </row>
    <row r="39" spans="1:37" ht="12.75" hidden="1">
      <c r="A39" s="165">
        <v>24</v>
      </c>
      <c r="B39" s="173">
        <v>1995</v>
      </c>
      <c r="C39" s="174">
        <v>2704285</v>
      </c>
      <c r="D39" s="171">
        <v>327420</v>
      </c>
      <c r="E39" s="171">
        <v>1915529</v>
      </c>
      <c r="F39" s="172">
        <v>141798</v>
      </c>
      <c r="G39" s="171">
        <v>215850</v>
      </c>
      <c r="H39" s="171">
        <f>C39-D39-E39-F39-G39</f>
        <v>103688</v>
      </c>
      <c r="I39" s="171">
        <f>F39</f>
        <v>141798</v>
      </c>
      <c r="J39" s="171">
        <f>H39+I39</f>
        <v>245486</v>
      </c>
      <c r="K39" s="171"/>
      <c r="L39" s="186">
        <v>196544</v>
      </c>
      <c r="N39" s="186">
        <f>J39-L39-M39</f>
        <v>48942</v>
      </c>
      <c r="S39" s="171"/>
      <c r="U39" s="171"/>
      <c r="W39" s="171"/>
      <c r="Y39" s="171"/>
      <c r="AA39" s="171"/>
      <c r="AC39" s="171"/>
      <c r="AE39" s="171"/>
      <c r="AG39" s="171"/>
      <c r="AK39" s="171"/>
    </row>
    <row r="40" spans="1:37" ht="12.75" hidden="1">
      <c r="A40" s="165">
        <v>25</v>
      </c>
      <c r="B40" s="173">
        <v>1996</v>
      </c>
      <c r="C40" s="171">
        <f>1893145+851365</f>
        <v>2744510</v>
      </c>
      <c r="D40" s="171">
        <v>366808</v>
      </c>
      <c r="E40" s="171">
        <v>1959406</v>
      </c>
      <c r="F40" s="171">
        <v>151122</v>
      </c>
      <c r="G40" s="171">
        <v>208509</v>
      </c>
      <c r="H40" s="171">
        <f>C40-D40-E40-F40-G40</f>
        <v>58665</v>
      </c>
      <c r="I40" s="171">
        <f>F40+2902</f>
        <v>154024</v>
      </c>
      <c r="J40" s="171">
        <f>H40+I40-15000</f>
        <v>197689</v>
      </c>
      <c r="K40" s="171"/>
      <c r="L40" s="186">
        <v>135010</v>
      </c>
      <c r="M40" s="186"/>
      <c r="N40" s="186">
        <f>J40-L40-M40</f>
        <v>62679</v>
      </c>
      <c r="S40" s="171"/>
      <c r="U40" s="171"/>
      <c r="W40" s="171"/>
      <c r="Y40" s="171"/>
      <c r="AA40" s="171"/>
      <c r="AC40" s="171"/>
      <c r="AE40" s="171"/>
      <c r="AF40" s="169"/>
      <c r="AG40" s="171"/>
      <c r="AK40" s="171"/>
    </row>
    <row r="41" spans="1:14" ht="12.75" hidden="1">
      <c r="A41" s="165">
        <v>26</v>
      </c>
      <c r="B41" s="173">
        <v>1997</v>
      </c>
      <c r="C41" s="171">
        <f>1996003+436</f>
        <v>1996439</v>
      </c>
      <c r="D41" s="166">
        <f>403212+209749</f>
        <v>612961</v>
      </c>
      <c r="E41" s="166">
        <v>924789</v>
      </c>
      <c r="F41" s="166">
        <f>76910+71305</f>
        <v>148215</v>
      </c>
      <c r="G41" s="166">
        <v>197238</v>
      </c>
      <c r="H41" s="171">
        <f>C41-D41-E41-F41-G41</f>
        <v>113236</v>
      </c>
      <c r="I41" s="171">
        <f>F41-43583+1324</f>
        <v>105956</v>
      </c>
      <c r="J41" s="171">
        <f>H41+I41</f>
        <v>219192</v>
      </c>
      <c r="K41" s="171"/>
      <c r="L41" s="181">
        <f>108114-M41</f>
        <v>82971</v>
      </c>
      <c r="M41" s="186">
        <v>25143</v>
      </c>
      <c r="N41" s="186">
        <f>J41-L41-M41</f>
        <v>111078</v>
      </c>
    </row>
    <row r="42" spans="1:15" ht="12.75" hidden="1">
      <c r="A42" s="165">
        <v>27</v>
      </c>
      <c r="B42" s="175"/>
      <c r="O42" s="187"/>
    </row>
    <row r="43" spans="1:15" ht="12.75" hidden="1">
      <c r="A43" s="165">
        <v>28</v>
      </c>
      <c r="B43" s="173">
        <v>1998</v>
      </c>
      <c r="C43" s="166">
        <f>2056052+4698</f>
        <v>2060750</v>
      </c>
      <c r="D43" s="166">
        <f>420912+244093</f>
        <v>665005</v>
      </c>
      <c r="E43" s="166">
        <v>1091678</v>
      </c>
      <c r="F43" s="166">
        <v>162562</v>
      </c>
      <c r="G43" s="166">
        <f>201930</f>
        <v>201930</v>
      </c>
      <c r="H43" s="171">
        <f>C43-D43-E43-F43-G43</f>
        <v>-60425</v>
      </c>
      <c r="I43" s="171">
        <f>F43-44122+452</f>
        <v>118892</v>
      </c>
      <c r="J43" s="171">
        <f>H43+I43+20000-1655</f>
        <v>76812</v>
      </c>
      <c r="K43" s="171"/>
      <c r="L43" s="181">
        <v>61000</v>
      </c>
      <c r="N43" s="186">
        <f>J43-L43-M43</f>
        <v>15812</v>
      </c>
      <c r="O43" s="185"/>
    </row>
    <row r="44" spans="1:15" ht="12.75" hidden="1">
      <c r="A44" s="165">
        <v>29</v>
      </c>
      <c r="B44" s="173">
        <v>1999</v>
      </c>
      <c r="C44" s="166">
        <v>2366423</v>
      </c>
      <c r="D44" s="166">
        <f>443669+259048</f>
        <v>702717</v>
      </c>
      <c r="E44" s="166">
        <v>1196308</v>
      </c>
      <c r="F44" s="166">
        <v>162008</v>
      </c>
      <c r="G44" s="166">
        <v>182079</v>
      </c>
      <c r="H44" s="171">
        <f>C44-D44-E44-F44-G44</f>
        <v>123311</v>
      </c>
      <c r="I44" s="171">
        <f>F44-44122+1065</f>
        <v>118951</v>
      </c>
      <c r="J44" s="171">
        <f>H44+I44+74000-5179</f>
        <v>311083</v>
      </c>
      <c r="K44" s="171"/>
      <c r="L44" s="181">
        <v>25000</v>
      </c>
      <c r="N44" s="186">
        <f>J44-L44-M44</f>
        <v>286083</v>
      </c>
      <c r="O44" s="185"/>
    </row>
    <row r="45" spans="1:37" ht="12.75" hidden="1">
      <c r="A45" s="165">
        <v>30</v>
      </c>
      <c r="B45" s="173">
        <v>2000</v>
      </c>
      <c r="C45" s="166">
        <v>2720940</v>
      </c>
      <c r="D45" s="166">
        <v>723377</v>
      </c>
      <c r="E45" s="166">
        <v>1410029</v>
      </c>
      <c r="F45" s="166">
        <v>165874</v>
      </c>
      <c r="G45" s="166">
        <v>169320</v>
      </c>
      <c r="H45" s="171">
        <f>C45-D45-E45-F45-G45</f>
        <v>252340</v>
      </c>
      <c r="I45" s="171">
        <f>F45-47755+1065</f>
        <v>119184</v>
      </c>
      <c r="J45" s="171">
        <f>H45+I45-5179</f>
        <v>366345</v>
      </c>
      <c r="K45" s="171"/>
      <c r="L45" s="181">
        <v>175338</v>
      </c>
      <c r="M45" s="186"/>
      <c r="N45" s="186">
        <f>J45-L45-M45</f>
        <v>191007</v>
      </c>
      <c r="S45" s="171"/>
      <c r="U45" s="171"/>
      <c r="W45" s="171"/>
      <c r="Y45" s="171"/>
      <c r="AA45" s="171"/>
      <c r="AC45" s="171"/>
      <c r="AE45" s="171"/>
      <c r="AF45" s="169"/>
      <c r="AG45" s="171"/>
      <c r="AI45" s="171"/>
      <c r="AK45" s="171"/>
    </row>
    <row r="46" spans="1:37" ht="12.75" hidden="1">
      <c r="A46" s="165">
        <v>31</v>
      </c>
      <c r="B46" s="173">
        <v>2001</v>
      </c>
      <c r="C46" s="171">
        <v>3888051</v>
      </c>
      <c r="D46" s="171">
        <v>819270</v>
      </c>
      <c r="E46" s="171">
        <v>2945886</v>
      </c>
      <c r="F46" s="171">
        <v>168433</v>
      </c>
      <c r="G46" s="171">
        <v>166504</v>
      </c>
      <c r="H46" s="171">
        <f>C46-D46-E46-F46-G46</f>
        <v>-212042</v>
      </c>
      <c r="I46" s="171">
        <f>F46-47992+1065</f>
        <v>121506</v>
      </c>
      <c r="J46" s="171">
        <f>H46+I46-53056</f>
        <v>-143592</v>
      </c>
      <c r="K46" s="171"/>
      <c r="L46" s="186">
        <f>167622-M46</f>
        <v>151062</v>
      </c>
      <c r="M46" s="181">
        <v>16560</v>
      </c>
      <c r="N46" s="186">
        <f>J46-L46-M46</f>
        <v>-311214</v>
      </c>
      <c r="P46" s="186"/>
      <c r="Q46" s="186"/>
      <c r="S46" s="171"/>
      <c r="U46" s="171"/>
      <c r="W46" s="171"/>
      <c r="Y46" s="171"/>
      <c r="AA46" s="171"/>
      <c r="AC46" s="171"/>
      <c r="AE46" s="171"/>
      <c r="AF46" s="169"/>
      <c r="AG46" s="171"/>
      <c r="AI46" s="171"/>
      <c r="AK46" s="171"/>
    </row>
    <row r="47" spans="1:37" ht="13.5" customHeight="1" hidden="1">
      <c r="A47" s="165">
        <v>32</v>
      </c>
      <c r="B47" s="173">
        <f>B46+1</f>
        <v>2002</v>
      </c>
      <c r="C47" s="171">
        <v>3047803</v>
      </c>
      <c r="D47" s="171">
        <v>833606</v>
      </c>
      <c r="E47" s="171">
        <v>1925873</v>
      </c>
      <c r="F47" s="171">
        <v>174164</v>
      </c>
      <c r="G47" s="171">
        <v>201582</v>
      </c>
      <c r="H47" s="171">
        <f>C47-D47-E47-F47-G47</f>
        <v>-87422</v>
      </c>
      <c r="I47" s="171">
        <f>F47-47738+1065</f>
        <v>127491</v>
      </c>
      <c r="J47" s="171">
        <f>H47+I47-43483</f>
        <v>-3414</v>
      </c>
      <c r="K47" s="171"/>
      <c r="L47" s="186">
        <v>373345</v>
      </c>
      <c r="M47" s="186"/>
      <c r="N47" s="186">
        <f>J47-L47-M47</f>
        <v>-376759</v>
      </c>
      <c r="P47" s="186"/>
      <c r="Q47" s="186"/>
      <c r="S47" s="171"/>
      <c r="U47" s="171"/>
      <c r="W47" s="171"/>
      <c r="Y47" s="171"/>
      <c r="AA47" s="171"/>
      <c r="AC47" s="171"/>
      <c r="AE47" s="171"/>
      <c r="AG47" s="171"/>
      <c r="AI47" s="171"/>
      <c r="AK47" s="171"/>
    </row>
    <row r="48" spans="1:37" ht="12.75" hidden="1">
      <c r="A48" s="165">
        <v>4</v>
      </c>
      <c r="B48" s="173">
        <v>2003</v>
      </c>
      <c r="C48" s="171">
        <v>3144811</v>
      </c>
      <c r="D48" s="171">
        <v>705289</v>
      </c>
      <c r="E48" s="171">
        <v>1841035</v>
      </c>
      <c r="F48" s="171">
        <v>178896</v>
      </c>
      <c r="G48" s="171">
        <v>176595</v>
      </c>
      <c r="H48" s="171">
        <v>242996</v>
      </c>
      <c r="I48" s="171">
        <v>131592</v>
      </c>
      <c r="J48" s="171">
        <v>314144</v>
      </c>
      <c r="K48" s="171"/>
      <c r="L48" s="186">
        <v>73000</v>
      </c>
      <c r="M48" s="186"/>
      <c r="N48" s="186">
        <v>241144</v>
      </c>
      <c r="P48" s="186"/>
      <c r="Q48" s="186"/>
      <c r="S48" s="171"/>
      <c r="U48" s="171"/>
      <c r="W48" s="171"/>
      <c r="Y48" s="171"/>
      <c r="AA48" s="171"/>
      <c r="AC48" s="171"/>
      <c r="AE48" s="171"/>
      <c r="AG48" s="171"/>
      <c r="AI48" s="171"/>
      <c r="AK48" s="171"/>
    </row>
    <row r="49" spans="1:37" ht="12.75" hidden="1">
      <c r="A49" s="165">
        <v>5</v>
      </c>
      <c r="B49" s="173">
        <v>2004</v>
      </c>
      <c r="C49" s="171">
        <v>2738898</v>
      </c>
      <c r="D49" s="171">
        <v>713549</v>
      </c>
      <c r="E49" s="171">
        <v>1366265</v>
      </c>
      <c r="F49" s="171">
        <v>177298</v>
      </c>
      <c r="G49" s="171">
        <v>162531</v>
      </c>
      <c r="H49" s="171">
        <v>319255</v>
      </c>
      <c r="I49" s="171">
        <v>129789</v>
      </c>
      <c r="J49" s="171">
        <v>354413</v>
      </c>
      <c r="K49" s="171"/>
      <c r="L49" s="186">
        <v>233000</v>
      </c>
      <c r="M49" s="186">
        <v>739</v>
      </c>
      <c r="N49" s="186">
        <v>120674</v>
      </c>
      <c r="P49" s="186"/>
      <c r="Q49" s="186"/>
      <c r="S49" s="171"/>
      <c r="U49" s="171"/>
      <c r="W49" s="171"/>
      <c r="Y49" s="171"/>
      <c r="AA49" s="171"/>
      <c r="AC49" s="171"/>
      <c r="AE49" s="171"/>
      <c r="AG49" s="171"/>
      <c r="AI49" s="171"/>
      <c r="AK49" s="171"/>
    </row>
    <row r="50" spans="1:37" ht="12.75" hidden="1">
      <c r="A50" s="165">
        <v>6</v>
      </c>
      <c r="B50" s="173">
        <v>2005</v>
      </c>
      <c r="C50" s="171">
        <v>2814224</v>
      </c>
      <c r="D50" s="171">
        <v>711713</v>
      </c>
      <c r="E50" s="171">
        <v>1420735</v>
      </c>
      <c r="F50" s="171">
        <v>186099</v>
      </c>
      <c r="G50" s="171">
        <v>166610</v>
      </c>
      <c r="H50" s="171">
        <v>329067</v>
      </c>
      <c r="I50" s="171">
        <v>-98072</v>
      </c>
      <c r="J50" s="171">
        <v>320734</v>
      </c>
      <c r="K50" s="171"/>
      <c r="L50" s="186">
        <v>271301</v>
      </c>
      <c r="M50" s="186"/>
      <c r="N50" s="186">
        <v>49433</v>
      </c>
      <c r="P50" s="186"/>
      <c r="Q50" s="186"/>
      <c r="S50" s="171"/>
      <c r="U50" s="171"/>
      <c r="W50" s="171"/>
      <c r="Y50" s="171"/>
      <c r="AA50" s="171"/>
      <c r="AC50" s="171"/>
      <c r="AE50" s="171"/>
      <c r="AG50" s="171"/>
      <c r="AI50" s="171"/>
      <c r="AK50" s="171"/>
    </row>
    <row r="51" spans="1:37" ht="12.75" hidden="1">
      <c r="A51" s="165">
        <v>7</v>
      </c>
      <c r="B51" s="173">
        <v>2006</v>
      </c>
      <c r="C51" s="171">
        <v>2853659</v>
      </c>
      <c r="D51" s="171">
        <v>773510</v>
      </c>
      <c r="E51" s="171">
        <v>1436548</v>
      </c>
      <c r="F51" s="171">
        <v>181878</v>
      </c>
      <c r="G51" s="171">
        <v>157609</v>
      </c>
      <c r="H51" s="171">
        <v>304114</v>
      </c>
      <c r="I51" s="171">
        <v>-84357</v>
      </c>
      <c r="J51" s="171">
        <v>537237</v>
      </c>
      <c r="K51" s="171"/>
      <c r="L51" s="186">
        <v>261276</v>
      </c>
      <c r="N51" s="186">
        <v>275961</v>
      </c>
      <c r="P51" s="186"/>
      <c r="Q51" s="186"/>
      <c r="S51" s="171"/>
      <c r="U51" s="171"/>
      <c r="W51" s="171"/>
      <c r="Y51" s="171"/>
      <c r="AA51" s="171"/>
      <c r="AC51" s="171"/>
      <c r="AE51" s="171"/>
      <c r="AG51" s="171"/>
      <c r="AI51" s="171"/>
      <c r="AK51" s="171"/>
    </row>
    <row r="52" spans="1:37" ht="12.75" hidden="1">
      <c r="A52" s="165">
        <v>8</v>
      </c>
      <c r="B52" s="173">
        <f>B51+1</f>
        <v>2007</v>
      </c>
      <c r="C52" s="171">
        <v>2657891</v>
      </c>
      <c r="D52" s="171">
        <v>818494</v>
      </c>
      <c r="E52" s="171">
        <v>1361837</v>
      </c>
      <c r="F52" s="171">
        <v>176204</v>
      </c>
      <c r="G52" s="171">
        <v>145516</v>
      </c>
      <c r="H52" s="171">
        <v>155840</v>
      </c>
      <c r="I52" s="171">
        <v>133875</v>
      </c>
      <c r="J52" s="171">
        <v>289715</v>
      </c>
      <c r="K52" s="171"/>
      <c r="L52" s="186">
        <v>246300</v>
      </c>
      <c r="M52" s="186"/>
      <c r="N52" s="186">
        <v>43415</v>
      </c>
      <c r="P52" s="186"/>
      <c r="Q52" s="186"/>
      <c r="S52" s="171"/>
      <c r="U52" s="171"/>
      <c r="W52" s="171"/>
      <c r="Y52" s="171"/>
      <c r="AA52" s="171"/>
      <c r="AC52" s="171"/>
      <c r="AE52" s="171"/>
      <c r="AG52" s="171"/>
      <c r="AI52" s="171"/>
      <c r="AK52" s="171"/>
    </row>
    <row r="53" spans="1:37" ht="12.75" hidden="1">
      <c r="A53" s="165">
        <v>9</v>
      </c>
      <c r="B53" s="173">
        <f>B52+1</f>
        <v>2008</v>
      </c>
      <c r="C53" s="171">
        <v>2383688</v>
      </c>
      <c r="D53" s="171">
        <v>802849</v>
      </c>
      <c r="E53" s="171">
        <v>1224722</v>
      </c>
      <c r="F53" s="171">
        <v>183466</v>
      </c>
      <c r="G53" s="171">
        <v>142746</v>
      </c>
      <c r="H53" s="171">
        <v>29905</v>
      </c>
      <c r="I53" s="171">
        <v>28438</v>
      </c>
      <c r="J53" s="171">
        <v>195087</v>
      </c>
      <c r="K53" s="171"/>
      <c r="L53" s="186">
        <v>277483</v>
      </c>
      <c r="M53" s="181">
        <v>2950</v>
      </c>
      <c r="N53" s="186">
        <v>-85346</v>
      </c>
      <c r="P53" s="186"/>
      <c r="Q53" s="186"/>
      <c r="S53" s="171"/>
      <c r="U53" s="171"/>
      <c r="W53" s="171"/>
      <c r="Y53" s="171"/>
      <c r="AA53" s="171"/>
      <c r="AC53" s="171"/>
      <c r="AE53" s="171"/>
      <c r="AG53" s="171"/>
      <c r="AI53" s="171"/>
      <c r="AK53" s="171"/>
    </row>
    <row r="54" spans="1:37" ht="12.75" hidden="1">
      <c r="A54" s="165">
        <v>10</v>
      </c>
      <c r="B54" s="173">
        <f>B53+1</f>
        <v>2009</v>
      </c>
      <c r="C54" s="171">
        <v>2234695</v>
      </c>
      <c r="D54" s="171">
        <v>871705</v>
      </c>
      <c r="E54" s="171">
        <v>1265997</v>
      </c>
      <c r="F54" s="171">
        <v>180788</v>
      </c>
      <c r="G54" s="171">
        <v>151508</v>
      </c>
      <c r="H54" s="171">
        <v>-235303</v>
      </c>
      <c r="I54" s="171">
        <v>166189</v>
      </c>
      <c r="J54" s="171">
        <v>-69114</v>
      </c>
      <c r="K54" s="171"/>
      <c r="L54" s="186">
        <v>219360</v>
      </c>
      <c r="M54" s="186"/>
      <c r="N54" s="186">
        <v>-288474</v>
      </c>
      <c r="P54" s="186"/>
      <c r="Q54" s="186"/>
      <c r="S54" s="171"/>
      <c r="U54" s="171"/>
      <c r="W54" s="171"/>
      <c r="Y54" s="171"/>
      <c r="AA54" s="171"/>
      <c r="AC54" s="171"/>
      <c r="AE54" s="171"/>
      <c r="AG54" s="171"/>
      <c r="AI54" s="171"/>
      <c r="AK54" s="171"/>
    </row>
    <row r="55" spans="1:37" ht="12.75" hidden="1">
      <c r="A55" s="165">
        <v>11</v>
      </c>
      <c r="B55" s="176">
        <v>2010</v>
      </c>
      <c r="C55" s="171">
        <v>2385607</v>
      </c>
      <c r="D55" s="171">
        <v>883540</v>
      </c>
      <c r="E55" s="171">
        <v>1393796</v>
      </c>
      <c r="F55" s="171">
        <v>184989</v>
      </c>
      <c r="G55" s="171">
        <v>176928</v>
      </c>
      <c r="H55" s="171">
        <v>-253646</v>
      </c>
      <c r="I55" s="171">
        <v>120913</v>
      </c>
      <c r="J55" s="171">
        <v>-132733</v>
      </c>
      <c r="K55" s="171"/>
      <c r="L55" s="186">
        <v>244673</v>
      </c>
      <c r="M55" s="186"/>
      <c r="N55" s="186">
        <v>-377406</v>
      </c>
      <c r="P55" s="186"/>
      <c r="Q55" s="186"/>
      <c r="S55" s="171"/>
      <c r="U55" s="171"/>
      <c r="W55" s="171"/>
      <c r="Y55" s="171"/>
      <c r="AA55" s="171"/>
      <c r="AC55" s="171"/>
      <c r="AE55" s="171"/>
      <c r="AG55" s="171"/>
      <c r="AI55" s="171"/>
      <c r="AK55" s="171"/>
    </row>
    <row r="56" spans="1:37" ht="12.75" hidden="1">
      <c r="A56" s="165">
        <v>12</v>
      </c>
      <c r="B56" s="176">
        <v>2011</v>
      </c>
      <c r="C56" s="171">
        <v>2619038</v>
      </c>
      <c r="D56" s="171">
        <v>934466</v>
      </c>
      <c r="E56" s="171">
        <v>1283304</v>
      </c>
      <c r="F56" s="171">
        <v>201106</v>
      </c>
      <c r="G56" s="171">
        <v>182860</v>
      </c>
      <c r="H56" s="171">
        <v>17302</v>
      </c>
      <c r="I56" s="171">
        <v>155354</v>
      </c>
      <c r="J56" s="171">
        <v>169132</v>
      </c>
      <c r="K56" s="171"/>
      <c r="L56" s="186">
        <v>162163</v>
      </c>
      <c r="M56" s="186"/>
      <c r="N56" s="186">
        <v>6969</v>
      </c>
      <c r="P56" s="186"/>
      <c r="Q56" s="186"/>
      <c r="S56" s="171"/>
      <c r="U56" s="171"/>
      <c r="W56" s="171"/>
      <c r="Y56" s="171"/>
      <c r="AA56" s="171"/>
      <c r="AC56" s="171"/>
      <c r="AE56" s="171"/>
      <c r="AG56" s="171"/>
      <c r="AI56" s="171"/>
      <c r="AK56" s="171"/>
    </row>
    <row r="57" spans="1:37" ht="12.75" hidden="1">
      <c r="A57" s="165">
        <v>13</v>
      </c>
      <c r="B57" s="176">
        <v>2012</v>
      </c>
      <c r="C57" s="171">
        <v>2631334</v>
      </c>
      <c r="D57" s="171">
        <v>962711</v>
      </c>
      <c r="E57" s="171">
        <v>1260404</v>
      </c>
      <c r="F57" s="171">
        <v>199286</v>
      </c>
      <c r="G57" s="171">
        <v>169748</v>
      </c>
      <c r="H57" s="171">
        <v>39185</v>
      </c>
      <c r="I57" s="171">
        <v>153534</v>
      </c>
      <c r="J57" s="171">
        <v>174395</v>
      </c>
      <c r="K57" s="171"/>
      <c r="L57" s="186">
        <v>193000</v>
      </c>
      <c r="M57" s="186">
        <v>1182</v>
      </c>
      <c r="N57" s="186">
        <v>-19787</v>
      </c>
      <c r="P57" s="186"/>
      <c r="Q57" s="186"/>
      <c r="S57" s="171"/>
      <c r="U57" s="171"/>
      <c r="W57" s="171"/>
      <c r="Y57" s="171"/>
      <c r="AA57" s="171"/>
      <c r="AC57" s="171"/>
      <c r="AE57" s="171"/>
      <c r="AG57" s="171"/>
      <c r="AI57" s="171"/>
      <c r="AK57" s="171"/>
    </row>
    <row r="58" spans="1:37" ht="12.75" hidden="1">
      <c r="A58" s="165">
        <v>14</v>
      </c>
      <c r="B58" s="176">
        <v>2013</v>
      </c>
      <c r="C58" s="171">
        <v>2647095</v>
      </c>
      <c r="D58" s="171">
        <v>1011463</v>
      </c>
      <c r="E58" s="171">
        <v>1260527</v>
      </c>
      <c r="F58" s="171">
        <v>218103</v>
      </c>
      <c r="G58" s="171">
        <v>207798</v>
      </c>
      <c r="H58" s="171">
        <v>-50796</v>
      </c>
      <c r="I58" s="171">
        <v>164704</v>
      </c>
      <c r="J58" s="171">
        <v>110384</v>
      </c>
      <c r="K58" s="171"/>
      <c r="L58" s="186">
        <v>122799</v>
      </c>
      <c r="M58" s="186">
        <v>58823</v>
      </c>
      <c r="N58" s="186">
        <v>-71238</v>
      </c>
      <c r="P58" s="186"/>
      <c r="Q58" s="186"/>
      <c r="S58" s="171"/>
      <c r="U58" s="171"/>
      <c r="W58" s="171"/>
      <c r="Y58" s="171"/>
      <c r="AA58" s="171"/>
      <c r="AC58" s="171"/>
      <c r="AE58" s="171"/>
      <c r="AG58" s="171"/>
      <c r="AI58" s="171"/>
      <c r="AK58" s="171"/>
    </row>
    <row r="59" spans="1:37" ht="12.75" hidden="1">
      <c r="A59" s="165">
        <v>15</v>
      </c>
      <c r="B59" s="176">
        <v>2014</v>
      </c>
      <c r="C59" s="190">
        <v>2810919.3256600006</v>
      </c>
      <c r="D59" s="190">
        <v>1017269.02247</v>
      </c>
      <c r="E59" s="190">
        <v>896127.2825199999</v>
      </c>
      <c r="F59" s="190">
        <v>227267.03862</v>
      </c>
      <c r="G59" s="190">
        <v>196360.94574</v>
      </c>
      <c r="H59" s="190">
        <v>473895.0363100007</v>
      </c>
      <c r="I59" s="190">
        <v>143049.12777000002</v>
      </c>
      <c r="J59" s="190">
        <v>596116.3492438365</v>
      </c>
      <c r="K59" s="190"/>
      <c r="L59" s="227">
        <v>462575</v>
      </c>
      <c r="M59" s="227">
        <v>52546.864</v>
      </c>
      <c r="N59" s="228">
        <v>80994.48524383648</v>
      </c>
      <c r="P59" s="186"/>
      <c r="Q59" s="186"/>
      <c r="S59" s="171"/>
      <c r="U59" s="171"/>
      <c r="W59" s="171"/>
      <c r="Y59" s="171"/>
      <c r="AA59" s="171"/>
      <c r="AC59" s="171"/>
      <c r="AE59" s="171"/>
      <c r="AG59" s="171"/>
      <c r="AI59" s="171"/>
      <c r="AK59" s="171"/>
    </row>
    <row r="60" spans="2:37" ht="12.75" hidden="1">
      <c r="B60" s="176"/>
      <c r="C60" s="190"/>
      <c r="D60" s="190"/>
      <c r="E60" s="190"/>
      <c r="F60" s="190"/>
      <c r="G60" s="190"/>
      <c r="H60" s="190"/>
      <c r="I60" s="190"/>
      <c r="J60" s="190"/>
      <c r="K60" s="190"/>
      <c r="L60" s="227"/>
      <c r="M60" s="227"/>
      <c r="N60" s="228"/>
      <c r="P60" s="186"/>
      <c r="Q60" s="186"/>
      <c r="S60" s="171"/>
      <c r="U60" s="171"/>
      <c r="W60" s="171"/>
      <c r="Y60" s="171"/>
      <c r="AA60" s="171"/>
      <c r="AC60" s="171"/>
      <c r="AE60" s="171"/>
      <c r="AG60" s="171"/>
      <c r="AI60" s="171"/>
      <c r="AK60" s="171"/>
    </row>
    <row r="61" spans="2:37" ht="12.75" hidden="1">
      <c r="B61" s="176"/>
      <c r="C61" s="190"/>
      <c r="D61" s="190"/>
      <c r="E61" s="190"/>
      <c r="F61" s="190"/>
      <c r="G61" s="190"/>
      <c r="H61" s="190"/>
      <c r="I61" s="190"/>
      <c r="J61" s="190"/>
      <c r="K61" s="190"/>
      <c r="L61" s="227"/>
      <c r="M61" s="227"/>
      <c r="N61" s="228"/>
      <c r="P61" s="186"/>
      <c r="Q61" s="186"/>
      <c r="S61" s="171"/>
      <c r="U61" s="171"/>
      <c r="W61" s="171"/>
      <c r="Y61" s="171"/>
      <c r="AA61" s="171"/>
      <c r="AC61" s="171"/>
      <c r="AE61" s="171"/>
      <c r="AG61" s="171"/>
      <c r="AI61" s="171"/>
      <c r="AK61" s="171"/>
    </row>
    <row r="62" spans="1:37" ht="12.75">
      <c r="A62" s="165">
        <v>1</v>
      </c>
      <c r="B62" s="176" t="s">
        <v>749</v>
      </c>
      <c r="C62" s="190">
        <f aca="true" t="shared" si="0" ref="C62:I62">SUM(C17:C59)</f>
        <v>85655930.32566</v>
      </c>
      <c r="D62" s="190">
        <f t="shared" si="0"/>
        <v>18971574.02247</v>
      </c>
      <c r="E62" s="190">
        <f t="shared" si="0"/>
        <v>52260235.282519996</v>
      </c>
      <c r="F62" s="190">
        <f t="shared" si="0"/>
        <v>5723414.03862</v>
      </c>
      <c r="G62" s="190">
        <f t="shared" si="0"/>
        <v>7536543.94574</v>
      </c>
      <c r="H62" s="190">
        <f t="shared" si="0"/>
        <v>1164163.0363100008</v>
      </c>
      <c r="I62" s="190">
        <f t="shared" si="0"/>
        <v>4581338.12777</v>
      </c>
      <c r="J62" s="190">
        <f>SUM(J17:J59)-105500-1354</f>
        <v>5951783.3492438365</v>
      </c>
      <c r="K62" s="190"/>
      <c r="L62" s="190">
        <f>SUM(L17:L59)</f>
        <v>5521807</v>
      </c>
      <c r="M62" s="190">
        <f>SUM(M17:M59)</f>
        <v>157943.864</v>
      </c>
      <c r="N62" s="228">
        <f>J62-L62-M62</f>
        <v>272032.4852438365</v>
      </c>
      <c r="P62" s="186"/>
      <c r="Q62" s="186"/>
      <c r="S62" s="171"/>
      <c r="U62" s="171"/>
      <c r="W62" s="171"/>
      <c r="Y62" s="171"/>
      <c r="AA62" s="171"/>
      <c r="AC62" s="171"/>
      <c r="AE62" s="171"/>
      <c r="AG62" s="171"/>
      <c r="AI62" s="171"/>
      <c r="AK62" s="171"/>
    </row>
    <row r="63" spans="1:37" ht="12.75">
      <c r="A63" s="165">
        <v>2</v>
      </c>
      <c r="B63" s="173">
        <v>2015</v>
      </c>
      <c r="C63" s="190">
        <v>2588858.2325999998</v>
      </c>
      <c r="D63" s="190">
        <v>1009924.4493000001</v>
      </c>
      <c r="E63" s="190">
        <v>841782.4264300001</v>
      </c>
      <c r="F63" s="190">
        <v>224188.22295</v>
      </c>
      <c r="G63" s="190">
        <v>185925.42388000002</v>
      </c>
      <c r="H63" s="190">
        <v>327037.7100399997</v>
      </c>
      <c r="I63" s="190">
        <v>192292.23895</v>
      </c>
      <c r="J63" s="190">
        <v>585597.9489899997</v>
      </c>
      <c r="K63" s="190"/>
      <c r="L63" s="227">
        <v>402532</v>
      </c>
      <c r="M63" s="227">
        <v>61066</v>
      </c>
      <c r="N63" s="228">
        <v>121999.94898999971</v>
      </c>
      <c r="S63" s="171"/>
      <c r="U63" s="171"/>
      <c r="W63" s="171"/>
      <c r="Y63" s="171"/>
      <c r="AA63" s="171"/>
      <c r="AC63" s="171"/>
      <c r="AE63" s="171"/>
      <c r="AG63" s="171"/>
      <c r="AI63" s="171"/>
      <c r="AK63" s="171"/>
    </row>
    <row r="64" spans="1:37" ht="12.75">
      <c r="A64" s="165">
        <v>3</v>
      </c>
      <c r="B64" s="176">
        <v>2016</v>
      </c>
      <c r="C64" s="190">
        <v>2600726</v>
      </c>
      <c r="D64" s="190">
        <v>1140373.60079</v>
      </c>
      <c r="E64" s="190">
        <v>864697.80755</v>
      </c>
      <c r="F64" s="190">
        <v>222551.42</v>
      </c>
      <c r="G64" s="190">
        <v>185925.42388000002</v>
      </c>
      <c r="H64" s="190">
        <v>187177.74777999986</v>
      </c>
      <c r="I64" s="190">
        <v>690354.0672200001</v>
      </c>
      <c r="J64" s="190">
        <f>+H64+I64</f>
        <v>877531.815</v>
      </c>
      <c r="K64" s="190"/>
      <c r="L64" s="227">
        <v>1053348</v>
      </c>
      <c r="M64" s="227">
        <v>60183.815</v>
      </c>
      <c r="N64" s="228">
        <f>+J64-L64-M64</f>
        <v>-236000.00000000006</v>
      </c>
      <c r="O64" s="348"/>
      <c r="Q64" s="188"/>
      <c r="S64" s="171"/>
      <c r="U64" s="171"/>
      <c r="W64" s="171"/>
      <c r="Y64" s="171"/>
      <c r="Z64" s="166">
        <v>770.9965842947786</v>
      </c>
      <c r="AA64" s="171"/>
      <c r="AC64" s="171"/>
      <c r="AE64" s="171"/>
      <c r="AG64" s="171"/>
      <c r="AI64" s="171"/>
      <c r="AK64" s="171"/>
    </row>
    <row r="65" spans="1:37" ht="12.75">
      <c r="A65" s="165">
        <v>4</v>
      </c>
      <c r="B65" s="176">
        <v>2017</v>
      </c>
      <c r="C65" s="190">
        <v>2721171.2600899995</v>
      </c>
      <c r="D65" s="190">
        <f>+'Statement E'!J41</f>
        <v>1171666.3228799999</v>
      </c>
      <c r="E65" s="190">
        <f>+'Statement E'!J23</f>
        <v>947790.0916499998</v>
      </c>
      <c r="F65" s="190">
        <v>224046.84852</v>
      </c>
      <c r="G65" s="190">
        <v>121677.76638000002</v>
      </c>
      <c r="H65" s="190">
        <v>255990.2306599998</v>
      </c>
      <c r="I65" s="190">
        <v>156656.79291</v>
      </c>
      <c r="J65" s="190">
        <v>844639.851</v>
      </c>
      <c r="K65" s="190"/>
      <c r="L65" s="227">
        <v>847413</v>
      </c>
      <c r="M65" s="228">
        <v>50768.851</v>
      </c>
      <c r="N65" s="228">
        <f>J65-L65-M65</f>
        <v>-53541.99999999998</v>
      </c>
      <c r="O65" s="348"/>
      <c r="S65" s="171"/>
      <c r="U65" s="171"/>
      <c r="W65" s="171"/>
      <c r="Y65" s="171"/>
      <c r="AA65" s="171"/>
      <c r="AC65" s="171"/>
      <c r="AE65" s="171"/>
      <c r="AG65" s="171"/>
      <c r="AI65" s="171"/>
      <c r="AK65" s="171"/>
    </row>
    <row r="66" spans="1:37" ht="12.75">
      <c r="A66" s="165">
        <v>5</v>
      </c>
      <c r="B66" s="173">
        <v>2018</v>
      </c>
      <c r="C66" s="190">
        <v>2862774</v>
      </c>
      <c r="D66" s="171">
        <f>+'Statement E'!K41</f>
        <v>1188441</v>
      </c>
      <c r="E66" s="171">
        <f>+'Statement E'!K23</f>
        <v>966795</v>
      </c>
      <c r="F66" s="190">
        <v>221031</v>
      </c>
      <c r="G66" s="190">
        <v>73686</v>
      </c>
      <c r="H66" s="190">
        <v>412821</v>
      </c>
      <c r="I66" s="190">
        <v>154714.02734</v>
      </c>
      <c r="J66" s="190">
        <v>323225</v>
      </c>
      <c r="K66" s="190"/>
      <c r="L66" s="227">
        <f>415000-M66</f>
        <v>387766</v>
      </c>
      <c r="M66" s="227">
        <v>27234</v>
      </c>
      <c r="N66" s="228">
        <f>J66-L66-M66</f>
        <v>-91775</v>
      </c>
      <c r="O66" s="348"/>
      <c r="Q66" s="180"/>
      <c r="S66" s="171"/>
      <c r="U66" s="171"/>
      <c r="W66" s="171"/>
      <c r="Y66" s="171"/>
      <c r="AA66" s="171"/>
      <c r="AC66" s="171"/>
      <c r="AE66" s="171"/>
      <c r="AG66" s="171"/>
      <c r="AI66" s="171"/>
      <c r="AK66" s="171"/>
    </row>
    <row r="67" spans="1:37" ht="12.75">
      <c r="A67" s="165">
        <v>6</v>
      </c>
      <c r="B67" s="173"/>
      <c r="C67" s="190"/>
      <c r="D67" s="171"/>
      <c r="E67" s="171"/>
      <c r="F67" s="190"/>
      <c r="G67" s="190"/>
      <c r="H67" s="190"/>
      <c r="I67" s="190"/>
      <c r="J67" s="190"/>
      <c r="K67" s="190"/>
      <c r="L67" s="227"/>
      <c r="M67" s="227"/>
      <c r="N67" s="228"/>
      <c r="O67" s="348"/>
      <c r="Q67" s="180"/>
      <c r="S67" s="171"/>
      <c r="U67" s="171"/>
      <c r="W67" s="171"/>
      <c r="Y67" s="171"/>
      <c r="AA67" s="171"/>
      <c r="AC67" s="171"/>
      <c r="AE67" s="171"/>
      <c r="AG67" s="171"/>
      <c r="AI67" s="171"/>
      <c r="AK67" s="171"/>
    </row>
    <row r="68" spans="1:37" ht="12.75">
      <c r="A68" s="165">
        <v>7</v>
      </c>
      <c r="B68" s="177" t="s">
        <v>482</v>
      </c>
      <c r="C68" s="190"/>
      <c r="D68" s="171"/>
      <c r="E68" s="171"/>
      <c r="F68" s="190"/>
      <c r="G68" s="190"/>
      <c r="H68" s="190"/>
      <c r="I68" s="190"/>
      <c r="J68" s="190"/>
      <c r="K68" s="190"/>
      <c r="L68" s="227"/>
      <c r="M68" s="227"/>
      <c r="N68" s="228"/>
      <c r="P68" s="188"/>
      <c r="Q68" s="180"/>
      <c r="S68" s="171"/>
      <c r="U68" s="171"/>
      <c r="W68" s="171"/>
      <c r="Y68" s="171"/>
      <c r="AA68" s="171"/>
      <c r="AC68" s="171"/>
      <c r="AE68" s="171"/>
      <c r="AG68" s="171"/>
      <c r="AI68" s="171"/>
      <c r="AK68" s="171"/>
    </row>
    <row r="69" spans="1:37" ht="12.75">
      <c r="A69" s="165">
        <v>8</v>
      </c>
      <c r="B69" s="173" t="s">
        <v>483</v>
      </c>
      <c r="C69" s="190"/>
      <c r="D69" s="171"/>
      <c r="E69" s="171"/>
      <c r="F69" s="190"/>
      <c r="G69" s="190"/>
      <c r="H69" s="190"/>
      <c r="I69" s="190"/>
      <c r="J69" s="190"/>
      <c r="K69" s="190"/>
      <c r="L69" s="227"/>
      <c r="M69" s="227"/>
      <c r="N69" s="228"/>
      <c r="P69" s="188"/>
      <c r="Q69" s="180"/>
      <c r="S69" s="171"/>
      <c r="U69" s="171"/>
      <c r="W69" s="171"/>
      <c r="Y69" s="171"/>
      <c r="AA69" s="171"/>
      <c r="AC69" s="171"/>
      <c r="AE69" s="171"/>
      <c r="AG69" s="171"/>
      <c r="AI69" s="171"/>
      <c r="AK69" s="171"/>
    </row>
    <row r="70" spans="1:37" ht="13.5" customHeight="1">
      <c r="A70" s="165">
        <v>9</v>
      </c>
      <c r="B70" s="173">
        <v>2019</v>
      </c>
      <c r="C70" s="190">
        <v>2805133</v>
      </c>
      <c r="D70" s="190">
        <f>+'Statement E'!L41</f>
        <v>1177622.16451</v>
      </c>
      <c r="E70" s="190">
        <f>+'Statement E'!L23</f>
        <v>1129714.4061</v>
      </c>
      <c r="F70" s="190">
        <v>221031</v>
      </c>
      <c r="G70" s="190">
        <v>73686</v>
      </c>
      <c r="H70" s="190">
        <f>+C70-D70-E70-F70-G70</f>
        <v>203079.42938999995</v>
      </c>
      <c r="I70" s="190">
        <f>+F70+13936</f>
        <v>234967</v>
      </c>
      <c r="J70" s="190">
        <f>+I70+H70+330000</f>
        <v>768046.42939</v>
      </c>
      <c r="K70" s="190"/>
      <c r="L70" s="227">
        <f>+'Inputs for Evans Tables'!G6</f>
        <v>423333.707</v>
      </c>
      <c r="M70" s="227">
        <v>56572.665</v>
      </c>
      <c r="N70" s="228">
        <f>J70-L70-M70</f>
        <v>288140.05739</v>
      </c>
      <c r="P70" s="188"/>
      <c r="Q70" s="180"/>
      <c r="S70" s="171"/>
      <c r="U70" s="171"/>
      <c r="W70" s="171"/>
      <c r="Y70" s="171"/>
      <c r="AA70" s="171"/>
      <c r="AC70" s="171"/>
      <c r="AE70" s="171"/>
      <c r="AG70" s="171"/>
      <c r="AI70" s="171"/>
      <c r="AK70" s="171"/>
    </row>
    <row r="71" spans="1:37" ht="12.75">
      <c r="A71" s="165">
        <v>10</v>
      </c>
      <c r="B71" s="177" t="s">
        <v>484</v>
      </c>
      <c r="C71" s="171"/>
      <c r="D71" s="171"/>
      <c r="E71" s="171"/>
      <c r="F71" s="171"/>
      <c r="G71" s="171"/>
      <c r="H71" s="171"/>
      <c r="I71" s="190"/>
      <c r="J71" s="190"/>
      <c r="K71" s="190"/>
      <c r="L71" s="227"/>
      <c r="M71" s="227"/>
      <c r="N71" s="228"/>
      <c r="P71" s="188"/>
      <c r="Q71" s="180"/>
      <c r="S71" s="171"/>
      <c r="U71" s="171"/>
      <c r="W71" s="171"/>
      <c r="Y71" s="171"/>
      <c r="AA71" s="171"/>
      <c r="AC71" s="171"/>
      <c r="AE71" s="171"/>
      <c r="AG71" s="171"/>
      <c r="AI71" s="171"/>
      <c r="AK71" s="171"/>
    </row>
    <row r="72" spans="1:37" ht="12.75">
      <c r="A72" s="165">
        <v>11</v>
      </c>
      <c r="B72" s="173" t="s">
        <v>483</v>
      </c>
      <c r="C72" s="171"/>
      <c r="D72" s="171"/>
      <c r="E72" s="171"/>
      <c r="F72" s="171"/>
      <c r="G72" s="171"/>
      <c r="H72" s="171"/>
      <c r="I72" s="190"/>
      <c r="J72" s="190"/>
      <c r="K72" s="190"/>
      <c r="L72" s="227"/>
      <c r="M72" s="227"/>
      <c r="N72" s="228"/>
      <c r="P72" s="188"/>
      <c r="Q72" s="180"/>
      <c r="S72" s="171"/>
      <c r="U72" s="171"/>
      <c r="W72" s="171"/>
      <c r="Y72" s="171"/>
      <c r="AA72" s="171"/>
      <c r="AC72" s="171"/>
      <c r="AE72" s="171"/>
      <c r="AG72" s="171"/>
      <c r="AI72" s="171"/>
      <c r="AK72" s="171"/>
    </row>
    <row r="73" spans="1:37" ht="12.75">
      <c r="A73" s="165">
        <v>12</v>
      </c>
      <c r="B73" s="173">
        <v>2020</v>
      </c>
      <c r="C73" s="171">
        <f>+'Modeling results'!B4</f>
        <v>2709679</v>
      </c>
      <c r="D73" s="171">
        <f>+'Statement E'!M41</f>
        <v>1224397.980759574</v>
      </c>
      <c r="E73" s="190">
        <f>+'Statement E'!M23</f>
        <v>649110.3192965541</v>
      </c>
      <c r="F73" s="171">
        <f>+'Income Statement Cash Flows'!E22+'Income Statement Cash Flows'!E23</f>
        <v>518294.54724507</v>
      </c>
      <c r="G73" s="171">
        <f>+'Revised Revenue Test'!E39</f>
        <v>270365.86939123174</v>
      </c>
      <c r="H73" s="171">
        <f>C73-D73-E73-F73-G73</f>
        <v>47510.28330757009</v>
      </c>
      <c r="I73" s="349">
        <f>+F73+SUM('Revised Revenue Test'!E63,'Revised Revenue Test'!E65:E69)</f>
        <v>450204.30393396586</v>
      </c>
      <c r="J73" s="171">
        <f>H73+I73+'Revised Revenue Test'!E70</f>
        <v>465989.58724153595</v>
      </c>
      <c r="K73" s="171">
        <f>+'Inputs for Evans Tables'!C7+'Inputs for Evans Tables'!E7</f>
        <v>268581.1</v>
      </c>
      <c r="L73" s="180">
        <f>+'Inputs for Evans Tables'!G7</f>
        <v>173072.274</v>
      </c>
      <c r="M73" s="180">
        <f>+'Inputs for Evans Tables'!J7</f>
        <v>24330.805</v>
      </c>
      <c r="N73" s="228">
        <f>J73-K73-L73-M73</f>
        <v>5.408241535966226</v>
      </c>
      <c r="O73" s="180"/>
      <c r="S73" s="171"/>
      <c r="U73" s="171"/>
      <c r="W73" s="171"/>
      <c r="Y73" s="171"/>
      <c r="AA73" s="171"/>
      <c r="AC73" s="171"/>
      <c r="AE73" s="171"/>
      <c r="AG73" s="171"/>
      <c r="AI73" s="171"/>
      <c r="AK73" s="171"/>
    </row>
    <row r="74" spans="1:37" ht="12.75">
      <c r="A74" s="165">
        <v>13</v>
      </c>
      <c r="B74" s="173">
        <v>2021</v>
      </c>
      <c r="C74" s="171">
        <f>+'Modeling results'!C4</f>
        <v>2689777</v>
      </c>
      <c r="D74" s="171">
        <f>+'Statement E'!N41</f>
        <v>1201996.8834877</v>
      </c>
      <c r="E74" s="190">
        <f>+'Statement E'!N23</f>
        <v>692835.1392021653</v>
      </c>
      <c r="F74" s="171">
        <f>+'Income Statement Cash Flows'!F23+'Income Statement Cash Flows'!F22</f>
        <v>525414.1369780031</v>
      </c>
      <c r="G74" s="171">
        <f>+'Revised Revenue Test'!F39</f>
        <v>200562.64628787513</v>
      </c>
      <c r="H74" s="171">
        <f>C74-D74-E74-F74-G74</f>
        <v>68968.19404425647</v>
      </c>
      <c r="I74" s="349">
        <f>+F74+SUM('Revised Revenue Test'!F63,'Revised Revenue Test'!F65:F69)</f>
        <v>454992.736870197</v>
      </c>
      <c r="J74" s="171">
        <f>H74+I74+'Revised Revenue Test'!F70</f>
        <v>555685.9309144535</v>
      </c>
      <c r="K74" s="171">
        <f>+'Inputs for Evans Tables'!C8+'Inputs for Evans Tables'!E8</f>
        <v>22870.600000000006</v>
      </c>
      <c r="L74" s="180">
        <f>+'Inputs for Evans Tables'!G8</f>
        <v>518064.668</v>
      </c>
      <c r="M74" s="180">
        <f>+'Inputs for Evans Tables'!J8</f>
        <v>14746.543</v>
      </c>
      <c r="N74" s="228">
        <f>J74-K74-L74-M74</f>
        <v>4.119914453482124</v>
      </c>
      <c r="O74" s="180"/>
      <c r="Q74" s="180"/>
      <c r="S74" s="171"/>
      <c r="U74" s="171"/>
      <c r="W74" s="171"/>
      <c r="Y74" s="171"/>
      <c r="AA74" s="171"/>
      <c r="AC74" s="171"/>
      <c r="AE74" s="171"/>
      <c r="AG74" s="171"/>
      <c r="AI74" s="171"/>
      <c r="AK74" s="171"/>
    </row>
    <row r="75" spans="1:37" ht="12.75">
      <c r="A75" s="165">
        <v>14</v>
      </c>
      <c r="B75" s="177" t="s">
        <v>485</v>
      </c>
      <c r="C75" s="171"/>
      <c r="D75" s="171"/>
      <c r="E75" s="171"/>
      <c r="F75" s="171"/>
      <c r="G75" s="171"/>
      <c r="H75" s="171"/>
      <c r="I75" s="171"/>
      <c r="J75" s="171"/>
      <c r="K75" s="171"/>
      <c r="L75" s="180"/>
      <c r="M75" s="180"/>
      <c r="N75" s="186"/>
      <c r="P75" s="180"/>
      <c r="Q75" s="180"/>
      <c r="S75" s="171"/>
      <c r="U75" s="171"/>
      <c r="W75" s="171"/>
      <c r="Y75" s="171"/>
      <c r="AA75" s="171"/>
      <c r="AC75" s="171"/>
      <c r="AE75" s="171"/>
      <c r="AG75" s="171"/>
      <c r="AI75" s="171"/>
      <c r="AK75" s="171"/>
    </row>
    <row r="76" spans="1:37" ht="12.75">
      <c r="A76" s="165">
        <v>15</v>
      </c>
      <c r="B76" s="173" t="s">
        <v>483</v>
      </c>
      <c r="C76" s="171"/>
      <c r="D76" s="171"/>
      <c r="E76" s="171"/>
      <c r="F76" s="171"/>
      <c r="G76" s="171"/>
      <c r="H76" s="171"/>
      <c r="I76" s="171"/>
      <c r="J76" s="171"/>
      <c r="K76" s="171"/>
      <c r="L76" s="180"/>
      <c r="M76" s="180"/>
      <c r="N76" s="186"/>
      <c r="P76" s="180"/>
      <c r="Q76" s="180"/>
      <c r="S76" s="171"/>
      <c r="U76" s="171"/>
      <c r="W76" s="171"/>
      <c r="Y76" s="171"/>
      <c r="AA76" s="171"/>
      <c r="AC76" s="171"/>
      <c r="AE76" s="171"/>
      <c r="AG76" s="171"/>
      <c r="AI76" s="171"/>
      <c r="AK76" s="171"/>
    </row>
    <row r="77" spans="1:37" ht="12.75">
      <c r="A77" s="165">
        <v>16</v>
      </c>
      <c r="B77" s="173">
        <v>2022</v>
      </c>
      <c r="C77" s="171">
        <f>+$C$74</f>
        <v>2689777</v>
      </c>
      <c r="D77" s="171">
        <f>+$D$74</f>
        <v>1201996.8834877</v>
      </c>
      <c r="E77" s="171">
        <f>+$E$147</f>
        <v>664339.7587021652</v>
      </c>
      <c r="F77" s="171">
        <f aca="true" t="shared" si="1" ref="F77:F108">+$F$74</f>
        <v>525414.1369780031</v>
      </c>
      <c r="G77" s="171">
        <f>'Inputs for Evans Tables'!N9+$G$147+$G$148+$G$149+'Statement D Table 1'!I25+SUM('Revised Revenue Test'!$F$37:$F$38)</f>
        <v>224337.6131785023</v>
      </c>
      <c r="H77" s="171">
        <f>C77-D77-E77-F77-G77</f>
        <v>73688.60765362938</v>
      </c>
      <c r="I77" s="171">
        <f>F77+SUM('Revised Revenue Test'!$F$63,'Revised Revenue Test'!$F$65:$F$69)</f>
        <v>454992.736870197</v>
      </c>
      <c r="J77" s="171">
        <f>H77+I77</f>
        <v>528681.3445238264</v>
      </c>
      <c r="K77" s="180">
        <f>+'Inputs for Evans Tables'!C9+'Inputs for Evans Tables'!E9</f>
        <v>104961.4</v>
      </c>
      <c r="L77" s="180">
        <f>+'Inputs for Evans Tables'!G9</f>
        <v>324102.348</v>
      </c>
      <c r="M77" s="180">
        <f>+'Inputs for Evans Tables'!J9</f>
        <v>16059.879</v>
      </c>
      <c r="N77" s="186">
        <f>J77-L77-M77-K77</f>
        <v>83557.71752382637</v>
      </c>
      <c r="P77" s="180"/>
      <c r="Q77" s="180"/>
      <c r="S77" s="171"/>
      <c r="U77" s="171"/>
      <c r="W77" s="171"/>
      <c r="Y77" s="171"/>
      <c r="AA77" s="171"/>
      <c r="AC77" s="171"/>
      <c r="AE77" s="171"/>
      <c r="AG77" s="171"/>
      <c r="AI77" s="171"/>
      <c r="AK77" s="171"/>
    </row>
    <row r="78" spans="1:37" ht="12.75">
      <c r="A78" s="165">
        <v>17</v>
      </c>
      <c r="B78" s="173">
        <v>2023</v>
      </c>
      <c r="C78" s="171">
        <f aca="true" t="shared" si="2" ref="C78">+$C$74</f>
        <v>2689777</v>
      </c>
      <c r="D78" s="171">
        <f aca="true" t="shared" si="3" ref="D78">+$D$74</f>
        <v>1201996.8834877</v>
      </c>
      <c r="E78" s="171">
        <f aca="true" t="shared" si="4" ref="E78:E108">+$E$147</f>
        <v>664339.7587021652</v>
      </c>
      <c r="F78" s="171">
        <f t="shared" si="1"/>
        <v>525414.1369780031</v>
      </c>
      <c r="G78" s="171">
        <f>'Inputs for Evans Tables'!N10+$G$147+$G$148+$G$149+'Statement D Table 1'!I26+SUM('Revised Revenue Test'!$F$37:$F$38)</f>
        <v>194408.6661785023</v>
      </c>
      <c r="H78" s="171">
        <f aca="true" t="shared" si="5" ref="H78:H108">C78-D78-E78-F78-G78</f>
        <v>103617.5546536294</v>
      </c>
      <c r="I78" s="171">
        <f>F78+SUM('Revised Revenue Test'!$F$63,'Revised Revenue Test'!$F$65:$F$69)</f>
        <v>454992.736870197</v>
      </c>
      <c r="J78" s="171">
        <f aca="true" t="shared" si="6" ref="J78:J126">H78+I78</f>
        <v>558610.2915238264</v>
      </c>
      <c r="K78" s="180">
        <f>+'Inputs for Evans Tables'!C10+'Inputs for Evans Tables'!E10</f>
        <v>361933.9</v>
      </c>
      <c r="L78" s="180">
        <f>+'Inputs for Evans Tables'!G10</f>
        <v>104626.677</v>
      </c>
      <c r="M78" s="180">
        <f>+'Inputs for Evans Tables'!J10</f>
        <v>12851.998</v>
      </c>
      <c r="N78" s="186">
        <f aca="true" t="shared" si="7" ref="N78:N126">J78-L78-M78-K78</f>
        <v>79197.71652382636</v>
      </c>
      <c r="P78" s="180"/>
      <c r="Q78" s="180"/>
      <c r="S78" s="171"/>
      <c r="U78" s="171"/>
      <c r="W78" s="171"/>
      <c r="Y78" s="171"/>
      <c r="AA78" s="171"/>
      <c r="AC78" s="171"/>
      <c r="AE78" s="171"/>
      <c r="AG78" s="171"/>
      <c r="AI78" s="171"/>
      <c r="AK78" s="171"/>
    </row>
    <row r="79" spans="1:37" ht="12.75">
      <c r="A79" s="165">
        <v>18</v>
      </c>
      <c r="B79" s="173">
        <f>B78+1</f>
        <v>2024</v>
      </c>
      <c r="C79" s="171">
        <f aca="true" t="shared" si="8" ref="C79:C126">+$C$74</f>
        <v>2689777</v>
      </c>
      <c r="D79" s="171">
        <f aca="true" t="shared" si="9" ref="D79:D126">+$D$74</f>
        <v>1201996.8834877</v>
      </c>
      <c r="E79" s="171">
        <f t="shared" si="4"/>
        <v>664339.7587021652</v>
      </c>
      <c r="F79" s="171">
        <f t="shared" si="1"/>
        <v>525414.1369780031</v>
      </c>
      <c r="G79" s="171">
        <f>'Inputs for Evans Tables'!N11+$G$147+$G$148+$G$149+'Statement D Table 1'!I27+SUM('Revised Revenue Test'!$F$37:$F$38)</f>
        <v>186302.83617850233</v>
      </c>
      <c r="H79" s="171">
        <f t="shared" si="5"/>
        <v>111723.38465362936</v>
      </c>
      <c r="I79" s="171">
        <f>F79+SUM('Revised Revenue Test'!$F$63,'Revised Revenue Test'!$F$65:$F$69)</f>
        <v>454992.736870197</v>
      </c>
      <c r="J79" s="171">
        <f t="shared" si="6"/>
        <v>566716.1215238264</v>
      </c>
      <c r="K79" s="180">
        <f>+'Inputs for Evans Tables'!C11+'Inputs for Evans Tables'!E11</f>
        <v>372959.7</v>
      </c>
      <c r="L79" s="180">
        <f>+'Inputs for Evans Tables'!G11</f>
        <v>102808.116</v>
      </c>
      <c r="M79" s="180">
        <f>+'Inputs for Evans Tables'!J11</f>
        <v>15110.589</v>
      </c>
      <c r="N79" s="186">
        <f t="shared" si="7"/>
        <v>75837.71652382641</v>
      </c>
      <c r="P79" s="180"/>
      <c r="Q79" s="180"/>
      <c r="S79" s="171"/>
      <c r="U79" s="171"/>
      <c r="W79" s="171"/>
      <c r="Y79" s="171"/>
      <c r="AA79" s="171"/>
      <c r="AC79" s="171"/>
      <c r="AE79" s="171"/>
      <c r="AG79" s="171"/>
      <c r="AI79" s="171"/>
      <c r="AK79" s="171"/>
    </row>
    <row r="80" spans="1:37" ht="12.75">
      <c r="A80" s="165">
        <v>19</v>
      </c>
      <c r="B80" s="173">
        <f aca="true" t="shared" si="10" ref="B80:B126">B79+1</f>
        <v>2025</v>
      </c>
      <c r="C80" s="171">
        <f t="shared" si="8"/>
        <v>2689777</v>
      </c>
      <c r="D80" s="171">
        <f t="shared" si="9"/>
        <v>1201996.8834877</v>
      </c>
      <c r="E80" s="171">
        <f t="shared" si="4"/>
        <v>664339.7587021652</v>
      </c>
      <c r="F80" s="171">
        <f t="shared" si="1"/>
        <v>525414.1369780031</v>
      </c>
      <c r="G80" s="171">
        <f>'Inputs for Evans Tables'!N12+$G$147+$G$148+$G$149+'Statement D Table 1'!I28+SUM('Revised Revenue Test'!$F$37:$F$38)</f>
        <v>188332.76217850234</v>
      </c>
      <c r="H80" s="171">
        <f t="shared" si="5"/>
        <v>109693.45865362935</v>
      </c>
      <c r="I80" s="171">
        <f>F80+SUM('Revised Revenue Test'!$F$63,'Revised Revenue Test'!$F$65:$F$69)</f>
        <v>454992.736870197</v>
      </c>
      <c r="J80" s="171">
        <f t="shared" si="6"/>
        <v>564686.1955238264</v>
      </c>
      <c r="K80" s="180">
        <f>+'Inputs for Evans Tables'!C12+'Inputs for Evans Tables'!E12</f>
        <v>387547.85</v>
      </c>
      <c r="L80" s="180">
        <f>+'Inputs for Evans Tables'!G12</f>
        <v>100065.393</v>
      </c>
      <c r="M80" s="180">
        <f>+'Inputs for Evans Tables'!J12</f>
        <v>13550.236</v>
      </c>
      <c r="N80" s="186">
        <f t="shared" si="7"/>
        <v>63522.71652382647</v>
      </c>
      <c r="P80" s="180"/>
      <c r="Q80" s="180"/>
      <c r="S80" s="171"/>
      <c r="U80" s="171"/>
      <c r="W80" s="171"/>
      <c r="Y80" s="171"/>
      <c r="AA80" s="171"/>
      <c r="AC80" s="171"/>
      <c r="AE80" s="171"/>
      <c r="AG80" s="171"/>
      <c r="AI80" s="171"/>
      <c r="AK80" s="171"/>
    </row>
    <row r="81" spans="1:37" ht="12.75">
      <c r="A81" s="165">
        <v>20</v>
      </c>
      <c r="B81" s="173">
        <f t="shared" si="10"/>
        <v>2026</v>
      </c>
      <c r="C81" s="171">
        <f t="shared" si="8"/>
        <v>2689777</v>
      </c>
      <c r="D81" s="171">
        <f t="shared" si="9"/>
        <v>1201996.8834877</v>
      </c>
      <c r="E81" s="171">
        <f t="shared" si="4"/>
        <v>664339.7587021652</v>
      </c>
      <c r="F81" s="171">
        <f t="shared" si="1"/>
        <v>525414.1369780031</v>
      </c>
      <c r="G81" s="171">
        <f>'Inputs for Evans Tables'!N13+$G$147+$G$148+$G$149+'Statement D Table 1'!I29+SUM('Revised Revenue Test'!$F$37:$F$38)</f>
        <v>188338.4661785023</v>
      </c>
      <c r="H81" s="171">
        <f t="shared" si="5"/>
        <v>109687.75465362938</v>
      </c>
      <c r="I81" s="171">
        <f>F81+SUM('Revised Revenue Test'!$F$63,'Revised Revenue Test'!$F$65:$F$69)</f>
        <v>454992.736870197</v>
      </c>
      <c r="J81" s="171">
        <f t="shared" si="6"/>
        <v>564680.4915238264</v>
      </c>
      <c r="K81" s="180">
        <f>+'Inputs for Evans Tables'!C13+'Inputs for Evans Tables'!E13</f>
        <v>402402.5</v>
      </c>
      <c r="L81" s="180">
        <f>+'Inputs for Evans Tables'!G13</f>
        <v>92756.197</v>
      </c>
      <c r="M81" s="180">
        <f>+'Inputs for Evans Tables'!J13</f>
        <v>20774.078</v>
      </c>
      <c r="N81" s="186">
        <f t="shared" si="7"/>
        <v>48747.71652382641</v>
      </c>
      <c r="P81" s="180"/>
      <c r="Q81" s="180"/>
      <c r="S81" s="171"/>
      <c r="U81" s="171"/>
      <c r="W81" s="171"/>
      <c r="Y81" s="171"/>
      <c r="AA81" s="171"/>
      <c r="AC81" s="171"/>
      <c r="AE81" s="171"/>
      <c r="AG81" s="171"/>
      <c r="AI81" s="171"/>
      <c r="AK81" s="171"/>
    </row>
    <row r="82" spans="1:37" ht="12.75">
      <c r="A82" s="165">
        <v>21</v>
      </c>
      <c r="B82" s="173">
        <f t="shared" si="10"/>
        <v>2027</v>
      </c>
      <c r="C82" s="171">
        <f t="shared" si="8"/>
        <v>2689777</v>
      </c>
      <c r="D82" s="171">
        <f t="shared" si="9"/>
        <v>1201996.8834877</v>
      </c>
      <c r="E82" s="171">
        <f t="shared" si="4"/>
        <v>664339.7587021652</v>
      </c>
      <c r="F82" s="171">
        <f t="shared" si="1"/>
        <v>525414.1369780031</v>
      </c>
      <c r="G82" s="171">
        <f>'Inputs for Evans Tables'!N14+$G$147+$G$148+$G$149+'Statement D Table 1'!I30+SUM('Revised Revenue Test'!$F$37:$F$38)</f>
        <v>182809.2711785023</v>
      </c>
      <c r="H82" s="171">
        <f t="shared" si="5"/>
        <v>115216.94965362939</v>
      </c>
      <c r="I82" s="171">
        <f>F82+SUM('Revised Revenue Test'!$F$63,'Revised Revenue Test'!$F$65:$F$69)</f>
        <v>454992.736870197</v>
      </c>
      <c r="J82" s="171">
        <f t="shared" si="6"/>
        <v>570209.6865238263</v>
      </c>
      <c r="K82" s="180">
        <f>+'Inputs for Evans Tables'!C14+'Inputs for Evans Tables'!E14</f>
        <v>415381.25</v>
      </c>
      <c r="L82" s="180">
        <f>+'Inputs for Evans Tables'!G14</f>
        <v>108455.104</v>
      </c>
      <c r="M82" s="180">
        <f>+'Inputs for Evans Tables'!J14</f>
        <v>6120.616</v>
      </c>
      <c r="N82" s="186">
        <f t="shared" si="7"/>
        <v>40252.716523826355</v>
      </c>
      <c r="P82" s="180"/>
      <c r="Q82" s="180"/>
      <c r="S82" s="171"/>
      <c r="U82" s="171"/>
      <c r="W82" s="171"/>
      <c r="Y82" s="171"/>
      <c r="AA82" s="171"/>
      <c r="AC82" s="171"/>
      <c r="AE82" s="171"/>
      <c r="AG82" s="171"/>
      <c r="AI82" s="171"/>
      <c r="AK82" s="171"/>
    </row>
    <row r="83" spans="1:37" ht="12.75">
      <c r="A83" s="165">
        <v>22</v>
      </c>
      <c r="B83" s="173">
        <f t="shared" si="10"/>
        <v>2028</v>
      </c>
      <c r="C83" s="171">
        <f t="shared" si="8"/>
        <v>2689777</v>
      </c>
      <c r="D83" s="171">
        <f t="shared" si="9"/>
        <v>1201996.8834877</v>
      </c>
      <c r="E83" s="171">
        <f t="shared" si="4"/>
        <v>664339.7587021652</v>
      </c>
      <c r="F83" s="171">
        <f t="shared" si="1"/>
        <v>525414.1369780031</v>
      </c>
      <c r="G83" s="171">
        <f>'Inputs for Evans Tables'!N15+$G$147+$G$148+$G$149+'Statement D Table 1'!I31+SUM('Revised Revenue Test'!$F$37:$F$38)</f>
        <v>177082.0691785023</v>
      </c>
      <c r="H83" s="171">
        <f t="shared" si="5"/>
        <v>120944.15165362938</v>
      </c>
      <c r="I83" s="171">
        <f>F83+SUM('Revised Revenue Test'!$F$63,'Revised Revenue Test'!$F$65:$F$69)</f>
        <v>454992.736870197</v>
      </c>
      <c r="J83" s="171">
        <f t="shared" si="6"/>
        <v>575936.8885238264</v>
      </c>
      <c r="K83" s="180">
        <f>+'Inputs for Evans Tables'!C15+'Inputs for Evans Tables'!E15</f>
        <v>426801.25</v>
      </c>
      <c r="L83" s="180">
        <f>+'Inputs for Evans Tables'!G15</f>
        <v>107007.138</v>
      </c>
      <c r="M83" s="180">
        <f>+'Inputs for Evans Tables'!J15</f>
        <v>11190.784</v>
      </c>
      <c r="N83" s="186">
        <f t="shared" si="7"/>
        <v>30937.716523826355</v>
      </c>
      <c r="P83" s="180"/>
      <c r="Q83" s="180"/>
      <c r="S83" s="171"/>
      <c r="U83" s="171"/>
      <c r="W83" s="171"/>
      <c r="Y83" s="171"/>
      <c r="AA83" s="171"/>
      <c r="AC83" s="171"/>
      <c r="AE83" s="171"/>
      <c r="AG83" s="171"/>
      <c r="AI83" s="171"/>
      <c r="AK83" s="171"/>
    </row>
    <row r="84" spans="1:37" ht="12.75">
      <c r="A84" s="165">
        <v>23</v>
      </c>
      <c r="B84" s="173">
        <f t="shared" si="10"/>
        <v>2029</v>
      </c>
      <c r="C84" s="171">
        <f t="shared" si="8"/>
        <v>2689777</v>
      </c>
      <c r="D84" s="171">
        <f t="shared" si="9"/>
        <v>1201996.8834877</v>
      </c>
      <c r="E84" s="171">
        <f t="shared" si="4"/>
        <v>664339.7587021652</v>
      </c>
      <c r="F84" s="171">
        <f t="shared" si="1"/>
        <v>525414.1369780031</v>
      </c>
      <c r="G84" s="171">
        <f>'Inputs for Evans Tables'!N16+$G$147+$G$148+$G$149+'Statement D Table 1'!I32+SUM('Revised Revenue Test'!$F$37:$F$38)</f>
        <v>167321.2021785023</v>
      </c>
      <c r="H84" s="171">
        <f t="shared" si="5"/>
        <v>130705.01865362938</v>
      </c>
      <c r="I84" s="171">
        <f>F84+SUM('Revised Revenue Test'!$F$63,'Revised Revenue Test'!$F$65:$F$69)</f>
        <v>454992.736870197</v>
      </c>
      <c r="J84" s="171">
        <f t="shared" si="6"/>
        <v>585697.7555238263</v>
      </c>
      <c r="K84" s="180">
        <f>+'Inputs for Evans Tables'!C16+'Inputs for Evans Tables'!E16</f>
        <v>125731.91825</v>
      </c>
      <c r="L84" s="180">
        <f>+'Inputs for Evans Tables'!G16</f>
        <v>434048.486</v>
      </c>
      <c r="M84" s="180">
        <f>+'Inputs for Evans Tables'!J16</f>
        <v>4064.635</v>
      </c>
      <c r="N84" s="186">
        <f t="shared" si="7"/>
        <v>21852.716273826358</v>
      </c>
      <c r="P84" s="180"/>
      <c r="Q84" s="180"/>
      <c r="S84" s="171"/>
      <c r="U84" s="171"/>
      <c r="W84" s="171"/>
      <c r="Y84" s="171"/>
      <c r="AA84" s="171"/>
      <c r="AC84" s="171"/>
      <c r="AE84" s="171"/>
      <c r="AG84" s="171"/>
      <c r="AI84" s="171"/>
      <c r="AK84" s="171"/>
    </row>
    <row r="85" spans="1:37" ht="12.75">
      <c r="A85" s="165">
        <v>24</v>
      </c>
      <c r="B85" s="173">
        <f t="shared" si="10"/>
        <v>2030</v>
      </c>
      <c r="C85" s="171">
        <f t="shared" si="8"/>
        <v>2689777</v>
      </c>
      <c r="D85" s="171">
        <f t="shared" si="9"/>
        <v>1201996.8834877</v>
      </c>
      <c r="E85" s="171">
        <f t="shared" si="4"/>
        <v>664339.7587021652</v>
      </c>
      <c r="F85" s="171">
        <f t="shared" si="1"/>
        <v>525414.1369780031</v>
      </c>
      <c r="G85" s="171">
        <f>'Inputs for Evans Tables'!N17+$G$147+$G$148+$G$149+'Statement D Table 1'!I33+SUM('Revised Revenue Test'!$F$37:$F$38)</f>
        <v>152104.3591785023</v>
      </c>
      <c r="H85" s="171">
        <f t="shared" si="5"/>
        <v>145921.8616536294</v>
      </c>
      <c r="I85" s="171">
        <f>F85+SUM('Revised Revenue Test'!$F$63,'Revised Revenue Test'!$F$65:$F$69)</f>
        <v>454992.736870197</v>
      </c>
      <c r="J85" s="171">
        <f t="shared" si="6"/>
        <v>600914.5985238263</v>
      </c>
      <c r="K85" s="180">
        <f>+'Inputs for Evans Tables'!C17+'Inputs for Evans Tables'!E17</f>
        <v>232849.3815</v>
      </c>
      <c r="L85" s="180">
        <f>+'Inputs for Evans Tables'!G17</f>
        <v>344216.768</v>
      </c>
      <c r="M85" s="180">
        <f>+'Inputs for Evans Tables'!J17</f>
        <v>1995.733</v>
      </c>
      <c r="N85" s="186">
        <f t="shared" si="7"/>
        <v>21852.71602382636</v>
      </c>
      <c r="P85" s="180"/>
      <c r="Q85" s="180"/>
      <c r="S85" s="171"/>
      <c r="U85" s="171"/>
      <c r="W85" s="171"/>
      <c r="Y85" s="171"/>
      <c r="AA85" s="171"/>
      <c r="AC85" s="171"/>
      <c r="AE85" s="171"/>
      <c r="AG85" s="171"/>
      <c r="AI85" s="171"/>
      <c r="AK85" s="171"/>
    </row>
    <row r="86" spans="1:37" ht="12.75">
      <c r="A86" s="165">
        <v>25</v>
      </c>
      <c r="B86" s="173">
        <f t="shared" si="10"/>
        <v>2031</v>
      </c>
      <c r="C86" s="171">
        <f t="shared" si="8"/>
        <v>2689777</v>
      </c>
      <c r="D86" s="171">
        <f t="shared" si="9"/>
        <v>1201996.8834877</v>
      </c>
      <c r="E86" s="171">
        <f t="shared" si="4"/>
        <v>664339.7587021652</v>
      </c>
      <c r="F86" s="171">
        <f t="shared" si="1"/>
        <v>525414.1369780031</v>
      </c>
      <c r="G86" s="171">
        <f>'Inputs for Evans Tables'!N18+$G$147+$G$148+$G$149+'Statement D Table 1'!I34+SUM('Revised Revenue Test'!$F$37:$F$38)</f>
        <v>134769.9421785023</v>
      </c>
      <c r="H86" s="171">
        <f t="shared" si="5"/>
        <v>163256.2786536294</v>
      </c>
      <c r="I86" s="171">
        <f>F86+SUM('Revised Revenue Test'!$F$63,'Revised Revenue Test'!$F$65:$F$69)</f>
        <v>454992.736870197</v>
      </c>
      <c r="J86" s="171">
        <f t="shared" si="6"/>
        <v>618249.0155238264</v>
      </c>
      <c r="K86" s="180">
        <f>+'Inputs for Evans Tables'!C18+'Inputs for Evans Tables'!E18</f>
        <v>228686.42225</v>
      </c>
      <c r="L86" s="180">
        <f>+'Inputs for Evans Tables'!G18</f>
        <v>357179.701</v>
      </c>
      <c r="M86" s="180">
        <f>+'Inputs for Evans Tables'!J18</f>
        <v>10530.176</v>
      </c>
      <c r="N86" s="186">
        <f t="shared" si="7"/>
        <v>21852.716273826343</v>
      </c>
      <c r="P86" s="180"/>
      <c r="Q86" s="180"/>
      <c r="S86" s="171"/>
      <c r="U86" s="171"/>
      <c r="W86" s="171"/>
      <c r="Y86" s="171"/>
      <c r="AA86" s="171"/>
      <c r="AC86" s="171"/>
      <c r="AE86" s="171"/>
      <c r="AG86" s="171"/>
      <c r="AI86" s="171"/>
      <c r="AK86" s="171"/>
    </row>
    <row r="87" spans="1:37" ht="12.75">
      <c r="A87" s="165">
        <v>26</v>
      </c>
      <c r="B87" s="173">
        <f>B86+1</f>
        <v>2032</v>
      </c>
      <c r="C87" s="171">
        <f t="shared" si="8"/>
        <v>2689777</v>
      </c>
      <c r="D87" s="171">
        <f t="shared" si="9"/>
        <v>1201996.8834877</v>
      </c>
      <c r="E87" s="171">
        <f t="shared" si="4"/>
        <v>664339.7587021652</v>
      </c>
      <c r="F87" s="171">
        <f t="shared" si="1"/>
        <v>525414.1369780031</v>
      </c>
      <c r="G87" s="171">
        <f>'Inputs for Evans Tables'!N19+$G$147+$G$148+$G$149+'Statement D Table 1'!I35+SUM('Revised Revenue Test'!$F$37:$F$38)</f>
        <v>121516.8961785023</v>
      </c>
      <c r="H87" s="171">
        <f t="shared" si="5"/>
        <v>176509.3246536294</v>
      </c>
      <c r="I87" s="171">
        <f>F87+SUM('Revised Revenue Test'!$F$63,'Revised Revenue Test'!$F$65:$F$69)</f>
        <v>454992.736870197</v>
      </c>
      <c r="J87" s="171">
        <f t="shared" si="6"/>
        <v>631502.0615238263</v>
      </c>
      <c r="K87" s="180">
        <f>+'Inputs for Evans Tables'!C19+'Inputs for Evans Tables'!E19</f>
        <v>185934.1415</v>
      </c>
      <c r="L87" s="180">
        <f>+'Inputs for Evans Tables'!G19</f>
        <v>423715.204</v>
      </c>
      <c r="M87" s="180">
        <f>+'Inputs for Evans Tables'!J19</f>
        <v>0</v>
      </c>
      <c r="N87" s="186">
        <f t="shared" si="7"/>
        <v>21852.716023826302</v>
      </c>
      <c r="P87" s="180"/>
      <c r="Q87" s="180"/>
      <c r="S87" s="171"/>
      <c r="U87" s="171"/>
      <c r="W87" s="171"/>
      <c r="Y87" s="171"/>
      <c r="AA87" s="171"/>
      <c r="AC87" s="171"/>
      <c r="AE87" s="171"/>
      <c r="AG87" s="171"/>
      <c r="AI87" s="171"/>
      <c r="AK87" s="171"/>
    </row>
    <row r="88" spans="1:37" ht="12.75">
      <c r="A88" s="165">
        <v>27</v>
      </c>
      <c r="B88" s="173">
        <f t="shared" si="10"/>
        <v>2033</v>
      </c>
      <c r="C88" s="171">
        <f t="shared" si="8"/>
        <v>2689777</v>
      </c>
      <c r="D88" s="171">
        <f t="shared" si="9"/>
        <v>1201996.8834877</v>
      </c>
      <c r="E88" s="171">
        <f t="shared" si="4"/>
        <v>664339.7587021652</v>
      </c>
      <c r="F88" s="171">
        <f t="shared" si="1"/>
        <v>525414.1369780031</v>
      </c>
      <c r="G88" s="171">
        <f>'Inputs for Evans Tables'!N20+$G$147+$G$148+$G$149+'Statement D Table 1'!I36+SUM('Revised Revenue Test'!$F$37:$F$38)</f>
        <v>107900.71717850232</v>
      </c>
      <c r="H88" s="171">
        <f t="shared" si="5"/>
        <v>190125.50365362936</v>
      </c>
      <c r="I88" s="171">
        <f>F88+SUM('Revised Revenue Test'!$F$63,'Revised Revenue Test'!$F$65:$F$69)</f>
        <v>454992.736870197</v>
      </c>
      <c r="J88" s="171">
        <f t="shared" si="6"/>
        <v>645118.2405238263</v>
      </c>
      <c r="K88" s="180">
        <f>+'Inputs for Evans Tables'!C20+'Inputs for Evans Tables'!E20</f>
        <v>184952.2825</v>
      </c>
      <c r="L88" s="180">
        <f>+'Inputs for Evans Tables'!G20</f>
        <v>433966.306</v>
      </c>
      <c r="M88" s="180">
        <f>+'Inputs for Evans Tables'!J20</f>
        <v>4346.935</v>
      </c>
      <c r="N88" s="228">
        <f t="shared" si="7"/>
        <v>21852.71702382635</v>
      </c>
      <c r="P88" s="180"/>
      <c r="Q88" s="180"/>
      <c r="S88" s="171"/>
      <c r="U88" s="171"/>
      <c r="W88" s="171"/>
      <c r="Y88" s="171"/>
      <c r="AA88" s="171"/>
      <c r="AC88" s="171"/>
      <c r="AE88" s="171"/>
      <c r="AG88" s="171"/>
      <c r="AI88" s="171"/>
      <c r="AK88" s="171"/>
    </row>
    <row r="89" spans="1:37" ht="12.75">
      <c r="A89" s="165">
        <v>28</v>
      </c>
      <c r="B89" s="173">
        <f t="shared" si="10"/>
        <v>2034</v>
      </c>
      <c r="C89" s="171">
        <f t="shared" si="8"/>
        <v>2689777</v>
      </c>
      <c r="D89" s="171">
        <f t="shared" si="9"/>
        <v>1201996.8834877</v>
      </c>
      <c r="E89" s="171">
        <f t="shared" si="4"/>
        <v>664339.7587021652</v>
      </c>
      <c r="F89" s="171">
        <f t="shared" si="1"/>
        <v>525414.1369780031</v>
      </c>
      <c r="G89" s="171">
        <f>'Inputs for Evans Tables'!N21+$G$147+$G$148+$G$149+'Statement D Table 1'!I37+SUM('Revised Revenue Test'!$F$37:$F$38)</f>
        <v>76330.06917850231</v>
      </c>
      <c r="H89" s="171">
        <f t="shared" si="5"/>
        <v>221696.15165362938</v>
      </c>
      <c r="I89" s="171">
        <f>F89+SUM('Revised Revenue Test'!$F$63,'Revised Revenue Test'!$F$65:$F$69)</f>
        <v>454992.736870197</v>
      </c>
      <c r="J89" s="171">
        <f t="shared" si="6"/>
        <v>676688.8885238264</v>
      </c>
      <c r="K89" s="180">
        <f>+'Inputs for Evans Tables'!C21+'Inputs for Evans Tables'!E21</f>
        <v>190005.36025</v>
      </c>
      <c r="L89" s="180">
        <f>+'Inputs for Evans Tables'!G21</f>
        <v>464830.812</v>
      </c>
      <c r="M89" s="180">
        <f>+'Inputs for Evans Tables'!J21</f>
        <v>0</v>
      </c>
      <c r="N89" s="228">
        <f t="shared" si="7"/>
        <v>21852.7162738264</v>
      </c>
      <c r="P89" s="180"/>
      <c r="Q89" s="180"/>
      <c r="S89" s="171"/>
      <c r="U89" s="171"/>
      <c r="W89" s="171"/>
      <c r="Y89" s="171"/>
      <c r="AA89" s="171"/>
      <c r="AC89" s="171"/>
      <c r="AE89" s="171"/>
      <c r="AG89" s="171"/>
      <c r="AI89" s="171"/>
      <c r="AK89" s="171"/>
    </row>
    <row r="90" spans="1:37" ht="12.75">
      <c r="A90" s="165">
        <v>29</v>
      </c>
      <c r="B90" s="173">
        <f t="shared" si="10"/>
        <v>2035</v>
      </c>
      <c r="C90" s="171">
        <f t="shared" si="8"/>
        <v>2689777</v>
      </c>
      <c r="D90" s="171">
        <f t="shared" si="9"/>
        <v>1201996.8834877</v>
      </c>
      <c r="E90" s="171">
        <f t="shared" si="4"/>
        <v>664339.7587021652</v>
      </c>
      <c r="F90" s="171">
        <f t="shared" si="1"/>
        <v>525414.1369780031</v>
      </c>
      <c r="G90" s="171">
        <f>'Inputs for Evans Tables'!N22+$G$147+$G$148+$G$149+'Statement D Table 1'!I38+SUM('Revised Revenue Test'!$F$37:$F$38)</f>
        <v>43010.197178502305</v>
      </c>
      <c r="H90" s="171">
        <f t="shared" si="5"/>
        <v>255016.02365362938</v>
      </c>
      <c r="I90" s="171">
        <f>F90+SUM('Revised Revenue Test'!$F$63,'Revised Revenue Test'!$F$65:$F$69)</f>
        <v>454992.736870197</v>
      </c>
      <c r="J90" s="171">
        <f t="shared" si="6"/>
        <v>710008.7605238263</v>
      </c>
      <c r="K90" s="180">
        <f>+'Inputs for Evans Tables'!C22+'Inputs for Evans Tables'!E22</f>
        <v>171844.1805</v>
      </c>
      <c r="L90" s="180">
        <f>+'Inputs for Evans Tables'!G22</f>
        <v>508545.78</v>
      </c>
      <c r="M90" s="180">
        <f>+'Inputs for Evans Tables'!J22</f>
        <v>7766.083</v>
      </c>
      <c r="N90" s="228">
        <f t="shared" si="7"/>
        <v>21852.71702382632</v>
      </c>
      <c r="P90" s="180"/>
      <c r="Q90" s="180"/>
      <c r="S90" s="171"/>
      <c r="U90" s="171"/>
      <c r="W90" s="171"/>
      <c r="Y90" s="171"/>
      <c r="AA90" s="171"/>
      <c r="AC90" s="171"/>
      <c r="AE90" s="171"/>
      <c r="AG90" s="171"/>
      <c r="AI90" s="171"/>
      <c r="AK90" s="171"/>
    </row>
    <row r="91" spans="1:37" ht="12.75">
      <c r="A91" s="165">
        <v>30</v>
      </c>
      <c r="B91" s="173">
        <f t="shared" si="10"/>
        <v>2036</v>
      </c>
      <c r="C91" s="171">
        <f t="shared" si="8"/>
        <v>2689777</v>
      </c>
      <c r="D91" s="171">
        <f t="shared" si="9"/>
        <v>1201996.8834877</v>
      </c>
      <c r="E91" s="171">
        <f t="shared" si="4"/>
        <v>664339.7587021652</v>
      </c>
      <c r="F91" s="171">
        <f t="shared" si="1"/>
        <v>525414.1369780031</v>
      </c>
      <c r="G91" s="171">
        <f>'Inputs for Evans Tables'!N23+$G$147+$G$148+$G$149+'Statement D Table 1'!I39+SUM('Revised Revenue Test'!$F$37:$F$38)</f>
        <v>59338.18117850232</v>
      </c>
      <c r="H91" s="171">
        <f t="shared" si="5"/>
        <v>238688.03965362936</v>
      </c>
      <c r="I91" s="171">
        <f>F91+SUM('Revised Revenue Test'!$F$63,'Revised Revenue Test'!$F$65:$F$69)</f>
        <v>454992.736870197</v>
      </c>
      <c r="J91" s="171">
        <f t="shared" si="6"/>
        <v>693680.7765238264</v>
      </c>
      <c r="K91" s="180">
        <f>+'Inputs for Evans Tables'!C23+'Inputs for Evans Tables'!E23</f>
        <v>163763.34325</v>
      </c>
      <c r="L91" s="180">
        <f>+'Inputs for Evans Tables'!G23</f>
        <v>479144.2682</v>
      </c>
      <c r="M91" s="180">
        <f>+'Inputs for Evans Tables'!J23</f>
        <v>28920.449</v>
      </c>
      <c r="N91" s="228">
        <f t="shared" si="7"/>
        <v>21852.71607382642</v>
      </c>
      <c r="P91" s="180"/>
      <c r="Q91" s="180"/>
      <c r="S91" s="171"/>
      <c r="U91" s="171"/>
      <c r="W91" s="171"/>
      <c r="Y91" s="171"/>
      <c r="AA91" s="171"/>
      <c r="AC91" s="171"/>
      <c r="AE91" s="171"/>
      <c r="AG91" s="171"/>
      <c r="AI91" s="171"/>
      <c r="AK91" s="171"/>
    </row>
    <row r="92" spans="1:37" ht="12.75">
      <c r="A92" s="165">
        <v>31</v>
      </c>
      <c r="B92" s="173">
        <f>B91+1</f>
        <v>2037</v>
      </c>
      <c r="C92" s="171">
        <f t="shared" si="8"/>
        <v>2689777</v>
      </c>
      <c r="D92" s="171">
        <f t="shared" si="9"/>
        <v>1201996.8834877</v>
      </c>
      <c r="E92" s="171">
        <f t="shared" si="4"/>
        <v>664339.7587021652</v>
      </c>
      <c r="F92" s="171">
        <f t="shared" si="1"/>
        <v>525414.1369780031</v>
      </c>
      <c r="G92" s="171">
        <f>'Inputs for Evans Tables'!N24+$G$147+$G$148+$G$149+'Statement D Table 1'!I40+SUM('Revised Revenue Test'!$F$37:$F$38)</f>
        <v>40407.51217850232</v>
      </c>
      <c r="H92" s="171">
        <f t="shared" si="5"/>
        <v>257618.70865362935</v>
      </c>
      <c r="I92" s="171">
        <f>F92+SUM('Revised Revenue Test'!$F$63,'Revised Revenue Test'!$F$65:$F$69)</f>
        <v>454992.736870197</v>
      </c>
      <c r="J92" s="171">
        <f t="shared" si="6"/>
        <v>712611.4455238264</v>
      </c>
      <c r="K92" s="180">
        <f>+'Inputs for Evans Tables'!C24+'Inputs for Evans Tables'!E24</f>
        <v>166016.2465</v>
      </c>
      <c r="L92" s="180">
        <f>+'Inputs for Evans Tables'!G24</f>
        <v>509032.6018</v>
      </c>
      <c r="M92" s="180">
        <f>+'Inputs for Evans Tables'!J24</f>
        <v>15709.88</v>
      </c>
      <c r="N92" s="228">
        <f t="shared" si="7"/>
        <v>21852.71722382639</v>
      </c>
      <c r="P92" s="180"/>
      <c r="Q92" s="180"/>
      <c r="S92" s="171"/>
      <c r="U92" s="171"/>
      <c r="W92" s="171"/>
      <c r="Y92" s="171"/>
      <c r="AA92" s="171"/>
      <c r="AC92" s="171"/>
      <c r="AE92" s="171"/>
      <c r="AG92" s="171"/>
      <c r="AI92" s="171"/>
      <c r="AK92" s="171"/>
    </row>
    <row r="93" spans="1:37" ht="12.75">
      <c r="A93" s="165">
        <v>32</v>
      </c>
      <c r="B93" s="173">
        <f t="shared" si="10"/>
        <v>2038</v>
      </c>
      <c r="C93" s="171">
        <f t="shared" si="8"/>
        <v>2689777</v>
      </c>
      <c r="D93" s="171">
        <f t="shared" si="9"/>
        <v>1201996.8834877</v>
      </c>
      <c r="E93" s="171">
        <f t="shared" si="4"/>
        <v>664339.7587021652</v>
      </c>
      <c r="F93" s="171">
        <f t="shared" si="1"/>
        <v>525414.1369780031</v>
      </c>
      <c r="G93" s="171">
        <f>'Inputs for Evans Tables'!N25+$G$147+$G$148+$G$149+'Statement D Table 1'!I41+SUM('Revised Revenue Test'!$F$37:$F$38)</f>
        <v>19362.35617850232</v>
      </c>
      <c r="H93" s="171">
        <f t="shared" si="5"/>
        <v>278663.86465362937</v>
      </c>
      <c r="I93" s="171">
        <f>F93+SUM('Revised Revenue Test'!$F$63,'Revised Revenue Test'!$F$65:$F$69)</f>
        <v>454992.736870197</v>
      </c>
      <c r="J93" s="171">
        <f t="shared" si="6"/>
        <v>733656.6015238264</v>
      </c>
      <c r="K93" s="180">
        <f>+'Inputs for Evans Tables'!C25+'Inputs for Evans Tables'!E25</f>
        <v>142400.087</v>
      </c>
      <c r="L93" s="180">
        <f>+'Inputs for Evans Tables'!G25</f>
        <v>569403.7982</v>
      </c>
      <c r="M93" s="180">
        <f>+'Inputs for Evans Tables'!J25</f>
        <v>0</v>
      </c>
      <c r="N93" s="228">
        <f t="shared" si="7"/>
        <v>21852.716323826404</v>
      </c>
      <c r="P93" s="180"/>
      <c r="Q93" s="180"/>
      <c r="S93" s="171"/>
      <c r="U93" s="171"/>
      <c r="W93" s="171"/>
      <c r="Y93" s="171"/>
      <c r="AA93" s="171"/>
      <c r="AC93" s="171"/>
      <c r="AE93" s="171"/>
      <c r="AG93" s="171"/>
      <c r="AI93" s="171"/>
      <c r="AK93" s="171"/>
    </row>
    <row r="94" spans="1:37" ht="12.75">
      <c r="A94" s="165">
        <v>33</v>
      </c>
      <c r="B94" s="173">
        <f t="shared" si="10"/>
        <v>2039</v>
      </c>
      <c r="C94" s="171">
        <f t="shared" si="8"/>
        <v>2689777</v>
      </c>
      <c r="D94" s="171">
        <f t="shared" si="9"/>
        <v>1201996.8834877</v>
      </c>
      <c r="E94" s="171">
        <f t="shared" si="4"/>
        <v>664339.7587021652</v>
      </c>
      <c r="F94" s="171">
        <f t="shared" si="1"/>
        <v>525414.1369780031</v>
      </c>
      <c r="G94" s="171">
        <f>'Inputs for Evans Tables'!N26+$G$147+$G$148+$G$149+'Statement D Table 1'!I42+SUM('Revised Revenue Test'!$F$37:$F$38)</f>
        <v>-3934.522821497705</v>
      </c>
      <c r="H94" s="171">
        <f t="shared" si="5"/>
        <v>301960.7436536294</v>
      </c>
      <c r="I94" s="171">
        <f>F94+SUM('Revised Revenue Test'!$F$63,'Revised Revenue Test'!$F$65:$F$69)</f>
        <v>454992.736870197</v>
      </c>
      <c r="J94" s="171">
        <f t="shared" si="6"/>
        <v>756953.4805238263</v>
      </c>
      <c r="K94" s="180">
        <f>+'Inputs for Evans Tables'!C26+'Inputs for Evans Tables'!E26</f>
        <v>63017.1145</v>
      </c>
      <c r="L94" s="180">
        <f>+'Inputs for Evans Tables'!G26</f>
        <v>658014.3912</v>
      </c>
      <c r="M94" s="180">
        <f>+'Inputs for Evans Tables'!J26</f>
        <v>14069.258</v>
      </c>
      <c r="N94" s="228">
        <f t="shared" si="7"/>
        <v>21852.716823826362</v>
      </c>
      <c r="P94" s="180"/>
      <c r="Q94" s="180"/>
      <c r="S94" s="171"/>
      <c r="U94" s="171"/>
      <c r="W94" s="171"/>
      <c r="Y94" s="171"/>
      <c r="AA94" s="171"/>
      <c r="AC94" s="171"/>
      <c r="AE94" s="171"/>
      <c r="AG94" s="171"/>
      <c r="AI94" s="171"/>
      <c r="AK94" s="171"/>
    </row>
    <row r="95" spans="1:37" ht="12.75">
      <c r="A95" s="165">
        <v>34</v>
      </c>
      <c r="B95" s="173">
        <f t="shared" si="10"/>
        <v>2040</v>
      </c>
      <c r="C95" s="171">
        <f t="shared" si="8"/>
        <v>2689777</v>
      </c>
      <c r="D95" s="171">
        <f t="shared" si="9"/>
        <v>1201996.8834877</v>
      </c>
      <c r="E95" s="171">
        <f t="shared" si="4"/>
        <v>664339.7587021652</v>
      </c>
      <c r="F95" s="171">
        <f t="shared" si="1"/>
        <v>525414.1369780031</v>
      </c>
      <c r="G95" s="171">
        <f>'Inputs for Evans Tables'!N27+$G$147+$G$148+$G$149+'Statement D Table 1'!I43+SUM('Revised Revenue Test'!$F$37:$F$38)</f>
        <v>-25650.8208214977</v>
      </c>
      <c r="H95" s="171">
        <f t="shared" si="5"/>
        <v>323677.0416536294</v>
      </c>
      <c r="I95" s="171">
        <f>F95+SUM('Revised Revenue Test'!$F$63,'Revised Revenue Test'!$F$65:$F$69)</f>
        <v>454992.736870197</v>
      </c>
      <c r="J95" s="171">
        <f t="shared" si="6"/>
        <v>778669.7785238264</v>
      </c>
      <c r="K95" s="180">
        <f>+'Inputs for Evans Tables'!C27+'Inputs for Evans Tables'!E27</f>
        <v>61720.88675</v>
      </c>
      <c r="L95" s="180">
        <f>+'Inputs for Evans Tables'!G27</f>
        <v>695096.1752</v>
      </c>
      <c r="M95" s="180">
        <f>+'Inputs for Evans Tables'!J27</f>
        <v>0</v>
      </c>
      <c r="N95" s="228">
        <f t="shared" si="7"/>
        <v>21852.716573826336</v>
      </c>
      <c r="P95" s="180"/>
      <c r="Q95" s="180"/>
      <c r="S95" s="171"/>
      <c r="U95" s="171"/>
      <c r="W95" s="171"/>
      <c r="Y95" s="171"/>
      <c r="AA95" s="171"/>
      <c r="AC95" s="171"/>
      <c r="AE95" s="171"/>
      <c r="AG95" s="171"/>
      <c r="AI95" s="171"/>
      <c r="AK95" s="171"/>
    </row>
    <row r="96" spans="1:37" ht="12.75">
      <c r="A96" s="165">
        <v>35</v>
      </c>
      <c r="B96" s="173">
        <f t="shared" si="10"/>
        <v>2041</v>
      </c>
      <c r="C96" s="171">
        <f t="shared" si="8"/>
        <v>2689777</v>
      </c>
      <c r="D96" s="171">
        <f t="shared" si="9"/>
        <v>1201996.8834877</v>
      </c>
      <c r="E96" s="171">
        <f t="shared" si="4"/>
        <v>664339.7587021652</v>
      </c>
      <c r="F96" s="171">
        <f t="shared" si="1"/>
        <v>525414.1369780031</v>
      </c>
      <c r="G96" s="171">
        <f>'Inputs for Evans Tables'!N28+$G$147+$G$148+$G$149+'Statement D Table 1'!I44+SUM('Revised Revenue Test'!$F$37:$F$38)</f>
        <v>-47150.88382149769</v>
      </c>
      <c r="H96" s="171">
        <f t="shared" si="5"/>
        <v>345177.10465362936</v>
      </c>
      <c r="I96" s="171">
        <f>F96+SUM('Revised Revenue Test'!$F$63,'Revised Revenue Test'!$F$65:$F$69)</f>
        <v>454992.736870197</v>
      </c>
      <c r="J96" s="171">
        <f t="shared" si="6"/>
        <v>800169.8415238264</v>
      </c>
      <c r="K96" s="180">
        <f>+'Inputs for Evans Tables'!C28+'Inputs for Evans Tables'!E28</f>
        <v>55735.01875</v>
      </c>
      <c r="L96" s="180">
        <f>+'Inputs for Evans Tables'!G28</f>
        <v>648923.1062</v>
      </c>
      <c r="M96" s="180">
        <f>+'Inputs for Evans Tables'!J28</f>
        <v>73659</v>
      </c>
      <c r="N96" s="186">
        <f t="shared" si="7"/>
        <v>21852.716573826314</v>
      </c>
      <c r="P96" s="180"/>
      <c r="Q96" s="180"/>
      <c r="S96" s="171"/>
      <c r="U96" s="171"/>
      <c r="W96" s="171"/>
      <c r="Y96" s="171"/>
      <c r="AA96" s="171"/>
      <c r="AC96" s="171"/>
      <c r="AE96" s="171"/>
      <c r="AG96" s="171"/>
      <c r="AI96" s="171"/>
      <c r="AK96" s="171"/>
    </row>
    <row r="97" spans="1:37" ht="12.75">
      <c r="A97" s="165">
        <v>36</v>
      </c>
      <c r="B97" s="173">
        <f>B96+1</f>
        <v>2042</v>
      </c>
      <c r="C97" s="171">
        <f t="shared" si="8"/>
        <v>2689777</v>
      </c>
      <c r="D97" s="171">
        <f t="shared" si="9"/>
        <v>1201996.8834877</v>
      </c>
      <c r="E97" s="171">
        <f t="shared" si="4"/>
        <v>664339.7587021652</v>
      </c>
      <c r="F97" s="171">
        <f t="shared" si="1"/>
        <v>525414.1369780031</v>
      </c>
      <c r="G97" s="171">
        <f>'Inputs for Evans Tables'!N29+$G$147+$G$148+$G$149+'Statement D Table 1'!I45+SUM('Revised Revenue Test'!$F$37:$F$38)</f>
        <v>-64819.14082149769</v>
      </c>
      <c r="H97" s="171">
        <f t="shared" si="5"/>
        <v>362845.3616536294</v>
      </c>
      <c r="I97" s="171">
        <f>F97+SUM('Revised Revenue Test'!$F$63,'Revised Revenue Test'!$F$65:$F$69)</f>
        <v>454992.736870197</v>
      </c>
      <c r="J97" s="171">
        <f t="shared" si="6"/>
        <v>817838.0985238263</v>
      </c>
      <c r="K97" s="180">
        <f>+'Inputs for Evans Tables'!C29+'Inputs for Evans Tables'!E29</f>
        <v>56376.94</v>
      </c>
      <c r="L97" s="180">
        <f>+'Inputs for Evans Tables'!G29</f>
        <v>526290.8092</v>
      </c>
      <c r="M97" s="180">
        <f>+'Inputs for Evans Tables'!J29</f>
        <v>0</v>
      </c>
      <c r="N97" s="186">
        <f t="shared" si="7"/>
        <v>235170.34932382632</v>
      </c>
      <c r="P97" s="180"/>
      <c r="Q97" s="180"/>
      <c r="S97" s="171"/>
      <c r="U97" s="171"/>
      <c r="W97" s="171"/>
      <c r="Y97" s="171"/>
      <c r="AA97" s="171"/>
      <c r="AC97" s="171"/>
      <c r="AE97" s="171"/>
      <c r="AG97" s="171"/>
      <c r="AI97" s="171"/>
      <c r="AK97" s="171"/>
    </row>
    <row r="98" spans="1:37" ht="12.75">
      <c r="A98" s="165">
        <v>37</v>
      </c>
      <c r="B98" s="173">
        <f t="shared" si="10"/>
        <v>2043</v>
      </c>
      <c r="C98" s="171">
        <f t="shared" si="8"/>
        <v>2689777</v>
      </c>
      <c r="D98" s="171">
        <f t="shared" si="9"/>
        <v>1201996.8834877</v>
      </c>
      <c r="E98" s="171">
        <f t="shared" si="4"/>
        <v>664339.7587021652</v>
      </c>
      <c r="F98" s="171">
        <f t="shared" si="1"/>
        <v>525414.1369780031</v>
      </c>
      <c r="G98" s="171">
        <f>'Inputs for Evans Tables'!N30+$G$147+$G$148+$G$149+'Statement D Table 1'!I46+SUM('Revised Revenue Test'!$F$37:$F$38)</f>
        <v>-73474.9518214977</v>
      </c>
      <c r="H98" s="171">
        <f t="shared" si="5"/>
        <v>371501.1726536294</v>
      </c>
      <c r="I98" s="171">
        <f>F98+SUM('Revised Revenue Test'!$F$63,'Revised Revenue Test'!$F$65:$F$69)</f>
        <v>454992.736870197</v>
      </c>
      <c r="J98" s="171">
        <f t="shared" si="6"/>
        <v>826493.9095238263</v>
      </c>
      <c r="K98" s="180">
        <f>+'Inputs for Evans Tables'!C30+'Inputs for Evans Tables'!E30</f>
        <v>57046.64725</v>
      </c>
      <c r="L98" s="180">
        <f>+'Inputs for Evans Tables'!G30</f>
        <v>213149.8324</v>
      </c>
      <c r="M98" s="180">
        <f>+'Inputs for Evans Tables'!J30</f>
        <v>0</v>
      </c>
      <c r="N98" s="186">
        <f t="shared" si="7"/>
        <v>556297.4298738263</v>
      </c>
      <c r="P98" s="180"/>
      <c r="Q98" s="180"/>
      <c r="S98" s="171"/>
      <c r="U98" s="171"/>
      <c r="W98" s="171"/>
      <c r="Y98" s="171"/>
      <c r="AA98" s="171"/>
      <c r="AC98" s="171"/>
      <c r="AE98" s="171"/>
      <c r="AG98" s="171"/>
      <c r="AI98" s="171"/>
      <c r="AK98" s="171"/>
    </row>
    <row r="99" spans="1:37" ht="12.75">
      <c r="A99" s="165">
        <v>38</v>
      </c>
      <c r="B99" s="173">
        <f t="shared" si="10"/>
        <v>2044</v>
      </c>
      <c r="C99" s="171">
        <f t="shared" si="8"/>
        <v>2689777</v>
      </c>
      <c r="D99" s="171">
        <f t="shared" si="9"/>
        <v>1201996.8834877</v>
      </c>
      <c r="E99" s="171">
        <f t="shared" si="4"/>
        <v>664339.7587021652</v>
      </c>
      <c r="F99" s="171">
        <f t="shared" si="1"/>
        <v>525414.1369780031</v>
      </c>
      <c r="G99" s="171">
        <f>'Inputs for Evans Tables'!N31+$G$147+$G$148+$G$149+'Statement D Table 1'!I47+SUM('Revised Revenue Test'!$F$37:$F$38)</f>
        <v>-75135.9428214977</v>
      </c>
      <c r="H99" s="171">
        <f t="shared" si="5"/>
        <v>373162.16365362937</v>
      </c>
      <c r="I99" s="171">
        <f>F99+SUM('Revised Revenue Test'!$F$63,'Revised Revenue Test'!$F$65:$F$69)</f>
        <v>454992.736870197</v>
      </c>
      <c r="J99" s="171">
        <f t="shared" si="6"/>
        <v>828154.9005238264</v>
      </c>
      <c r="K99" s="180">
        <f>+'Inputs for Evans Tables'!C31+'Inputs for Evans Tables'!E31</f>
        <v>166138.59775</v>
      </c>
      <c r="L99" s="180">
        <f>+'Inputs for Evans Tables'!G31</f>
        <v>213149.8324</v>
      </c>
      <c r="M99" s="180">
        <f>+'Inputs for Evans Tables'!J31</f>
        <v>0</v>
      </c>
      <c r="N99" s="186">
        <f t="shared" si="7"/>
        <v>448866.47037382633</v>
      </c>
      <c r="P99" s="180"/>
      <c r="Q99" s="180"/>
      <c r="S99" s="171"/>
      <c r="U99" s="171"/>
      <c r="W99" s="171"/>
      <c r="Y99" s="171"/>
      <c r="AA99" s="171"/>
      <c r="AC99" s="171"/>
      <c r="AE99" s="171"/>
      <c r="AG99" s="171"/>
      <c r="AI99" s="171"/>
      <c r="AK99" s="171"/>
    </row>
    <row r="100" spans="1:37" ht="12.75">
      <c r="A100" s="165">
        <v>39</v>
      </c>
      <c r="B100" s="173">
        <f t="shared" si="10"/>
        <v>2045</v>
      </c>
      <c r="C100" s="171">
        <f t="shared" si="8"/>
        <v>2689777</v>
      </c>
      <c r="D100" s="171">
        <f t="shared" si="9"/>
        <v>1201996.8834877</v>
      </c>
      <c r="E100" s="171">
        <f t="shared" si="4"/>
        <v>664339.7587021652</v>
      </c>
      <c r="F100" s="171">
        <f t="shared" si="1"/>
        <v>525414.1369780031</v>
      </c>
      <c r="G100" s="171">
        <f>'Inputs for Evans Tables'!N32+$G$147+$G$148+$G$149+'Statement D Table 1'!I48+SUM('Revised Revenue Test'!$F$37:$F$38)</f>
        <v>-75313.6358214977</v>
      </c>
      <c r="H100" s="171">
        <f t="shared" si="5"/>
        <v>373339.8566536294</v>
      </c>
      <c r="I100" s="171">
        <f>F100+SUM('Revised Revenue Test'!$F$63,'Revised Revenue Test'!$F$65:$F$69)</f>
        <v>454992.736870197</v>
      </c>
      <c r="J100" s="171">
        <f t="shared" si="6"/>
        <v>828332.5935238265</v>
      </c>
      <c r="K100" s="180">
        <f>+'Inputs for Evans Tables'!C32+'Inputs for Evans Tables'!E32</f>
        <v>489036.0925</v>
      </c>
      <c r="L100" s="180">
        <f>+'Inputs for Evans Tables'!G32</f>
        <v>213149.8324</v>
      </c>
      <c r="M100" s="180">
        <f>+'Inputs for Evans Tables'!J32</f>
        <v>11586.122</v>
      </c>
      <c r="N100" s="186">
        <f t="shared" si="7"/>
        <v>114560.54662382649</v>
      </c>
      <c r="P100" s="180"/>
      <c r="Q100" s="180"/>
      <c r="S100" s="171"/>
      <c r="U100" s="171"/>
      <c r="W100" s="171"/>
      <c r="Y100" s="171"/>
      <c r="AA100" s="171"/>
      <c r="AC100" s="171"/>
      <c r="AE100" s="171"/>
      <c r="AG100" s="171"/>
      <c r="AI100" s="171"/>
      <c r="AK100" s="171"/>
    </row>
    <row r="101" spans="1:37" ht="12.75">
      <c r="A101" s="165">
        <v>40</v>
      </c>
      <c r="B101" s="173">
        <f t="shared" si="10"/>
        <v>2046</v>
      </c>
      <c r="C101" s="171">
        <f t="shared" si="8"/>
        <v>2689777</v>
      </c>
      <c r="D101" s="171">
        <f t="shared" si="9"/>
        <v>1201996.8834877</v>
      </c>
      <c r="E101" s="171">
        <f t="shared" si="4"/>
        <v>664339.7587021652</v>
      </c>
      <c r="F101" s="171">
        <f t="shared" si="1"/>
        <v>525414.1369780031</v>
      </c>
      <c r="G101" s="171">
        <f>'Inputs for Evans Tables'!N33+$G$147+$G$148+$G$149+'Statement D Table 1'!I49+SUM('Revised Revenue Test'!$F$37:$F$38)</f>
        <v>-75313.6398214977</v>
      </c>
      <c r="H101" s="171">
        <f t="shared" si="5"/>
        <v>373339.8606536294</v>
      </c>
      <c r="I101" s="171">
        <f>F101+SUM('Revised Revenue Test'!$F$63,'Revised Revenue Test'!$F$65:$F$69)</f>
        <v>454992.736870197</v>
      </c>
      <c r="J101" s="171">
        <f t="shared" si="6"/>
        <v>828332.5975238264</v>
      </c>
      <c r="K101" s="180">
        <f>+'Inputs for Evans Tables'!C33+'Inputs for Evans Tables'!E33</f>
        <v>489035.1625</v>
      </c>
      <c r="L101" s="180">
        <f>+'Inputs for Evans Tables'!G33</f>
        <v>213149.8324</v>
      </c>
      <c r="M101" s="180">
        <f>+'Inputs for Evans Tables'!J33</f>
        <v>0</v>
      </c>
      <c r="N101" s="186">
        <f t="shared" si="7"/>
        <v>126147.60262382647</v>
      </c>
      <c r="P101" s="180"/>
      <c r="Q101" s="180"/>
      <c r="S101" s="171"/>
      <c r="U101" s="171"/>
      <c r="W101" s="171"/>
      <c r="Y101" s="171"/>
      <c r="AA101" s="171"/>
      <c r="AC101" s="171"/>
      <c r="AE101" s="171"/>
      <c r="AG101" s="171"/>
      <c r="AI101" s="171"/>
      <c r="AK101" s="171"/>
    </row>
    <row r="102" spans="1:37" ht="12.75">
      <c r="A102" s="165">
        <v>41</v>
      </c>
      <c r="B102" s="173">
        <f>B101+1</f>
        <v>2047</v>
      </c>
      <c r="C102" s="171">
        <f t="shared" si="8"/>
        <v>2689777</v>
      </c>
      <c r="D102" s="171">
        <f t="shared" si="9"/>
        <v>1201996.8834877</v>
      </c>
      <c r="E102" s="171">
        <f t="shared" si="4"/>
        <v>664339.7587021652</v>
      </c>
      <c r="F102" s="171">
        <f t="shared" si="1"/>
        <v>525414.1369780031</v>
      </c>
      <c r="G102" s="171">
        <f>'Inputs for Evans Tables'!N34+$G$147+$G$148+$G$149+'Statement D Table 1'!I50+SUM('Revised Revenue Test'!$F$37:$F$38)</f>
        <v>-75313.6298214977</v>
      </c>
      <c r="H102" s="171">
        <f t="shared" si="5"/>
        <v>373339.8506536294</v>
      </c>
      <c r="I102" s="171">
        <f>F102+SUM('Revised Revenue Test'!$F$63,'Revised Revenue Test'!$F$65:$F$69)</f>
        <v>454992.736870197</v>
      </c>
      <c r="J102" s="171">
        <f t="shared" si="6"/>
        <v>828332.5875238264</v>
      </c>
      <c r="K102" s="180">
        <f>+'Inputs for Evans Tables'!C34+'Inputs for Evans Tables'!E34</f>
        <v>489037.305</v>
      </c>
      <c r="L102" s="180">
        <f>+'Inputs for Evans Tables'!G34</f>
        <v>213149.8324</v>
      </c>
      <c r="M102" s="180">
        <f>+'Inputs for Evans Tables'!J34</f>
        <v>0</v>
      </c>
      <c r="N102" s="186">
        <f t="shared" si="7"/>
        <v>126145.45012382645</v>
      </c>
      <c r="P102" s="180"/>
      <c r="Q102" s="180"/>
      <c r="S102" s="171"/>
      <c r="U102" s="171"/>
      <c r="W102" s="171"/>
      <c r="Y102" s="171"/>
      <c r="AA102" s="171"/>
      <c r="AC102" s="171"/>
      <c r="AE102" s="171"/>
      <c r="AG102" s="171"/>
      <c r="AI102" s="171"/>
      <c r="AK102" s="171"/>
    </row>
    <row r="103" spans="1:37" ht="12.75">
      <c r="A103" s="165">
        <v>42</v>
      </c>
      <c r="B103" s="173">
        <f t="shared" si="10"/>
        <v>2048</v>
      </c>
      <c r="C103" s="171">
        <f t="shared" si="8"/>
        <v>2689777</v>
      </c>
      <c r="D103" s="171">
        <f t="shared" si="9"/>
        <v>1201996.8834877</v>
      </c>
      <c r="E103" s="171">
        <f t="shared" si="4"/>
        <v>664339.7587021652</v>
      </c>
      <c r="F103" s="171">
        <f t="shared" si="1"/>
        <v>525414.1369780031</v>
      </c>
      <c r="G103" s="171">
        <f>'Inputs for Evans Tables'!N35+$G$147+$G$148+$G$149+'Statement D Table 1'!I51+SUM('Revised Revenue Test'!$F$37:$F$38)</f>
        <v>-75313.6398214977</v>
      </c>
      <c r="H103" s="171">
        <f t="shared" si="5"/>
        <v>373339.8606536294</v>
      </c>
      <c r="I103" s="171">
        <f>F103+SUM('Revised Revenue Test'!$F$63,'Revised Revenue Test'!$F$65:$F$69)</f>
        <v>454992.736870197</v>
      </c>
      <c r="J103" s="171">
        <f t="shared" si="6"/>
        <v>828332.5975238264</v>
      </c>
      <c r="K103" s="180">
        <f>+'Inputs for Evans Tables'!C35+'Inputs for Evans Tables'!E35</f>
        <v>489035.14</v>
      </c>
      <c r="L103" s="180">
        <f>+'Inputs for Evans Tables'!G35</f>
        <v>213149.8324</v>
      </c>
      <c r="M103" s="180">
        <f>+'Inputs for Evans Tables'!J35</f>
        <v>0</v>
      </c>
      <c r="N103" s="186">
        <f t="shared" si="7"/>
        <v>126147.62512382644</v>
      </c>
      <c r="P103" s="180"/>
      <c r="Q103" s="180"/>
      <c r="S103" s="171"/>
      <c r="U103" s="171"/>
      <c r="W103" s="171"/>
      <c r="Y103" s="171"/>
      <c r="AA103" s="171"/>
      <c r="AC103" s="171"/>
      <c r="AE103" s="171"/>
      <c r="AG103" s="171"/>
      <c r="AI103" s="171"/>
      <c r="AK103" s="171"/>
    </row>
    <row r="104" spans="1:37" ht="12.75">
      <c r="A104" s="165">
        <v>43</v>
      </c>
      <c r="B104" s="173">
        <f t="shared" si="10"/>
        <v>2049</v>
      </c>
      <c r="C104" s="171">
        <f t="shared" si="8"/>
        <v>2689777</v>
      </c>
      <c r="D104" s="171">
        <f t="shared" si="9"/>
        <v>1201996.8834877</v>
      </c>
      <c r="E104" s="171">
        <f t="shared" si="4"/>
        <v>664339.7587021652</v>
      </c>
      <c r="F104" s="171">
        <f t="shared" si="1"/>
        <v>525414.1369780031</v>
      </c>
      <c r="G104" s="171">
        <f>'Inputs for Evans Tables'!N36+$G$147+$G$148+$G$149+'Statement D Table 1'!I52+SUM('Revised Revenue Test'!$F$37:$F$38)</f>
        <v>-75313.6358214977</v>
      </c>
      <c r="H104" s="171">
        <f t="shared" si="5"/>
        <v>373339.8566536294</v>
      </c>
      <c r="I104" s="171">
        <f>F104+SUM('Revised Revenue Test'!$F$63,'Revised Revenue Test'!$F$65:$F$69)</f>
        <v>454992.736870197</v>
      </c>
      <c r="J104" s="171">
        <f t="shared" si="6"/>
        <v>828332.5935238265</v>
      </c>
      <c r="K104" s="180">
        <f>+'Inputs for Evans Tables'!C36+'Inputs for Evans Tables'!E36</f>
        <v>489035.925</v>
      </c>
      <c r="L104" s="180">
        <f>+'Inputs for Evans Tables'!G36</f>
        <v>213149.8324</v>
      </c>
      <c r="M104" s="180">
        <f>+'Inputs for Evans Tables'!J36</f>
        <v>0</v>
      </c>
      <c r="N104" s="186">
        <f t="shared" si="7"/>
        <v>126146.8361238265</v>
      </c>
      <c r="P104" s="180"/>
      <c r="Q104" s="180"/>
      <c r="S104" s="171"/>
      <c r="U104" s="171"/>
      <c r="W104" s="171"/>
      <c r="Y104" s="171"/>
      <c r="AA104" s="171"/>
      <c r="AC104" s="171"/>
      <c r="AE104" s="171"/>
      <c r="AG104" s="171"/>
      <c r="AI104" s="171"/>
      <c r="AK104" s="171"/>
    </row>
    <row r="105" spans="1:37" ht="12.75">
      <c r="A105" s="165">
        <v>44</v>
      </c>
      <c r="B105" s="173">
        <f t="shared" si="10"/>
        <v>2050</v>
      </c>
      <c r="C105" s="171">
        <f t="shared" si="8"/>
        <v>2689777</v>
      </c>
      <c r="D105" s="171">
        <f t="shared" si="9"/>
        <v>1201996.8834877</v>
      </c>
      <c r="E105" s="171">
        <f t="shared" si="4"/>
        <v>664339.7587021652</v>
      </c>
      <c r="F105" s="171">
        <f t="shared" si="1"/>
        <v>525414.1369780031</v>
      </c>
      <c r="G105" s="171">
        <f>'Inputs for Evans Tables'!N37+$G$147+$G$148+$G$149+'Statement D Table 1'!I53+SUM('Revised Revenue Test'!$F$37:$F$38)</f>
        <v>-75313.6368214977</v>
      </c>
      <c r="H105" s="171">
        <f t="shared" si="5"/>
        <v>373339.8576536294</v>
      </c>
      <c r="I105" s="171">
        <f>F105+SUM('Revised Revenue Test'!$F$63,'Revised Revenue Test'!$F$65:$F$69)</f>
        <v>454992.736870197</v>
      </c>
      <c r="J105" s="171">
        <f t="shared" si="6"/>
        <v>828332.5945238264</v>
      </c>
      <c r="K105" s="180">
        <f>+'Inputs for Evans Tables'!C37+'Inputs for Evans Tables'!E37</f>
        <v>489035.685</v>
      </c>
      <c r="L105" s="180">
        <f>+'Inputs for Evans Tables'!G37</f>
        <v>213149.8324</v>
      </c>
      <c r="M105" s="180">
        <f>+'Inputs for Evans Tables'!J37</f>
        <v>0</v>
      </c>
      <c r="N105" s="186">
        <f t="shared" si="7"/>
        <v>126147.07712382643</v>
      </c>
      <c r="P105" s="180"/>
      <c r="Q105" s="180"/>
      <c r="S105" s="171"/>
      <c r="U105" s="171"/>
      <c r="W105" s="171"/>
      <c r="Y105" s="171"/>
      <c r="AA105" s="171"/>
      <c r="AC105" s="171"/>
      <c r="AE105" s="171"/>
      <c r="AG105" s="171"/>
      <c r="AI105" s="171"/>
      <c r="AK105" s="171"/>
    </row>
    <row r="106" spans="1:37" ht="12.75">
      <c r="A106" s="165">
        <v>45</v>
      </c>
      <c r="B106" s="173">
        <f t="shared" si="10"/>
        <v>2051</v>
      </c>
      <c r="C106" s="171">
        <f t="shared" si="8"/>
        <v>2689777</v>
      </c>
      <c r="D106" s="171">
        <f t="shared" si="9"/>
        <v>1201996.8834877</v>
      </c>
      <c r="E106" s="171">
        <f t="shared" si="4"/>
        <v>664339.7587021652</v>
      </c>
      <c r="F106" s="171">
        <f t="shared" si="1"/>
        <v>525414.1369780031</v>
      </c>
      <c r="G106" s="171">
        <f>'Inputs for Evans Tables'!N38+$G$147+$G$148+$G$149+'Statement D Table 1'!I54+SUM('Revised Revenue Test'!$F$37:$F$38)</f>
        <v>-75313.6418214977</v>
      </c>
      <c r="H106" s="171">
        <f t="shared" si="5"/>
        <v>373339.8626536294</v>
      </c>
      <c r="I106" s="171">
        <f>F106+SUM('Revised Revenue Test'!$F$63,'Revised Revenue Test'!$F$65:$F$69)</f>
        <v>454992.736870197</v>
      </c>
      <c r="J106" s="171">
        <f t="shared" si="6"/>
        <v>828332.5995238264</v>
      </c>
      <c r="K106" s="180">
        <f>+'Inputs for Evans Tables'!C38+'Inputs for Evans Tables'!E38</f>
        <v>489034.7925</v>
      </c>
      <c r="L106" s="180">
        <f>+'Inputs for Evans Tables'!G38</f>
        <v>213149.8324</v>
      </c>
      <c r="M106" s="180">
        <f>+'Inputs for Evans Tables'!J38</f>
        <v>0</v>
      </c>
      <c r="N106" s="186">
        <f t="shared" si="7"/>
        <v>126147.97462382633</v>
      </c>
      <c r="P106" s="180"/>
      <c r="Q106" s="180"/>
      <c r="S106" s="171"/>
      <c r="U106" s="171"/>
      <c r="W106" s="171"/>
      <c r="Y106" s="171"/>
      <c r="AA106" s="171"/>
      <c r="AC106" s="171"/>
      <c r="AE106" s="171"/>
      <c r="AG106" s="171"/>
      <c r="AI106" s="171"/>
      <c r="AK106" s="171"/>
    </row>
    <row r="107" spans="1:37" ht="12.75">
      <c r="A107" s="165">
        <v>46</v>
      </c>
      <c r="B107" s="173">
        <f>B106+1</f>
        <v>2052</v>
      </c>
      <c r="C107" s="171">
        <f t="shared" si="8"/>
        <v>2689777</v>
      </c>
      <c r="D107" s="171">
        <f t="shared" si="9"/>
        <v>1201996.8834877</v>
      </c>
      <c r="E107" s="171">
        <f t="shared" si="4"/>
        <v>664339.7587021652</v>
      </c>
      <c r="F107" s="171">
        <f t="shared" si="1"/>
        <v>525414.1369780031</v>
      </c>
      <c r="G107" s="171">
        <f>'Inputs for Evans Tables'!N39+$G$147+$G$148+$G$149+'Statement D Table 1'!I55+SUM('Revised Revenue Test'!$F$37:$F$38)</f>
        <v>-75313.6398214977</v>
      </c>
      <c r="H107" s="171">
        <f t="shared" si="5"/>
        <v>373339.8606536294</v>
      </c>
      <c r="I107" s="171">
        <f>F107+SUM('Revised Revenue Test'!$F$63,'Revised Revenue Test'!$F$65:$F$69)</f>
        <v>454992.736870197</v>
      </c>
      <c r="J107" s="171">
        <f t="shared" si="6"/>
        <v>828332.5975238264</v>
      </c>
      <c r="K107" s="180">
        <f>+'Inputs for Evans Tables'!C39+'Inputs for Evans Tables'!E39</f>
        <v>489035.1775</v>
      </c>
      <c r="L107" s="180">
        <f>+'Inputs for Evans Tables'!G39</f>
        <v>213149.8324</v>
      </c>
      <c r="M107" s="180">
        <f>+'Inputs for Evans Tables'!J39</f>
        <v>0</v>
      </c>
      <c r="N107" s="186">
        <f t="shared" si="7"/>
        <v>126147.58762382646</v>
      </c>
      <c r="P107" s="180"/>
      <c r="Q107" s="180"/>
      <c r="S107" s="171"/>
      <c r="U107" s="171"/>
      <c r="W107" s="171"/>
      <c r="Y107" s="171"/>
      <c r="AA107" s="171"/>
      <c r="AC107" s="171"/>
      <c r="AE107" s="171"/>
      <c r="AG107" s="171"/>
      <c r="AI107" s="171"/>
      <c r="AK107" s="171"/>
    </row>
    <row r="108" spans="1:37" ht="12.75">
      <c r="A108" s="165">
        <v>47</v>
      </c>
      <c r="B108" s="173">
        <f t="shared" si="10"/>
        <v>2053</v>
      </c>
      <c r="C108" s="171">
        <f t="shared" si="8"/>
        <v>2689777</v>
      </c>
      <c r="D108" s="171">
        <f t="shared" si="9"/>
        <v>1201996.8834877</v>
      </c>
      <c r="E108" s="171">
        <f t="shared" si="4"/>
        <v>664339.7587021652</v>
      </c>
      <c r="F108" s="171">
        <f t="shared" si="1"/>
        <v>525414.1369780031</v>
      </c>
      <c r="G108" s="171">
        <f>'Inputs for Evans Tables'!N40+$G$147+$G$148+$G$149+'Statement D Table 1'!I56+SUM('Revised Revenue Test'!$F$37:$F$38)</f>
        <v>-75313.6398214977</v>
      </c>
      <c r="H108" s="171">
        <f t="shared" si="5"/>
        <v>373339.8606536294</v>
      </c>
      <c r="I108" s="171">
        <f>F108+SUM('Revised Revenue Test'!$F$63,'Revised Revenue Test'!$F$65:$F$69)</f>
        <v>454992.736870197</v>
      </c>
      <c r="J108" s="171">
        <f t="shared" si="6"/>
        <v>828332.5975238264</v>
      </c>
      <c r="K108" s="180">
        <f>+'Inputs for Evans Tables'!C40+'Inputs for Evans Tables'!E40</f>
        <v>489035.1825</v>
      </c>
      <c r="L108" s="180">
        <f>+'Inputs for Evans Tables'!G40</f>
        <v>213149.8324</v>
      </c>
      <c r="M108" s="180">
        <f>+'Inputs for Evans Tables'!J40</f>
        <v>0</v>
      </c>
      <c r="N108" s="186">
        <f t="shared" si="7"/>
        <v>126147.58262382646</v>
      </c>
      <c r="P108" s="180"/>
      <c r="Q108" s="180"/>
      <c r="S108" s="171"/>
      <c r="U108" s="171"/>
      <c r="W108" s="171"/>
      <c r="Y108" s="171"/>
      <c r="AA108" s="171"/>
      <c r="AC108" s="171"/>
      <c r="AE108" s="171"/>
      <c r="AG108" s="171"/>
      <c r="AI108" s="171"/>
      <c r="AK108" s="171"/>
    </row>
    <row r="109" spans="1:37" ht="12.75">
      <c r="A109" s="165">
        <v>48</v>
      </c>
      <c r="B109" s="173">
        <f t="shared" si="10"/>
        <v>2054</v>
      </c>
      <c r="C109" s="171">
        <f t="shared" si="8"/>
        <v>2689777</v>
      </c>
      <c r="D109" s="171">
        <f t="shared" si="9"/>
        <v>1201996.8834877</v>
      </c>
      <c r="E109" s="171">
        <f aca="true" t="shared" si="11" ref="E109:E126">+$E$147</f>
        <v>664339.7587021652</v>
      </c>
      <c r="F109" s="171">
        <f aca="true" t="shared" si="12" ref="F109:F126">+$F$74</f>
        <v>525414.1369780031</v>
      </c>
      <c r="G109" s="171">
        <f>'Inputs for Evans Tables'!N41+$G$147+$G$148+$G$149+'Statement D Table 1'!I57+SUM('Revised Revenue Test'!$F$37:$F$38)</f>
        <v>-75313.6358214977</v>
      </c>
      <c r="H109" s="171">
        <f aca="true" t="shared" si="13" ref="H109:H126">C109-D109-E109-F109-G109</f>
        <v>373339.8566536294</v>
      </c>
      <c r="I109" s="171">
        <f>F109+SUM('Revised Revenue Test'!$F$63,'Revised Revenue Test'!$F$65:$F$69)</f>
        <v>454992.736870197</v>
      </c>
      <c r="J109" s="171">
        <f t="shared" si="6"/>
        <v>828332.5935238265</v>
      </c>
      <c r="K109" s="180">
        <f>+'Inputs for Evans Tables'!C41+'Inputs for Evans Tables'!E41</f>
        <v>489035.9575</v>
      </c>
      <c r="L109" s="180">
        <f>+'Inputs for Evans Tables'!G41</f>
        <v>213149.8324</v>
      </c>
      <c r="M109" s="180">
        <f>+'Inputs for Evans Tables'!J41</f>
        <v>0</v>
      </c>
      <c r="N109" s="186">
        <f t="shared" si="7"/>
        <v>126146.80362382648</v>
      </c>
      <c r="P109" s="180"/>
      <c r="Q109" s="180"/>
      <c r="S109" s="171"/>
      <c r="U109" s="171"/>
      <c r="W109" s="171"/>
      <c r="Y109" s="171"/>
      <c r="AA109" s="171"/>
      <c r="AC109" s="171"/>
      <c r="AE109" s="171"/>
      <c r="AG109" s="171"/>
      <c r="AI109" s="171"/>
      <c r="AK109" s="171"/>
    </row>
    <row r="110" spans="1:37" ht="12.75">
      <c r="A110" s="165">
        <v>49</v>
      </c>
      <c r="B110" s="173">
        <f t="shared" si="10"/>
        <v>2055</v>
      </c>
      <c r="C110" s="171">
        <f t="shared" si="8"/>
        <v>2689777</v>
      </c>
      <c r="D110" s="171">
        <f t="shared" si="9"/>
        <v>1201996.8834877</v>
      </c>
      <c r="E110" s="171">
        <f t="shared" si="11"/>
        <v>664339.7587021652</v>
      </c>
      <c r="F110" s="171">
        <f t="shared" si="12"/>
        <v>525414.1369780031</v>
      </c>
      <c r="G110" s="171">
        <f>'Inputs for Evans Tables'!N42+$G$147+$G$148+$G$149+'Statement D Table 1'!I58+SUM('Revised Revenue Test'!$F$37:$F$38)</f>
        <v>-75313.63482149769</v>
      </c>
      <c r="H110" s="171">
        <f t="shared" si="13"/>
        <v>373339.8556536294</v>
      </c>
      <c r="I110" s="171">
        <f>F110+SUM('Revised Revenue Test'!$F$63,'Revised Revenue Test'!$F$65:$F$69)</f>
        <v>454992.736870197</v>
      </c>
      <c r="J110" s="171">
        <f t="shared" si="6"/>
        <v>828332.5925238264</v>
      </c>
      <c r="K110" s="180">
        <f>+'Inputs for Evans Tables'!C42+'Inputs for Evans Tables'!E42</f>
        <v>489036.2425</v>
      </c>
      <c r="L110" s="180">
        <f>+'Inputs for Evans Tables'!G42</f>
        <v>213149.8324</v>
      </c>
      <c r="M110" s="180">
        <f>+'Inputs for Evans Tables'!J42</f>
        <v>0</v>
      </c>
      <c r="N110" s="186">
        <f t="shared" si="7"/>
        <v>126146.51762382634</v>
      </c>
      <c r="P110" s="180"/>
      <c r="Q110" s="180"/>
      <c r="S110" s="171"/>
      <c r="U110" s="171"/>
      <c r="W110" s="171"/>
      <c r="Y110" s="171"/>
      <c r="AA110" s="171"/>
      <c r="AC110" s="171"/>
      <c r="AE110" s="171"/>
      <c r="AG110" s="171"/>
      <c r="AI110" s="171"/>
      <c r="AK110" s="171"/>
    </row>
    <row r="111" spans="1:37" ht="12.75">
      <c r="A111" s="165">
        <v>50</v>
      </c>
      <c r="B111" s="173">
        <f t="shared" si="10"/>
        <v>2056</v>
      </c>
      <c r="C111" s="171">
        <f t="shared" si="8"/>
        <v>2689777</v>
      </c>
      <c r="D111" s="171">
        <f t="shared" si="9"/>
        <v>1201996.8834877</v>
      </c>
      <c r="E111" s="171">
        <f t="shared" si="11"/>
        <v>664339.7587021652</v>
      </c>
      <c r="F111" s="171">
        <f t="shared" si="12"/>
        <v>525414.1369780031</v>
      </c>
      <c r="G111" s="171">
        <f>'Inputs for Evans Tables'!N43+$G$147+$G$148+$G$149+'Statement D Table 1'!I59+SUM('Revised Revenue Test'!$F$37:$F$38)</f>
        <v>-75313.64682149769</v>
      </c>
      <c r="H111" s="171">
        <f t="shared" si="13"/>
        <v>373339.8676536294</v>
      </c>
      <c r="I111" s="171">
        <f>F111+SUM('Revised Revenue Test'!$F$63,'Revised Revenue Test'!$F$65:$F$69)</f>
        <v>454992.736870197</v>
      </c>
      <c r="J111" s="171">
        <f t="shared" si="6"/>
        <v>828332.6045238264</v>
      </c>
      <c r="K111" s="180">
        <f>+'Inputs for Evans Tables'!C43+'Inputs for Evans Tables'!E43</f>
        <v>489033.69</v>
      </c>
      <c r="L111" s="180">
        <f>+'Inputs for Evans Tables'!G43</f>
        <v>213149.8324</v>
      </c>
      <c r="M111" s="180">
        <f>+'Inputs for Evans Tables'!J43</f>
        <v>0</v>
      </c>
      <c r="N111" s="186">
        <f t="shared" si="7"/>
        <v>126149.08212382643</v>
      </c>
      <c r="P111" s="180"/>
      <c r="Q111" s="180"/>
      <c r="S111" s="171"/>
      <c r="U111" s="171"/>
      <c r="W111" s="171"/>
      <c r="Y111" s="171"/>
      <c r="AA111" s="171"/>
      <c r="AC111" s="171"/>
      <c r="AE111" s="171"/>
      <c r="AG111" s="171"/>
      <c r="AI111" s="171"/>
      <c r="AK111" s="171"/>
    </row>
    <row r="112" spans="1:37" ht="12.75">
      <c r="A112" s="165">
        <v>51</v>
      </c>
      <c r="B112" s="173">
        <f>B111+1</f>
        <v>2057</v>
      </c>
      <c r="C112" s="171">
        <f t="shared" si="8"/>
        <v>2689777</v>
      </c>
      <c r="D112" s="171">
        <f t="shared" si="9"/>
        <v>1201996.8834877</v>
      </c>
      <c r="E112" s="171">
        <f t="shared" si="11"/>
        <v>664339.7587021652</v>
      </c>
      <c r="F112" s="171">
        <f t="shared" si="12"/>
        <v>525414.1369780031</v>
      </c>
      <c r="G112" s="171">
        <f>'Inputs for Evans Tables'!N44+$G$147+$G$148+$G$149+'Statement D Table 1'!I60+SUM('Revised Revenue Test'!$F$37:$F$38)</f>
        <v>-75313.64682149769</v>
      </c>
      <c r="H112" s="171">
        <f t="shared" si="13"/>
        <v>373339.8676536294</v>
      </c>
      <c r="I112" s="171">
        <f>F112+SUM('Revised Revenue Test'!$F$63,'Revised Revenue Test'!$F$65:$F$69)</f>
        <v>454992.736870197</v>
      </c>
      <c r="J112" s="171">
        <f t="shared" si="6"/>
        <v>828332.6045238264</v>
      </c>
      <c r="K112" s="180">
        <f>+'Inputs for Evans Tables'!C44+'Inputs for Evans Tables'!E44</f>
        <v>489033.615</v>
      </c>
      <c r="L112" s="180">
        <f>+'Inputs for Evans Tables'!G44</f>
        <v>213149.8324</v>
      </c>
      <c r="M112" s="180">
        <f>+'Inputs for Evans Tables'!J44</f>
        <v>0</v>
      </c>
      <c r="N112" s="186">
        <f t="shared" si="7"/>
        <v>126149.15712382644</v>
      </c>
      <c r="P112" s="180"/>
      <c r="Q112" s="180"/>
      <c r="S112" s="171"/>
      <c r="U112" s="171"/>
      <c r="W112" s="171"/>
      <c r="Y112" s="171"/>
      <c r="AA112" s="171"/>
      <c r="AC112" s="171"/>
      <c r="AE112" s="171"/>
      <c r="AG112" s="171"/>
      <c r="AI112" s="171"/>
      <c r="AK112" s="171"/>
    </row>
    <row r="113" spans="1:37" ht="12.75">
      <c r="A113" s="165">
        <v>52</v>
      </c>
      <c r="B113" s="173">
        <f t="shared" si="10"/>
        <v>2058</v>
      </c>
      <c r="C113" s="171">
        <f t="shared" si="8"/>
        <v>2689777</v>
      </c>
      <c r="D113" s="171">
        <f t="shared" si="9"/>
        <v>1201996.8834877</v>
      </c>
      <c r="E113" s="171">
        <f t="shared" si="11"/>
        <v>664339.7587021652</v>
      </c>
      <c r="F113" s="171">
        <f t="shared" si="12"/>
        <v>525414.1369780031</v>
      </c>
      <c r="G113" s="171">
        <f>'Inputs for Evans Tables'!N45+$G$147+$G$148+$G$149+'Statement D Table 1'!I61+SUM('Revised Revenue Test'!$F$37:$F$38)</f>
        <v>-75313.6418214977</v>
      </c>
      <c r="H113" s="171">
        <f t="shared" si="13"/>
        <v>373339.8626536294</v>
      </c>
      <c r="I113" s="171">
        <f>F113+SUM('Revised Revenue Test'!$F$63,'Revised Revenue Test'!$F$65:$F$69)</f>
        <v>454992.736870197</v>
      </c>
      <c r="J113" s="171">
        <f t="shared" si="6"/>
        <v>828332.5995238264</v>
      </c>
      <c r="K113" s="180">
        <f>+'Inputs for Evans Tables'!C45+'Inputs for Evans Tables'!E45</f>
        <v>489034.7375</v>
      </c>
      <c r="L113" s="180">
        <f>+'Inputs for Evans Tables'!G45</f>
        <v>213149.8324</v>
      </c>
      <c r="M113" s="180">
        <f>+'Inputs for Evans Tables'!J45</f>
        <v>0</v>
      </c>
      <c r="N113" s="186">
        <f t="shared" si="7"/>
        <v>126148.02962382633</v>
      </c>
      <c r="P113" s="180"/>
      <c r="Q113" s="180"/>
      <c r="S113" s="171"/>
      <c r="U113" s="171"/>
      <c r="W113" s="171"/>
      <c r="Y113" s="171"/>
      <c r="AA113" s="171"/>
      <c r="AC113" s="171"/>
      <c r="AE113" s="171"/>
      <c r="AG113" s="171"/>
      <c r="AI113" s="171"/>
      <c r="AK113" s="171"/>
    </row>
    <row r="114" spans="1:37" ht="12.75">
      <c r="A114" s="165">
        <v>53</v>
      </c>
      <c r="B114" s="173">
        <f t="shared" si="10"/>
        <v>2059</v>
      </c>
      <c r="C114" s="171">
        <f t="shared" si="8"/>
        <v>2689777</v>
      </c>
      <c r="D114" s="171">
        <f t="shared" si="9"/>
        <v>1201996.8834877</v>
      </c>
      <c r="E114" s="171">
        <f t="shared" si="11"/>
        <v>664339.7587021652</v>
      </c>
      <c r="F114" s="171">
        <f t="shared" si="12"/>
        <v>525414.1369780031</v>
      </c>
      <c r="G114" s="171">
        <f>'Inputs for Evans Tables'!N46+$G$147+$G$148+$G$149+'Statement D Table 1'!I62+SUM('Revised Revenue Test'!$F$37:$F$38)</f>
        <v>-75313.6258214977</v>
      </c>
      <c r="H114" s="171">
        <f t="shared" si="13"/>
        <v>373339.8466536294</v>
      </c>
      <c r="I114" s="171">
        <f>F114+SUM('Revised Revenue Test'!$F$63,'Revised Revenue Test'!$F$65:$F$69)</f>
        <v>454992.736870197</v>
      </c>
      <c r="J114" s="171">
        <f t="shared" si="6"/>
        <v>828332.5835238264</v>
      </c>
      <c r="K114" s="180">
        <f>+'Inputs for Evans Tables'!C46+'Inputs for Evans Tables'!E46</f>
        <v>489038.2225</v>
      </c>
      <c r="L114" s="180">
        <f>+'Inputs for Evans Tables'!G46</f>
        <v>213149.8324</v>
      </c>
      <c r="M114" s="180">
        <f>+'Inputs for Evans Tables'!J46</f>
        <v>0</v>
      </c>
      <c r="N114" s="186">
        <f t="shared" si="7"/>
        <v>126144.52862382651</v>
      </c>
      <c r="P114" s="180"/>
      <c r="Q114" s="180"/>
      <c r="S114" s="171"/>
      <c r="U114" s="171"/>
      <c r="W114" s="171"/>
      <c r="Y114" s="171"/>
      <c r="AA114" s="171"/>
      <c r="AC114" s="171"/>
      <c r="AE114" s="171"/>
      <c r="AG114" s="171"/>
      <c r="AI114" s="171"/>
      <c r="AK114" s="171"/>
    </row>
    <row r="115" spans="1:37" ht="12.75">
      <c r="A115" s="165">
        <v>54</v>
      </c>
      <c r="B115" s="173">
        <f t="shared" si="10"/>
        <v>2060</v>
      </c>
      <c r="C115" s="171">
        <f t="shared" si="8"/>
        <v>2689777</v>
      </c>
      <c r="D115" s="171">
        <f t="shared" si="9"/>
        <v>1201996.8834877</v>
      </c>
      <c r="E115" s="171">
        <f t="shared" si="11"/>
        <v>664339.7587021652</v>
      </c>
      <c r="F115" s="171">
        <f t="shared" si="12"/>
        <v>525414.1369780031</v>
      </c>
      <c r="G115" s="171">
        <f>'Inputs for Evans Tables'!N47+$G$147+$G$148+$G$149+'Statement D Table 1'!I63+SUM('Revised Revenue Test'!$F$37:$F$38)</f>
        <v>-75313.6288214977</v>
      </c>
      <c r="H115" s="171">
        <f t="shared" si="13"/>
        <v>373339.84965362935</v>
      </c>
      <c r="I115" s="171">
        <f>F115+SUM('Revised Revenue Test'!$F$63,'Revised Revenue Test'!$F$65:$F$69)</f>
        <v>454992.736870197</v>
      </c>
      <c r="J115" s="171">
        <f t="shared" si="6"/>
        <v>828332.5865238264</v>
      </c>
      <c r="K115" s="180">
        <f>+'Inputs for Evans Tables'!C47+'Inputs for Evans Tables'!E47</f>
        <v>489037.4625</v>
      </c>
      <c r="L115" s="180">
        <f>+'Inputs for Evans Tables'!G47</f>
        <v>213149.8324</v>
      </c>
      <c r="M115" s="180">
        <f>+'Inputs for Evans Tables'!J47</f>
        <v>0</v>
      </c>
      <c r="N115" s="186">
        <f t="shared" si="7"/>
        <v>126145.29162382626</v>
      </c>
      <c r="P115" s="180"/>
      <c r="Q115" s="180"/>
      <c r="S115" s="171"/>
      <c r="U115" s="171"/>
      <c r="W115" s="171"/>
      <c r="Y115" s="171"/>
      <c r="AA115" s="171"/>
      <c r="AC115" s="171"/>
      <c r="AE115" s="171"/>
      <c r="AG115" s="171"/>
      <c r="AI115" s="171"/>
      <c r="AK115" s="171"/>
    </row>
    <row r="116" spans="1:37" ht="12.75">
      <c r="A116" s="165">
        <v>55</v>
      </c>
      <c r="B116" s="173">
        <f t="shared" si="10"/>
        <v>2061</v>
      </c>
      <c r="C116" s="171">
        <f t="shared" si="8"/>
        <v>2689777</v>
      </c>
      <c r="D116" s="171">
        <f t="shared" si="9"/>
        <v>1201996.8834877</v>
      </c>
      <c r="E116" s="171">
        <f t="shared" si="11"/>
        <v>664339.7587021652</v>
      </c>
      <c r="F116" s="171">
        <f t="shared" si="12"/>
        <v>525414.1369780031</v>
      </c>
      <c r="G116" s="171">
        <f>'Inputs for Evans Tables'!N48+$G$147+$G$148+$G$149+'Statement D Table 1'!I64+SUM('Revised Revenue Test'!$F$37:$F$38)</f>
        <v>-75313.6298214977</v>
      </c>
      <c r="H116" s="171">
        <f t="shared" si="13"/>
        <v>373339.8506536294</v>
      </c>
      <c r="I116" s="171">
        <f>F116+SUM('Revised Revenue Test'!$F$63,'Revised Revenue Test'!$F$65:$F$69)</f>
        <v>454992.736870197</v>
      </c>
      <c r="J116" s="171">
        <f t="shared" si="6"/>
        <v>828332.5875238264</v>
      </c>
      <c r="K116" s="180">
        <f>+'Inputs for Evans Tables'!C48+'Inputs for Evans Tables'!E48</f>
        <v>489037.19</v>
      </c>
      <c r="L116" s="180">
        <f>+'Inputs for Evans Tables'!G48</f>
        <v>213149.8324</v>
      </c>
      <c r="M116" s="180">
        <f>+'Inputs for Evans Tables'!J48</f>
        <v>0</v>
      </c>
      <c r="N116" s="186">
        <f t="shared" si="7"/>
        <v>126145.56512382644</v>
      </c>
      <c r="P116" s="180"/>
      <c r="Q116" s="180"/>
      <c r="S116" s="171"/>
      <c r="U116" s="171"/>
      <c r="W116" s="171"/>
      <c r="Y116" s="171"/>
      <c r="AA116" s="171"/>
      <c r="AC116" s="171"/>
      <c r="AE116" s="171"/>
      <c r="AG116" s="171"/>
      <c r="AI116" s="171"/>
      <c r="AK116" s="171"/>
    </row>
    <row r="117" spans="1:37" ht="12.75">
      <c r="A117" s="165">
        <v>56</v>
      </c>
      <c r="B117" s="173">
        <f>B116+1</f>
        <v>2062</v>
      </c>
      <c r="C117" s="171">
        <f t="shared" si="8"/>
        <v>2689777</v>
      </c>
      <c r="D117" s="171">
        <f t="shared" si="9"/>
        <v>1201996.8834877</v>
      </c>
      <c r="E117" s="171">
        <f t="shared" si="11"/>
        <v>664339.7587021652</v>
      </c>
      <c r="F117" s="171">
        <f t="shared" si="12"/>
        <v>525414.1369780031</v>
      </c>
      <c r="G117" s="171">
        <f>'Inputs for Evans Tables'!N49+$G$147+$G$148+$G$149+'Statement D Table 1'!I65+SUM('Revised Revenue Test'!$F$37:$F$38)</f>
        <v>-75313.63882149769</v>
      </c>
      <c r="H117" s="171">
        <f t="shared" si="13"/>
        <v>373339.85965362936</v>
      </c>
      <c r="I117" s="171">
        <f>F117+SUM('Revised Revenue Test'!$F$63,'Revised Revenue Test'!$F$65:$F$69)</f>
        <v>454992.736870197</v>
      </c>
      <c r="J117" s="171">
        <f t="shared" si="6"/>
        <v>828332.5965238264</v>
      </c>
      <c r="K117" s="180">
        <f>+'Inputs for Evans Tables'!C49+'Inputs for Evans Tables'!E49</f>
        <v>489035.2525</v>
      </c>
      <c r="L117" s="180">
        <f>+'Inputs for Evans Tables'!G49</f>
        <v>213149.8324</v>
      </c>
      <c r="M117" s="180">
        <f>+'Inputs for Evans Tables'!J49</f>
        <v>0</v>
      </c>
      <c r="N117" s="186">
        <f t="shared" si="7"/>
        <v>126147.51162382629</v>
      </c>
      <c r="P117" s="180"/>
      <c r="Q117" s="180"/>
      <c r="S117" s="171"/>
      <c r="U117" s="171"/>
      <c r="W117" s="171"/>
      <c r="Y117" s="171"/>
      <c r="AA117" s="171"/>
      <c r="AC117" s="171"/>
      <c r="AE117" s="171"/>
      <c r="AG117" s="171"/>
      <c r="AI117" s="171"/>
      <c r="AK117" s="171"/>
    </row>
    <row r="118" spans="1:37" ht="12.75">
      <c r="A118" s="165">
        <v>57</v>
      </c>
      <c r="B118" s="173">
        <f t="shared" si="10"/>
        <v>2063</v>
      </c>
      <c r="C118" s="171">
        <f t="shared" si="8"/>
        <v>2689777</v>
      </c>
      <c r="D118" s="171">
        <f t="shared" si="9"/>
        <v>1201996.8834877</v>
      </c>
      <c r="E118" s="171">
        <f t="shared" si="11"/>
        <v>664339.7587021652</v>
      </c>
      <c r="F118" s="171">
        <f t="shared" si="12"/>
        <v>525414.1369780031</v>
      </c>
      <c r="G118" s="171">
        <f>'Inputs for Evans Tables'!N50+$G$147+$G$148+$G$149+'Statement D Table 1'!I66+SUM('Revised Revenue Test'!$F$37:$F$38)</f>
        <v>-75313.63882149769</v>
      </c>
      <c r="H118" s="171">
        <f t="shared" si="13"/>
        <v>373339.85965362936</v>
      </c>
      <c r="I118" s="171">
        <f>F118+SUM('Revised Revenue Test'!$F$63,'Revised Revenue Test'!$F$65:$F$69)</f>
        <v>454992.736870197</v>
      </c>
      <c r="J118" s="171">
        <f t="shared" si="6"/>
        <v>828332.5965238264</v>
      </c>
      <c r="K118" s="180">
        <f>+'Inputs for Evans Tables'!C50+'Inputs for Evans Tables'!E50</f>
        <v>489035.4025</v>
      </c>
      <c r="L118" s="180">
        <f>+'Inputs for Evans Tables'!G50</f>
        <v>213149.8324</v>
      </c>
      <c r="M118" s="180">
        <f>+'Inputs for Evans Tables'!J50</f>
        <v>0</v>
      </c>
      <c r="N118" s="186">
        <f t="shared" si="7"/>
        <v>126147.36162382626</v>
      </c>
      <c r="P118" s="180"/>
      <c r="Q118" s="180"/>
      <c r="S118" s="171"/>
      <c r="U118" s="171"/>
      <c r="W118" s="171"/>
      <c r="Y118" s="171"/>
      <c r="AA118" s="171"/>
      <c r="AC118" s="171"/>
      <c r="AE118" s="171"/>
      <c r="AG118" s="171"/>
      <c r="AI118" s="171"/>
      <c r="AK118" s="171"/>
    </row>
    <row r="119" spans="1:37" ht="12.75">
      <c r="A119" s="165">
        <v>58</v>
      </c>
      <c r="B119" s="173">
        <f t="shared" si="10"/>
        <v>2064</v>
      </c>
      <c r="C119" s="171">
        <f t="shared" si="8"/>
        <v>2689777</v>
      </c>
      <c r="D119" s="171">
        <f t="shared" si="9"/>
        <v>1201996.8834877</v>
      </c>
      <c r="E119" s="171">
        <f t="shared" si="11"/>
        <v>664339.7587021652</v>
      </c>
      <c r="F119" s="171">
        <f t="shared" si="12"/>
        <v>525414.1369780031</v>
      </c>
      <c r="G119" s="171">
        <f>'Inputs for Evans Tables'!N51+$G$147+$G$148+$G$149+'Statement D Table 1'!I67+SUM('Revised Revenue Test'!$F$37:$F$38)</f>
        <v>-75313.6318214977</v>
      </c>
      <c r="H119" s="171">
        <f t="shared" si="13"/>
        <v>373339.8526536294</v>
      </c>
      <c r="I119" s="171">
        <f>F119+SUM('Revised Revenue Test'!$F$63,'Revised Revenue Test'!$F$65:$F$69)</f>
        <v>454992.736870197</v>
      </c>
      <c r="J119" s="171">
        <f t="shared" si="6"/>
        <v>828332.5895238264</v>
      </c>
      <c r="K119" s="180">
        <f>+'Inputs for Evans Tables'!C51+'Inputs for Evans Tables'!E51</f>
        <v>489036.8625</v>
      </c>
      <c r="L119" s="180">
        <f>+'Inputs for Evans Tables'!G51</f>
        <v>213149.8324</v>
      </c>
      <c r="M119" s="180">
        <f>+'Inputs for Evans Tables'!J51</f>
        <v>0</v>
      </c>
      <c r="N119" s="186">
        <f t="shared" si="7"/>
        <v>126145.89462382632</v>
      </c>
      <c r="P119" s="180"/>
      <c r="Q119" s="180"/>
      <c r="S119" s="171"/>
      <c r="U119" s="171"/>
      <c r="W119" s="171"/>
      <c r="Y119" s="171"/>
      <c r="AA119" s="171"/>
      <c r="AC119" s="171"/>
      <c r="AE119" s="171"/>
      <c r="AG119" s="171"/>
      <c r="AI119" s="171"/>
      <c r="AK119" s="171"/>
    </row>
    <row r="120" spans="1:37" ht="12.75">
      <c r="A120" s="165">
        <v>59</v>
      </c>
      <c r="B120" s="173">
        <f t="shared" si="10"/>
        <v>2065</v>
      </c>
      <c r="C120" s="171">
        <f t="shared" si="8"/>
        <v>2689777</v>
      </c>
      <c r="D120" s="171">
        <f t="shared" si="9"/>
        <v>1201996.8834877</v>
      </c>
      <c r="E120" s="171">
        <f t="shared" si="11"/>
        <v>664339.7587021652</v>
      </c>
      <c r="F120" s="171">
        <f t="shared" si="12"/>
        <v>525414.1369780031</v>
      </c>
      <c r="G120" s="171">
        <f>'Inputs for Evans Tables'!N52+$G$147+$G$148+$G$149+'Statement D Table 1'!I68+SUM('Revised Revenue Test'!$F$37:$F$38)</f>
        <v>-75313.64282149769</v>
      </c>
      <c r="H120" s="171">
        <f t="shared" si="13"/>
        <v>373339.8636536294</v>
      </c>
      <c r="I120" s="171">
        <f>F120+SUM('Revised Revenue Test'!$F$63,'Revised Revenue Test'!$F$65:$F$69)</f>
        <v>454992.736870197</v>
      </c>
      <c r="J120" s="171">
        <f t="shared" si="6"/>
        <v>828332.6005238264</v>
      </c>
      <c r="K120" s="180">
        <f>+'Inputs for Evans Tables'!C52+'Inputs for Evans Tables'!E52</f>
        <v>489034.47</v>
      </c>
      <c r="L120" s="180">
        <f>+'Inputs for Evans Tables'!G52</f>
        <v>213149.8324</v>
      </c>
      <c r="M120" s="180">
        <f>+'Inputs for Evans Tables'!J52</f>
        <v>0</v>
      </c>
      <c r="N120" s="186">
        <f t="shared" si="7"/>
        <v>126148.2981238265</v>
      </c>
      <c r="P120" s="180"/>
      <c r="Q120" s="180"/>
      <c r="S120" s="171"/>
      <c r="U120" s="171"/>
      <c r="W120" s="171"/>
      <c r="Y120" s="171"/>
      <c r="AA120" s="171"/>
      <c r="AC120" s="171"/>
      <c r="AE120" s="171"/>
      <c r="AG120" s="171"/>
      <c r="AI120" s="171"/>
      <c r="AK120" s="171"/>
    </row>
    <row r="121" spans="1:37" ht="12.75">
      <c r="A121" s="165">
        <v>60</v>
      </c>
      <c r="B121" s="173">
        <f t="shared" si="10"/>
        <v>2066</v>
      </c>
      <c r="C121" s="171">
        <f t="shared" si="8"/>
        <v>2689777</v>
      </c>
      <c r="D121" s="171">
        <f t="shared" si="9"/>
        <v>1201996.8834877</v>
      </c>
      <c r="E121" s="171">
        <f t="shared" si="11"/>
        <v>664339.7587021652</v>
      </c>
      <c r="F121" s="171">
        <f t="shared" si="12"/>
        <v>525414.1369780031</v>
      </c>
      <c r="G121" s="171">
        <f>'Inputs for Evans Tables'!N53+$G$147+$G$148+$G$149+'Statement D Table 1'!I69+SUM('Revised Revenue Test'!$F$37:$F$38)</f>
        <v>-75313.6398214977</v>
      </c>
      <c r="H121" s="171">
        <f t="shared" si="13"/>
        <v>373339.8606536294</v>
      </c>
      <c r="I121" s="171">
        <f>F121+SUM('Revised Revenue Test'!$F$63,'Revised Revenue Test'!$F$65:$F$69)</f>
        <v>454992.736870197</v>
      </c>
      <c r="J121" s="171">
        <f t="shared" si="6"/>
        <v>828332.5975238264</v>
      </c>
      <c r="K121" s="180">
        <f>+'Inputs for Evans Tables'!C53+'Inputs for Evans Tables'!E53</f>
        <v>489035.0725</v>
      </c>
      <c r="L121" s="180">
        <f>+'Inputs for Evans Tables'!G53</f>
        <v>213149.8324</v>
      </c>
      <c r="M121" s="180">
        <f>+'Inputs for Evans Tables'!J53</f>
        <v>0</v>
      </c>
      <c r="N121" s="186">
        <f t="shared" si="7"/>
        <v>126147.69262382644</v>
      </c>
      <c r="P121" s="180"/>
      <c r="Q121" s="180"/>
      <c r="S121" s="171"/>
      <c r="U121" s="171"/>
      <c r="W121" s="171"/>
      <c r="Y121" s="171"/>
      <c r="AA121" s="171"/>
      <c r="AC121" s="171"/>
      <c r="AE121" s="171"/>
      <c r="AG121" s="171"/>
      <c r="AI121" s="171"/>
      <c r="AK121" s="171"/>
    </row>
    <row r="122" spans="1:37" ht="12.75">
      <c r="A122" s="165">
        <v>61</v>
      </c>
      <c r="B122" s="173">
        <f>B121+1</f>
        <v>2067</v>
      </c>
      <c r="C122" s="171">
        <f t="shared" si="8"/>
        <v>2689777</v>
      </c>
      <c r="D122" s="171">
        <f t="shared" si="9"/>
        <v>1201996.8834877</v>
      </c>
      <c r="E122" s="171">
        <f t="shared" si="11"/>
        <v>664339.7587021652</v>
      </c>
      <c r="F122" s="171">
        <f t="shared" si="12"/>
        <v>525414.1369780031</v>
      </c>
      <c r="G122" s="171">
        <f>'Inputs for Evans Tables'!N54+$G$147+$G$148+$G$149+'Statement D Table 1'!I70+SUM('Revised Revenue Test'!$F$37:$F$38)</f>
        <v>-75313.6328214977</v>
      </c>
      <c r="H122" s="171">
        <f t="shared" si="13"/>
        <v>373339.85365362937</v>
      </c>
      <c r="I122" s="171">
        <f>F122+SUM('Revised Revenue Test'!$F$63,'Revised Revenue Test'!$F$65:$F$69)</f>
        <v>454992.736870197</v>
      </c>
      <c r="J122" s="171">
        <f t="shared" si="6"/>
        <v>828332.5905238264</v>
      </c>
      <c r="K122" s="180">
        <f>+'Inputs for Evans Tables'!C54+'Inputs for Evans Tables'!E54</f>
        <v>489036.73</v>
      </c>
      <c r="L122" s="180">
        <f>+'Inputs for Evans Tables'!G54</f>
        <v>213149.8324</v>
      </c>
      <c r="M122" s="180">
        <f>+'Inputs for Evans Tables'!J54</f>
        <v>0</v>
      </c>
      <c r="N122" s="186">
        <f t="shared" si="7"/>
        <v>126146.02812382649</v>
      </c>
      <c r="P122" s="180"/>
      <c r="Q122" s="180"/>
      <c r="S122" s="171"/>
      <c r="U122" s="171"/>
      <c r="W122" s="171"/>
      <c r="Y122" s="171"/>
      <c r="AA122" s="171"/>
      <c r="AC122" s="171"/>
      <c r="AE122" s="171"/>
      <c r="AG122" s="171"/>
      <c r="AI122" s="171"/>
      <c r="AK122" s="171"/>
    </row>
    <row r="123" spans="1:37" ht="12.75">
      <c r="A123" s="165">
        <v>62</v>
      </c>
      <c r="B123" s="173">
        <f t="shared" si="10"/>
        <v>2068</v>
      </c>
      <c r="C123" s="171">
        <f t="shared" si="8"/>
        <v>2689777</v>
      </c>
      <c r="D123" s="171">
        <f t="shared" si="9"/>
        <v>1201996.8834877</v>
      </c>
      <c r="E123" s="171">
        <f t="shared" si="11"/>
        <v>664339.7587021652</v>
      </c>
      <c r="F123" s="171">
        <f t="shared" si="12"/>
        <v>525414.1369780031</v>
      </c>
      <c r="G123" s="171">
        <f>'Inputs for Evans Tables'!N55+$G$147+$G$148+$G$149+'Statement D Table 1'!I71+SUM('Revised Revenue Test'!$F$37:$F$38)</f>
        <v>-75313.6448214977</v>
      </c>
      <c r="H123" s="171">
        <f t="shared" si="13"/>
        <v>373339.8656536294</v>
      </c>
      <c r="I123" s="171">
        <f>F123+SUM('Revised Revenue Test'!$F$63,'Revised Revenue Test'!$F$65:$F$69)</f>
        <v>454992.736870197</v>
      </c>
      <c r="J123" s="171">
        <f t="shared" si="6"/>
        <v>828332.6025238264</v>
      </c>
      <c r="K123" s="180">
        <f>+'Inputs for Evans Tables'!C55+'Inputs for Evans Tables'!E55</f>
        <v>489034.0775</v>
      </c>
      <c r="L123" s="180">
        <f>+'Inputs for Evans Tables'!G55</f>
        <v>213149.8324</v>
      </c>
      <c r="M123" s="180">
        <f>+'Inputs for Evans Tables'!J55</f>
        <v>0</v>
      </c>
      <c r="N123" s="186">
        <f t="shared" si="7"/>
        <v>126148.69262382633</v>
      </c>
      <c r="P123" s="180"/>
      <c r="Q123" s="180"/>
      <c r="S123" s="171"/>
      <c r="U123" s="171"/>
      <c r="W123" s="171"/>
      <c r="Y123" s="171"/>
      <c r="AA123" s="171"/>
      <c r="AC123" s="171"/>
      <c r="AE123" s="171"/>
      <c r="AG123" s="171"/>
      <c r="AI123" s="171"/>
      <c r="AK123" s="171"/>
    </row>
    <row r="124" spans="1:37" ht="12.75">
      <c r="A124" s="165">
        <v>63</v>
      </c>
      <c r="B124" s="173">
        <f t="shared" si="10"/>
        <v>2069</v>
      </c>
      <c r="C124" s="171">
        <f t="shared" si="8"/>
        <v>2689777</v>
      </c>
      <c r="D124" s="171">
        <f t="shared" si="9"/>
        <v>1201996.8834877</v>
      </c>
      <c r="E124" s="171">
        <f t="shared" si="11"/>
        <v>664339.7587021652</v>
      </c>
      <c r="F124" s="171">
        <f t="shared" si="12"/>
        <v>525414.1369780031</v>
      </c>
      <c r="G124" s="171">
        <f>'Inputs for Evans Tables'!N56+$G$147+$G$148+$G$149+'Statement D Table 1'!I72+SUM('Revised Revenue Test'!$F$37:$F$38)</f>
        <v>-75313.6418214977</v>
      </c>
      <c r="H124" s="171">
        <f t="shared" si="13"/>
        <v>373339.8626536294</v>
      </c>
      <c r="I124" s="171">
        <f>F124+SUM('Revised Revenue Test'!$F$63,'Revised Revenue Test'!$F$65:$F$69)</f>
        <v>454992.736870197</v>
      </c>
      <c r="J124" s="171">
        <f t="shared" si="6"/>
        <v>828332.5995238264</v>
      </c>
      <c r="K124" s="180">
        <f>+'Inputs for Evans Tables'!C56+'Inputs for Evans Tables'!E56</f>
        <v>489034.6475</v>
      </c>
      <c r="L124" s="180">
        <f>+'Inputs for Evans Tables'!G56</f>
        <v>213149.8324</v>
      </c>
      <c r="M124" s="180">
        <f>+'Inputs for Evans Tables'!J56</f>
        <v>0</v>
      </c>
      <c r="N124" s="186">
        <f t="shared" si="7"/>
        <v>126148.1196238263</v>
      </c>
      <c r="P124" s="180"/>
      <c r="Q124" s="180"/>
      <c r="S124" s="171"/>
      <c r="U124" s="171"/>
      <c r="W124" s="171"/>
      <c r="Y124" s="171"/>
      <c r="AA124" s="171"/>
      <c r="AC124" s="171"/>
      <c r="AE124" s="171"/>
      <c r="AG124" s="171"/>
      <c r="AI124" s="171"/>
      <c r="AK124" s="171"/>
    </row>
    <row r="125" spans="1:37" ht="12.75">
      <c r="A125" s="165">
        <v>64</v>
      </c>
      <c r="B125" s="173">
        <f t="shared" si="10"/>
        <v>2070</v>
      </c>
      <c r="C125" s="171">
        <f t="shared" si="8"/>
        <v>2689777</v>
      </c>
      <c r="D125" s="171">
        <f t="shared" si="9"/>
        <v>1201996.8834877</v>
      </c>
      <c r="E125" s="171">
        <f t="shared" si="11"/>
        <v>664339.7587021652</v>
      </c>
      <c r="F125" s="171">
        <f t="shared" si="12"/>
        <v>525414.1369780031</v>
      </c>
      <c r="G125" s="171">
        <f>'Inputs for Evans Tables'!N57+$G$147+$G$148+$G$149+'Statement D Table 1'!I73+SUM('Revised Revenue Test'!$F$37:$F$38)</f>
        <v>-75313.6438214977</v>
      </c>
      <c r="H125" s="171">
        <f t="shared" si="13"/>
        <v>373339.86465362937</v>
      </c>
      <c r="I125" s="171">
        <f>F125+SUM('Revised Revenue Test'!$F$63,'Revised Revenue Test'!$F$65:$F$69)</f>
        <v>454992.736870197</v>
      </c>
      <c r="J125" s="171">
        <f t="shared" si="6"/>
        <v>828332.6015238264</v>
      </c>
      <c r="K125" s="180">
        <f>+'Inputs for Evans Tables'!C57+'Inputs for Evans Tables'!E57</f>
        <v>489034.25</v>
      </c>
      <c r="L125" s="180">
        <f>+'Inputs for Evans Tables'!G57</f>
        <v>213149.8324</v>
      </c>
      <c r="M125" s="180">
        <f>+'Inputs for Evans Tables'!J57</f>
        <v>0</v>
      </c>
      <c r="N125" s="186">
        <f t="shared" si="7"/>
        <v>126148.51912382641</v>
      </c>
      <c r="P125" s="180"/>
      <c r="Q125" s="180"/>
      <c r="S125" s="171"/>
      <c r="U125" s="171"/>
      <c r="W125" s="171"/>
      <c r="Y125" s="171"/>
      <c r="AA125" s="171"/>
      <c r="AC125" s="171"/>
      <c r="AE125" s="171"/>
      <c r="AG125" s="171"/>
      <c r="AI125" s="171"/>
      <c r="AK125" s="171"/>
    </row>
    <row r="126" spans="1:37" ht="12.75">
      <c r="A126" s="165">
        <v>65</v>
      </c>
      <c r="B126" s="173">
        <f t="shared" si="10"/>
        <v>2071</v>
      </c>
      <c r="C126" s="171">
        <f t="shared" si="8"/>
        <v>2689777</v>
      </c>
      <c r="D126" s="171">
        <f t="shared" si="9"/>
        <v>1201996.8834877</v>
      </c>
      <c r="E126" s="171">
        <f t="shared" si="11"/>
        <v>664339.7587021652</v>
      </c>
      <c r="F126" s="171">
        <f t="shared" si="12"/>
        <v>525414.1369780031</v>
      </c>
      <c r="G126" s="171">
        <f>'Inputs for Evans Tables'!N58+$G$147+$G$148+$G$149+'Statement D Table 1'!I74+SUM('Revised Revenue Test'!$F$37:$F$38)</f>
        <v>-75313.6408214977</v>
      </c>
      <c r="H126" s="171">
        <f t="shared" si="13"/>
        <v>373339.8616536294</v>
      </c>
      <c r="I126" s="171">
        <f>F126+SUM('Revised Revenue Test'!$F$63,'Revised Revenue Test'!$F$65:$F$69)</f>
        <v>454992.736870197</v>
      </c>
      <c r="J126" s="171">
        <f t="shared" si="6"/>
        <v>828332.5985238263</v>
      </c>
      <c r="K126" s="180">
        <f>+'Inputs for Evans Tables'!C58+'Inputs for Evans Tables'!E58</f>
        <v>489034.98</v>
      </c>
      <c r="L126" s="180">
        <f>+'Inputs for Evans Tables'!G58</f>
        <v>213149.8324</v>
      </c>
      <c r="M126" s="180">
        <f>+'Inputs for Evans Tables'!J58</f>
        <v>0</v>
      </c>
      <c r="N126" s="186">
        <f t="shared" si="7"/>
        <v>126147.7861238264</v>
      </c>
      <c r="P126" s="180"/>
      <c r="Q126" s="180"/>
      <c r="S126" s="171"/>
      <c r="U126" s="171"/>
      <c r="W126" s="171"/>
      <c r="Y126" s="171"/>
      <c r="AA126" s="171"/>
      <c r="AC126" s="171"/>
      <c r="AE126" s="171"/>
      <c r="AG126" s="171"/>
      <c r="AI126" s="171"/>
      <c r="AK126" s="171"/>
    </row>
    <row r="127" spans="1:37" ht="12" customHeight="1">
      <c r="A127" s="165">
        <v>66</v>
      </c>
      <c r="B127" s="173"/>
      <c r="C127" s="171"/>
      <c r="D127" s="171"/>
      <c r="E127" s="171"/>
      <c r="F127" s="171"/>
      <c r="G127" s="171"/>
      <c r="H127" s="171"/>
      <c r="I127" s="171"/>
      <c r="J127" s="171"/>
      <c r="K127" s="171"/>
      <c r="L127" s="180"/>
      <c r="M127" s="180"/>
      <c r="N127" s="186"/>
      <c r="P127" s="180"/>
      <c r="Q127" s="180"/>
      <c r="S127" s="171"/>
      <c r="U127" s="171"/>
      <c r="W127" s="171"/>
      <c r="Y127" s="171"/>
      <c r="AA127" s="171"/>
      <c r="AC127" s="171"/>
      <c r="AE127" s="171"/>
      <c r="AG127" s="171"/>
      <c r="AI127" s="171"/>
      <c r="AK127" s="171"/>
    </row>
    <row r="128" spans="1:23" ht="12.75">
      <c r="A128" s="165">
        <v>67</v>
      </c>
      <c r="B128" s="170" t="s">
        <v>332</v>
      </c>
      <c r="S128" s="171"/>
      <c r="U128" s="171"/>
      <c r="W128" s="171"/>
    </row>
    <row r="129" spans="1:37" ht="12.75">
      <c r="A129" s="165">
        <v>68</v>
      </c>
      <c r="B129" s="342" t="s">
        <v>486</v>
      </c>
      <c r="C129" s="171">
        <f aca="true" t="shared" si="14" ref="C129:N129">SUM(C48:C126)</f>
        <v>271044758.14401</v>
      </c>
      <c r="D129" s="171">
        <f t="shared" si="14"/>
        <v>97392398.62105234</v>
      </c>
      <c r="E129" s="171">
        <f t="shared" si="14"/>
        <v>107581245.69037665</v>
      </c>
      <c r="F129" s="171">
        <f t="shared" si="14"/>
        <v>36446058.10183323</v>
      </c>
      <c r="G129" s="171">
        <f t="shared" si="14"/>
        <v>10625221.649224225</v>
      </c>
      <c r="H129" s="171">
        <f t="shared" si="14"/>
        <v>18999834.081523295</v>
      </c>
      <c r="I129" s="171">
        <f t="shared" si="14"/>
        <v>30810164.266273983</v>
      </c>
      <c r="J129" s="171">
        <f t="shared" si="14"/>
        <v>50942919.51821496</v>
      </c>
      <c r="K129" s="171"/>
      <c r="L129" s="171">
        <f t="shared" si="14"/>
        <v>26267840.968600042</v>
      </c>
      <c r="M129" s="171">
        <f t="shared" si="14"/>
        <v>837393.8580000001</v>
      </c>
      <c r="N129" s="171">
        <f t="shared" si="14"/>
        <v>5618067.24811498</v>
      </c>
      <c r="P129" s="186"/>
      <c r="Q129" s="186"/>
      <c r="S129" s="171"/>
      <c r="U129" s="171"/>
      <c r="W129" s="171"/>
      <c r="Y129" s="171"/>
      <c r="AA129" s="171"/>
      <c r="AC129" s="171"/>
      <c r="AE129" s="171"/>
      <c r="AG129" s="171"/>
      <c r="AI129" s="171"/>
      <c r="AK129" s="171"/>
    </row>
    <row r="130" spans="1:17" ht="12.75">
      <c r="A130" s="166"/>
      <c r="M130" s="186"/>
      <c r="N130" s="166"/>
      <c r="O130" s="166"/>
      <c r="P130" s="166"/>
      <c r="Q130" s="166"/>
    </row>
    <row r="131" spans="1:17" ht="12.75">
      <c r="A131" s="375" t="s">
        <v>235</v>
      </c>
      <c r="B131" s="178" t="s">
        <v>739</v>
      </c>
      <c r="N131" s="166"/>
      <c r="O131" s="166"/>
      <c r="P131" s="166"/>
      <c r="Q131" s="166"/>
    </row>
    <row r="132" spans="1:17" ht="25.5" customHeight="1">
      <c r="A132" s="375" t="s">
        <v>333</v>
      </c>
      <c r="B132" s="398" t="s">
        <v>740</v>
      </c>
      <c r="C132" s="398"/>
      <c r="D132" s="398"/>
      <c r="E132" s="398"/>
      <c r="F132" s="398"/>
      <c r="G132" s="398"/>
      <c r="H132" s="398"/>
      <c r="I132" s="398"/>
      <c r="J132" s="398"/>
      <c r="K132" s="398"/>
      <c r="L132" s="398"/>
      <c r="M132" s="398"/>
      <c r="N132" s="398"/>
      <c r="O132" s="166"/>
      <c r="P132" s="166"/>
      <c r="Q132" s="166"/>
    </row>
    <row r="133" spans="1:17" ht="12.75">
      <c r="A133" s="375" t="s">
        <v>334</v>
      </c>
      <c r="B133" s="178" t="s">
        <v>741</v>
      </c>
      <c r="N133" s="166"/>
      <c r="O133" s="166"/>
      <c r="P133" s="166"/>
      <c r="Q133" s="166"/>
    </row>
    <row r="135" spans="1:17" ht="12.75">
      <c r="A135" s="166"/>
      <c r="B135" s="178"/>
      <c r="N135" s="166"/>
      <c r="O135" s="166"/>
      <c r="P135" s="166"/>
      <c r="Q135" s="166"/>
    </row>
    <row r="141" spans="1:17" ht="12.75">
      <c r="A141" s="166"/>
      <c r="B141" s="169"/>
      <c r="N141" s="166"/>
      <c r="O141" s="166"/>
      <c r="P141" s="166"/>
      <c r="Q141" s="166"/>
    </row>
    <row r="142" spans="1:17" ht="12.75">
      <c r="A142" s="166"/>
      <c r="B142" s="178"/>
      <c r="N142" s="166"/>
      <c r="O142" s="166"/>
      <c r="P142" s="166"/>
      <c r="Q142" s="166"/>
    </row>
    <row r="143" spans="1:17" ht="12.75">
      <c r="A143" s="166"/>
      <c r="B143" s="178"/>
      <c r="N143" s="166"/>
      <c r="O143" s="166"/>
      <c r="P143" s="166"/>
      <c r="Q143" s="166"/>
    </row>
    <row r="147" spans="1:17" ht="12.75">
      <c r="A147" s="166"/>
      <c r="C147" s="178" t="s">
        <v>591</v>
      </c>
      <c r="E147" s="189">
        <f>E74+'Statement E'!R23</f>
        <v>664339.7587021652</v>
      </c>
      <c r="F147" s="170" t="s">
        <v>487</v>
      </c>
      <c r="G147" s="171">
        <f>-'interest credit calculations'!E78</f>
        <v>-5891.8792</v>
      </c>
      <c r="L147" s="166"/>
      <c r="M147" s="166"/>
      <c r="N147" s="166"/>
      <c r="O147" s="166"/>
      <c r="P147" s="166"/>
      <c r="Q147" s="166"/>
    </row>
    <row r="148" spans="1:17" ht="12.75">
      <c r="A148" s="166"/>
      <c r="C148" s="166" t="s">
        <v>488</v>
      </c>
      <c r="F148" s="169" t="s">
        <v>119</v>
      </c>
      <c r="G148" s="166">
        <f>+'Income Statement Cash Flows'!F33</f>
        <v>-16493</v>
      </c>
      <c r="L148" s="166"/>
      <c r="M148" s="166"/>
      <c r="N148" s="166"/>
      <c r="O148" s="166"/>
      <c r="P148" s="166"/>
      <c r="Q148" s="166"/>
    </row>
    <row r="149" spans="1:17" ht="12.75">
      <c r="A149" s="166"/>
      <c r="C149" s="166" t="s">
        <v>489</v>
      </c>
      <c r="F149" s="169" t="s">
        <v>490</v>
      </c>
      <c r="G149" s="166">
        <f>-45937</f>
        <v>-45937</v>
      </c>
      <c r="L149" s="166"/>
      <c r="M149" s="166"/>
      <c r="N149" s="166"/>
      <c r="O149" s="166"/>
      <c r="P149" s="166"/>
      <c r="Q149" s="166"/>
    </row>
    <row r="150" spans="1:17" ht="12.75">
      <c r="A150" s="166"/>
      <c r="C150" s="166" t="s">
        <v>491</v>
      </c>
      <c r="F150" s="169" t="s">
        <v>492</v>
      </c>
      <c r="G150" s="166">
        <f>+'Federal Capital Costs'!E6</f>
        <v>8862.537513691579</v>
      </c>
      <c r="L150" s="166"/>
      <c r="M150" s="166"/>
      <c r="N150" s="166"/>
      <c r="O150" s="166"/>
      <c r="P150" s="166"/>
      <c r="Q150" s="166"/>
    </row>
    <row r="151" spans="1:17" ht="12.75">
      <c r="A151" s="166"/>
      <c r="C151" s="166" t="s">
        <v>493</v>
      </c>
      <c r="L151" s="166"/>
      <c r="M151" s="166"/>
      <c r="N151" s="166"/>
      <c r="O151" s="166"/>
      <c r="P151" s="166"/>
      <c r="Q151" s="166"/>
    </row>
  </sheetData>
  <mergeCells count="6">
    <mergeCell ref="B132:N132"/>
    <mergeCell ref="B2:N2"/>
    <mergeCell ref="B3:N3"/>
    <mergeCell ref="B4:N4"/>
    <mergeCell ref="B5:N5"/>
    <mergeCell ref="B6:N6"/>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A4:E8"/>
  <sheetViews>
    <sheetView workbookViewId="0" topLeftCell="A1">
      <selection activeCell="D6" sqref="D6"/>
    </sheetView>
  </sheetViews>
  <sheetFormatPr defaultColWidth="9.140625" defaultRowHeight="12.75"/>
  <cols>
    <col min="1" max="1" width="5.421875" style="0" customWidth="1"/>
    <col min="2" max="2" width="38.28125" style="0" bestFit="1" customWidth="1"/>
    <col min="3" max="5" width="16.8515625" style="0" bestFit="1" customWidth="1"/>
  </cols>
  <sheetData>
    <row r="4" spans="1:5" ht="15.75">
      <c r="A4" s="214"/>
      <c r="B4" s="214"/>
      <c r="C4" s="199" t="s">
        <v>162</v>
      </c>
      <c r="D4" s="199" t="s">
        <v>163</v>
      </c>
      <c r="E4" s="199" t="s">
        <v>164</v>
      </c>
    </row>
    <row r="5" spans="1:5" ht="15.75">
      <c r="A5" s="214"/>
      <c r="B5" s="214"/>
      <c r="C5" s="199">
        <v>2020</v>
      </c>
      <c r="D5" s="199">
        <v>2021</v>
      </c>
      <c r="E5" s="199" t="s">
        <v>331</v>
      </c>
    </row>
    <row r="6" spans="1:5" ht="15.75">
      <c r="A6" s="200">
        <v>1</v>
      </c>
      <c r="B6" s="201" t="s">
        <v>556</v>
      </c>
      <c r="C6" s="229">
        <f>+'Revised Revenue Test'!E7</f>
        <v>2709679</v>
      </c>
      <c r="D6" s="229">
        <f>+'Revised Revenue Test'!F7</f>
        <v>2689777</v>
      </c>
      <c r="E6" s="230">
        <f>AVERAGE(C6:D6)</f>
        <v>2699728</v>
      </c>
    </row>
    <row r="7" spans="1:5" ht="18">
      <c r="A7" s="200">
        <v>2</v>
      </c>
      <c r="B7" s="201" t="s">
        <v>557</v>
      </c>
      <c r="C7" s="231">
        <f>+'Revised Revenue Test'!E41</f>
        <v>2662168.7166924295</v>
      </c>
      <c r="D7" s="231">
        <f>+'Revised Revenue Test'!F41</f>
        <v>2620808.8059557434</v>
      </c>
      <c r="E7" s="232">
        <f>AVERAGE(C7:D7)</f>
        <v>2641488.761324086</v>
      </c>
    </row>
    <row r="8" spans="1:5" ht="15.75">
      <c r="A8" s="200">
        <v>3</v>
      </c>
      <c r="B8" s="201" t="s">
        <v>558</v>
      </c>
      <c r="C8" s="230">
        <f>+C6-C7</f>
        <v>47510.2833075705</v>
      </c>
      <c r="D8" s="230">
        <f>+D6-D7</f>
        <v>68968.19404425658</v>
      </c>
      <c r="E8" s="230">
        <f>AVERAGE(C8:D8)</f>
        <v>58239.23867591354</v>
      </c>
    </row>
  </sheetData>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76"/>
  <sheetViews>
    <sheetView workbookViewId="0" topLeftCell="B1">
      <selection activeCell="Q11" sqref="Q11:Q13"/>
    </sheetView>
  </sheetViews>
  <sheetFormatPr defaultColWidth="9.140625" defaultRowHeight="12.75"/>
  <cols>
    <col min="1" max="1" width="9.140625" style="380" hidden="1" customWidth="1"/>
    <col min="2" max="2" width="5.28125" style="380" customWidth="1"/>
    <col min="3" max="3" width="9.421875" style="380" bestFit="1" customWidth="1"/>
    <col min="4" max="4" width="9.8515625" style="380" customWidth="1"/>
    <col min="5" max="5" width="11.7109375" style="380" customWidth="1"/>
    <col min="6" max="6" width="11.28125" style="380" customWidth="1"/>
    <col min="7" max="7" width="11.00390625" style="380" bestFit="1" customWidth="1"/>
    <col min="8" max="8" width="10.28125" style="380" customWidth="1"/>
    <col min="9" max="9" width="16.8515625" style="380" customWidth="1"/>
    <col min="10" max="10" width="18.140625" style="380" customWidth="1"/>
    <col min="11" max="11" width="11.7109375" style="380" customWidth="1"/>
    <col min="12" max="12" width="12.140625" style="380" customWidth="1"/>
    <col min="13" max="14" width="12.8515625" style="380" customWidth="1"/>
    <col min="15" max="15" width="9.140625" style="380" customWidth="1"/>
    <col min="16" max="16" width="12.7109375" style="380" bestFit="1" customWidth="1"/>
    <col min="17" max="17" width="9.421875" style="380" bestFit="1" customWidth="1"/>
    <col min="18" max="252" width="9.140625" style="380" customWidth="1"/>
    <col min="253" max="253" width="9.140625" style="380" hidden="1" customWidth="1"/>
    <col min="254" max="254" width="9.140625" style="380" customWidth="1"/>
    <col min="255" max="255" width="3.421875" style="380" customWidth="1"/>
    <col min="256" max="256" width="9.8515625" style="380" customWidth="1"/>
    <col min="257" max="257" width="3.57421875" style="380" customWidth="1"/>
    <col min="258" max="258" width="9.140625" style="380" customWidth="1"/>
    <col min="259" max="259" width="2.57421875" style="380" customWidth="1"/>
    <col min="260" max="260" width="9.7109375" style="380" customWidth="1"/>
    <col min="261" max="261" width="3.57421875" style="380" customWidth="1"/>
    <col min="262" max="262" width="9.140625" style="380" customWidth="1"/>
    <col min="263" max="263" width="2.8515625" style="380" customWidth="1"/>
    <col min="264" max="264" width="10.28125" style="380" customWidth="1"/>
    <col min="265" max="265" width="3.28125" style="380" customWidth="1"/>
    <col min="266" max="266" width="11.421875" style="380" customWidth="1"/>
    <col min="267" max="267" width="3.28125" style="380" customWidth="1"/>
    <col min="268" max="268" width="9.7109375" style="380" customWidth="1"/>
    <col min="269" max="269" width="2.7109375" style="380" customWidth="1"/>
    <col min="270" max="270" width="10.8515625" style="380" customWidth="1"/>
    <col min="271" max="508" width="9.140625" style="380" customWidth="1"/>
    <col min="509" max="509" width="9.140625" style="380" hidden="1" customWidth="1"/>
    <col min="510" max="510" width="9.140625" style="380" customWidth="1"/>
    <col min="511" max="511" width="3.421875" style="380" customWidth="1"/>
    <col min="512" max="512" width="9.8515625" style="380" customWidth="1"/>
    <col min="513" max="513" width="3.57421875" style="380" customWidth="1"/>
    <col min="514" max="514" width="9.140625" style="380" customWidth="1"/>
    <col min="515" max="515" width="2.57421875" style="380" customWidth="1"/>
    <col min="516" max="516" width="9.7109375" style="380" customWidth="1"/>
    <col min="517" max="517" width="3.57421875" style="380" customWidth="1"/>
    <col min="518" max="518" width="9.140625" style="380" customWidth="1"/>
    <col min="519" max="519" width="2.8515625" style="380" customWidth="1"/>
    <col min="520" max="520" width="10.28125" style="380" customWidth="1"/>
    <col min="521" max="521" width="3.28125" style="380" customWidth="1"/>
    <col min="522" max="522" width="11.421875" style="380" customWidth="1"/>
    <col min="523" max="523" width="3.28125" style="380" customWidth="1"/>
    <col min="524" max="524" width="9.7109375" style="380" customWidth="1"/>
    <col min="525" max="525" width="2.7109375" style="380" customWidth="1"/>
    <col min="526" max="526" width="10.8515625" style="380" customWidth="1"/>
    <col min="527" max="764" width="9.140625" style="380" customWidth="1"/>
    <col min="765" max="765" width="9.140625" style="380" hidden="1" customWidth="1"/>
    <col min="766" max="766" width="9.140625" style="380" customWidth="1"/>
    <col min="767" max="767" width="3.421875" style="380" customWidth="1"/>
    <col min="768" max="768" width="9.8515625" style="380" customWidth="1"/>
    <col min="769" max="769" width="3.57421875" style="380" customWidth="1"/>
    <col min="770" max="770" width="9.140625" style="380" customWidth="1"/>
    <col min="771" max="771" width="2.57421875" style="380" customWidth="1"/>
    <col min="772" max="772" width="9.7109375" style="380" customWidth="1"/>
    <col min="773" max="773" width="3.57421875" style="380" customWidth="1"/>
    <col min="774" max="774" width="9.140625" style="380" customWidth="1"/>
    <col min="775" max="775" width="2.8515625" style="380" customWidth="1"/>
    <col min="776" max="776" width="10.28125" style="380" customWidth="1"/>
    <col min="777" max="777" width="3.28125" style="380" customWidth="1"/>
    <col min="778" max="778" width="11.421875" style="380" customWidth="1"/>
    <col min="779" max="779" width="3.28125" style="380" customWidth="1"/>
    <col min="780" max="780" width="9.7109375" style="380" customWidth="1"/>
    <col min="781" max="781" width="2.7109375" style="380" customWidth="1"/>
    <col min="782" max="782" width="10.8515625" style="380" customWidth="1"/>
    <col min="783" max="1020" width="9.140625" style="380" customWidth="1"/>
    <col min="1021" max="1021" width="9.140625" style="380" hidden="1" customWidth="1"/>
    <col min="1022" max="1022" width="9.140625" style="380" customWidth="1"/>
    <col min="1023" max="1023" width="3.421875" style="380" customWidth="1"/>
    <col min="1024" max="1024" width="9.8515625" style="380" customWidth="1"/>
    <col min="1025" max="1025" width="3.57421875" style="380" customWidth="1"/>
    <col min="1026" max="1026" width="9.140625" style="380" customWidth="1"/>
    <col min="1027" max="1027" width="2.57421875" style="380" customWidth="1"/>
    <col min="1028" max="1028" width="9.7109375" style="380" customWidth="1"/>
    <col min="1029" max="1029" width="3.57421875" style="380" customWidth="1"/>
    <col min="1030" max="1030" width="9.140625" style="380" customWidth="1"/>
    <col min="1031" max="1031" width="2.8515625" style="380" customWidth="1"/>
    <col min="1032" max="1032" width="10.28125" style="380" customWidth="1"/>
    <col min="1033" max="1033" width="3.28125" style="380" customWidth="1"/>
    <col min="1034" max="1034" width="11.421875" style="380" customWidth="1"/>
    <col min="1035" max="1035" width="3.28125" style="380" customWidth="1"/>
    <col min="1036" max="1036" width="9.7109375" style="380" customWidth="1"/>
    <col min="1037" max="1037" width="2.7109375" style="380" customWidth="1"/>
    <col min="1038" max="1038" width="10.8515625" style="380" customWidth="1"/>
    <col min="1039" max="1276" width="9.140625" style="380" customWidth="1"/>
    <col min="1277" max="1277" width="9.140625" style="380" hidden="1" customWidth="1"/>
    <col min="1278" max="1278" width="9.140625" style="380" customWidth="1"/>
    <col min="1279" max="1279" width="3.421875" style="380" customWidth="1"/>
    <col min="1280" max="1280" width="9.8515625" style="380" customWidth="1"/>
    <col min="1281" max="1281" width="3.57421875" style="380" customWidth="1"/>
    <col min="1282" max="1282" width="9.140625" style="380" customWidth="1"/>
    <col min="1283" max="1283" width="2.57421875" style="380" customWidth="1"/>
    <col min="1284" max="1284" width="9.7109375" style="380" customWidth="1"/>
    <col min="1285" max="1285" width="3.57421875" style="380" customWidth="1"/>
    <col min="1286" max="1286" width="9.140625" style="380" customWidth="1"/>
    <col min="1287" max="1287" width="2.8515625" style="380" customWidth="1"/>
    <col min="1288" max="1288" width="10.28125" style="380" customWidth="1"/>
    <col min="1289" max="1289" width="3.28125" style="380" customWidth="1"/>
    <col min="1290" max="1290" width="11.421875" style="380" customWidth="1"/>
    <col min="1291" max="1291" width="3.28125" style="380" customWidth="1"/>
    <col min="1292" max="1292" width="9.7109375" style="380" customWidth="1"/>
    <col min="1293" max="1293" width="2.7109375" style="380" customWidth="1"/>
    <col min="1294" max="1294" width="10.8515625" style="380" customWidth="1"/>
    <col min="1295" max="1532" width="9.140625" style="380" customWidth="1"/>
    <col min="1533" max="1533" width="9.140625" style="380" hidden="1" customWidth="1"/>
    <col min="1534" max="1534" width="9.140625" style="380" customWidth="1"/>
    <col min="1535" max="1535" width="3.421875" style="380" customWidth="1"/>
    <col min="1536" max="1536" width="9.8515625" style="380" customWidth="1"/>
    <col min="1537" max="1537" width="3.57421875" style="380" customWidth="1"/>
    <col min="1538" max="1538" width="9.140625" style="380" customWidth="1"/>
    <col min="1539" max="1539" width="2.57421875" style="380" customWidth="1"/>
    <col min="1540" max="1540" width="9.7109375" style="380" customWidth="1"/>
    <col min="1541" max="1541" width="3.57421875" style="380" customWidth="1"/>
    <col min="1542" max="1542" width="9.140625" style="380" customWidth="1"/>
    <col min="1543" max="1543" width="2.8515625" style="380" customWidth="1"/>
    <col min="1544" max="1544" width="10.28125" style="380" customWidth="1"/>
    <col min="1545" max="1545" width="3.28125" style="380" customWidth="1"/>
    <col min="1546" max="1546" width="11.421875" style="380" customWidth="1"/>
    <col min="1547" max="1547" width="3.28125" style="380" customWidth="1"/>
    <col min="1548" max="1548" width="9.7109375" style="380" customWidth="1"/>
    <col min="1549" max="1549" width="2.7109375" style="380" customWidth="1"/>
    <col min="1550" max="1550" width="10.8515625" style="380" customWidth="1"/>
    <col min="1551" max="1788" width="9.140625" style="380" customWidth="1"/>
    <col min="1789" max="1789" width="9.140625" style="380" hidden="1" customWidth="1"/>
    <col min="1790" max="1790" width="9.140625" style="380" customWidth="1"/>
    <col min="1791" max="1791" width="3.421875" style="380" customWidth="1"/>
    <col min="1792" max="1792" width="9.8515625" style="380" customWidth="1"/>
    <col min="1793" max="1793" width="3.57421875" style="380" customWidth="1"/>
    <col min="1794" max="1794" width="9.140625" style="380" customWidth="1"/>
    <col min="1795" max="1795" width="2.57421875" style="380" customWidth="1"/>
    <col min="1796" max="1796" width="9.7109375" style="380" customWidth="1"/>
    <col min="1797" max="1797" width="3.57421875" style="380" customWidth="1"/>
    <col min="1798" max="1798" width="9.140625" style="380" customWidth="1"/>
    <col min="1799" max="1799" width="2.8515625" style="380" customWidth="1"/>
    <col min="1800" max="1800" width="10.28125" style="380" customWidth="1"/>
    <col min="1801" max="1801" width="3.28125" style="380" customWidth="1"/>
    <col min="1802" max="1802" width="11.421875" style="380" customWidth="1"/>
    <col min="1803" max="1803" width="3.28125" style="380" customWidth="1"/>
    <col min="1804" max="1804" width="9.7109375" style="380" customWidth="1"/>
    <col min="1805" max="1805" width="2.7109375" style="380" customWidth="1"/>
    <col min="1806" max="1806" width="10.8515625" style="380" customWidth="1"/>
    <col min="1807" max="2044" width="9.140625" style="380" customWidth="1"/>
    <col min="2045" max="2045" width="9.140625" style="380" hidden="1" customWidth="1"/>
    <col min="2046" max="2046" width="9.140625" style="380" customWidth="1"/>
    <col min="2047" max="2047" width="3.421875" style="380" customWidth="1"/>
    <col min="2048" max="2048" width="9.8515625" style="380" customWidth="1"/>
    <col min="2049" max="2049" width="3.57421875" style="380" customWidth="1"/>
    <col min="2050" max="2050" width="9.140625" style="380" customWidth="1"/>
    <col min="2051" max="2051" width="2.57421875" style="380" customWidth="1"/>
    <col min="2052" max="2052" width="9.7109375" style="380" customWidth="1"/>
    <col min="2053" max="2053" width="3.57421875" style="380" customWidth="1"/>
    <col min="2054" max="2054" width="9.140625" style="380" customWidth="1"/>
    <col min="2055" max="2055" width="2.8515625" style="380" customWidth="1"/>
    <col min="2056" max="2056" width="10.28125" style="380" customWidth="1"/>
    <col min="2057" max="2057" width="3.28125" style="380" customWidth="1"/>
    <col min="2058" max="2058" width="11.421875" style="380" customWidth="1"/>
    <col min="2059" max="2059" width="3.28125" style="380" customWidth="1"/>
    <col min="2060" max="2060" width="9.7109375" style="380" customWidth="1"/>
    <col min="2061" max="2061" width="2.7109375" style="380" customWidth="1"/>
    <col min="2062" max="2062" width="10.8515625" style="380" customWidth="1"/>
    <col min="2063" max="2300" width="9.140625" style="380" customWidth="1"/>
    <col min="2301" max="2301" width="9.140625" style="380" hidden="1" customWidth="1"/>
    <col min="2302" max="2302" width="9.140625" style="380" customWidth="1"/>
    <col min="2303" max="2303" width="3.421875" style="380" customWidth="1"/>
    <col min="2304" max="2304" width="9.8515625" style="380" customWidth="1"/>
    <col min="2305" max="2305" width="3.57421875" style="380" customWidth="1"/>
    <col min="2306" max="2306" width="9.140625" style="380" customWidth="1"/>
    <col min="2307" max="2307" width="2.57421875" style="380" customWidth="1"/>
    <col min="2308" max="2308" width="9.7109375" style="380" customWidth="1"/>
    <col min="2309" max="2309" width="3.57421875" style="380" customWidth="1"/>
    <col min="2310" max="2310" width="9.140625" style="380" customWidth="1"/>
    <col min="2311" max="2311" width="2.8515625" style="380" customWidth="1"/>
    <col min="2312" max="2312" width="10.28125" style="380" customWidth="1"/>
    <col min="2313" max="2313" width="3.28125" style="380" customWidth="1"/>
    <col min="2314" max="2314" width="11.421875" style="380" customWidth="1"/>
    <col min="2315" max="2315" width="3.28125" style="380" customWidth="1"/>
    <col min="2316" max="2316" width="9.7109375" style="380" customWidth="1"/>
    <col min="2317" max="2317" width="2.7109375" style="380" customWidth="1"/>
    <col min="2318" max="2318" width="10.8515625" style="380" customWidth="1"/>
    <col min="2319" max="2556" width="9.140625" style="380" customWidth="1"/>
    <col min="2557" max="2557" width="9.140625" style="380" hidden="1" customWidth="1"/>
    <col min="2558" max="2558" width="9.140625" style="380" customWidth="1"/>
    <col min="2559" max="2559" width="3.421875" style="380" customWidth="1"/>
    <col min="2560" max="2560" width="9.8515625" style="380" customWidth="1"/>
    <col min="2561" max="2561" width="3.57421875" style="380" customWidth="1"/>
    <col min="2562" max="2562" width="9.140625" style="380" customWidth="1"/>
    <col min="2563" max="2563" width="2.57421875" style="380" customWidth="1"/>
    <col min="2564" max="2564" width="9.7109375" style="380" customWidth="1"/>
    <col min="2565" max="2565" width="3.57421875" style="380" customWidth="1"/>
    <col min="2566" max="2566" width="9.140625" style="380" customWidth="1"/>
    <col min="2567" max="2567" width="2.8515625" style="380" customWidth="1"/>
    <col min="2568" max="2568" width="10.28125" style="380" customWidth="1"/>
    <col min="2569" max="2569" width="3.28125" style="380" customWidth="1"/>
    <col min="2570" max="2570" width="11.421875" style="380" customWidth="1"/>
    <col min="2571" max="2571" width="3.28125" style="380" customWidth="1"/>
    <col min="2572" max="2572" width="9.7109375" style="380" customWidth="1"/>
    <col min="2573" max="2573" width="2.7109375" style="380" customWidth="1"/>
    <col min="2574" max="2574" width="10.8515625" style="380" customWidth="1"/>
    <col min="2575" max="2812" width="9.140625" style="380" customWidth="1"/>
    <col min="2813" max="2813" width="9.140625" style="380" hidden="1" customWidth="1"/>
    <col min="2814" max="2814" width="9.140625" style="380" customWidth="1"/>
    <col min="2815" max="2815" width="3.421875" style="380" customWidth="1"/>
    <col min="2816" max="2816" width="9.8515625" style="380" customWidth="1"/>
    <col min="2817" max="2817" width="3.57421875" style="380" customWidth="1"/>
    <col min="2818" max="2818" width="9.140625" style="380" customWidth="1"/>
    <col min="2819" max="2819" width="2.57421875" style="380" customWidth="1"/>
    <col min="2820" max="2820" width="9.7109375" style="380" customWidth="1"/>
    <col min="2821" max="2821" width="3.57421875" style="380" customWidth="1"/>
    <col min="2822" max="2822" width="9.140625" style="380" customWidth="1"/>
    <col min="2823" max="2823" width="2.8515625" style="380" customWidth="1"/>
    <col min="2824" max="2824" width="10.28125" style="380" customWidth="1"/>
    <col min="2825" max="2825" width="3.28125" style="380" customWidth="1"/>
    <col min="2826" max="2826" width="11.421875" style="380" customWidth="1"/>
    <col min="2827" max="2827" width="3.28125" style="380" customWidth="1"/>
    <col min="2828" max="2828" width="9.7109375" style="380" customWidth="1"/>
    <col min="2829" max="2829" width="2.7109375" style="380" customWidth="1"/>
    <col min="2830" max="2830" width="10.8515625" style="380" customWidth="1"/>
    <col min="2831" max="3068" width="9.140625" style="380" customWidth="1"/>
    <col min="3069" max="3069" width="9.140625" style="380" hidden="1" customWidth="1"/>
    <col min="3070" max="3070" width="9.140625" style="380" customWidth="1"/>
    <col min="3071" max="3071" width="3.421875" style="380" customWidth="1"/>
    <col min="3072" max="3072" width="9.8515625" style="380" customWidth="1"/>
    <col min="3073" max="3073" width="3.57421875" style="380" customWidth="1"/>
    <col min="3074" max="3074" width="9.140625" style="380" customWidth="1"/>
    <col min="3075" max="3075" width="2.57421875" style="380" customWidth="1"/>
    <col min="3076" max="3076" width="9.7109375" style="380" customWidth="1"/>
    <col min="3077" max="3077" width="3.57421875" style="380" customWidth="1"/>
    <col min="3078" max="3078" width="9.140625" style="380" customWidth="1"/>
    <col min="3079" max="3079" width="2.8515625" style="380" customWidth="1"/>
    <col min="3080" max="3080" width="10.28125" style="380" customWidth="1"/>
    <col min="3081" max="3081" width="3.28125" style="380" customWidth="1"/>
    <col min="3082" max="3082" width="11.421875" style="380" customWidth="1"/>
    <col min="3083" max="3083" width="3.28125" style="380" customWidth="1"/>
    <col min="3084" max="3084" width="9.7109375" style="380" customWidth="1"/>
    <col min="3085" max="3085" width="2.7109375" style="380" customWidth="1"/>
    <col min="3086" max="3086" width="10.8515625" style="380" customWidth="1"/>
    <col min="3087" max="3324" width="9.140625" style="380" customWidth="1"/>
    <col min="3325" max="3325" width="9.140625" style="380" hidden="1" customWidth="1"/>
    <col min="3326" max="3326" width="9.140625" style="380" customWidth="1"/>
    <col min="3327" max="3327" width="3.421875" style="380" customWidth="1"/>
    <col min="3328" max="3328" width="9.8515625" style="380" customWidth="1"/>
    <col min="3329" max="3329" width="3.57421875" style="380" customWidth="1"/>
    <col min="3330" max="3330" width="9.140625" style="380" customWidth="1"/>
    <col min="3331" max="3331" width="2.57421875" style="380" customWidth="1"/>
    <col min="3332" max="3332" width="9.7109375" style="380" customWidth="1"/>
    <col min="3333" max="3333" width="3.57421875" style="380" customWidth="1"/>
    <col min="3334" max="3334" width="9.140625" style="380" customWidth="1"/>
    <col min="3335" max="3335" width="2.8515625" style="380" customWidth="1"/>
    <col min="3336" max="3336" width="10.28125" style="380" customWidth="1"/>
    <col min="3337" max="3337" width="3.28125" style="380" customWidth="1"/>
    <col min="3338" max="3338" width="11.421875" style="380" customWidth="1"/>
    <col min="3339" max="3339" width="3.28125" style="380" customWidth="1"/>
    <col min="3340" max="3340" width="9.7109375" style="380" customWidth="1"/>
    <col min="3341" max="3341" width="2.7109375" style="380" customWidth="1"/>
    <col min="3342" max="3342" width="10.8515625" style="380" customWidth="1"/>
    <col min="3343" max="3580" width="9.140625" style="380" customWidth="1"/>
    <col min="3581" max="3581" width="9.140625" style="380" hidden="1" customWidth="1"/>
    <col min="3582" max="3582" width="9.140625" style="380" customWidth="1"/>
    <col min="3583" max="3583" width="3.421875" style="380" customWidth="1"/>
    <col min="3584" max="3584" width="9.8515625" style="380" customWidth="1"/>
    <col min="3585" max="3585" width="3.57421875" style="380" customWidth="1"/>
    <col min="3586" max="3586" width="9.140625" style="380" customWidth="1"/>
    <col min="3587" max="3587" width="2.57421875" style="380" customWidth="1"/>
    <col min="3588" max="3588" width="9.7109375" style="380" customWidth="1"/>
    <col min="3589" max="3589" width="3.57421875" style="380" customWidth="1"/>
    <col min="3590" max="3590" width="9.140625" style="380" customWidth="1"/>
    <col min="3591" max="3591" width="2.8515625" style="380" customWidth="1"/>
    <col min="3592" max="3592" width="10.28125" style="380" customWidth="1"/>
    <col min="3593" max="3593" width="3.28125" style="380" customWidth="1"/>
    <col min="3594" max="3594" width="11.421875" style="380" customWidth="1"/>
    <col min="3595" max="3595" width="3.28125" style="380" customWidth="1"/>
    <col min="3596" max="3596" width="9.7109375" style="380" customWidth="1"/>
    <col min="3597" max="3597" width="2.7109375" style="380" customWidth="1"/>
    <col min="3598" max="3598" width="10.8515625" style="380" customWidth="1"/>
    <col min="3599" max="3836" width="9.140625" style="380" customWidth="1"/>
    <col min="3837" max="3837" width="9.140625" style="380" hidden="1" customWidth="1"/>
    <col min="3838" max="3838" width="9.140625" style="380" customWidth="1"/>
    <col min="3839" max="3839" width="3.421875" style="380" customWidth="1"/>
    <col min="3840" max="3840" width="9.8515625" style="380" customWidth="1"/>
    <col min="3841" max="3841" width="3.57421875" style="380" customWidth="1"/>
    <col min="3842" max="3842" width="9.140625" style="380" customWidth="1"/>
    <col min="3843" max="3843" width="2.57421875" style="380" customWidth="1"/>
    <col min="3844" max="3844" width="9.7109375" style="380" customWidth="1"/>
    <col min="3845" max="3845" width="3.57421875" style="380" customWidth="1"/>
    <col min="3846" max="3846" width="9.140625" style="380" customWidth="1"/>
    <col min="3847" max="3847" width="2.8515625" style="380" customWidth="1"/>
    <col min="3848" max="3848" width="10.28125" style="380" customWidth="1"/>
    <col min="3849" max="3849" width="3.28125" style="380" customWidth="1"/>
    <col min="3850" max="3850" width="11.421875" style="380" customWidth="1"/>
    <col min="3851" max="3851" width="3.28125" style="380" customWidth="1"/>
    <col min="3852" max="3852" width="9.7109375" style="380" customWidth="1"/>
    <col min="3853" max="3853" width="2.7109375" style="380" customWidth="1"/>
    <col min="3854" max="3854" width="10.8515625" style="380" customWidth="1"/>
    <col min="3855" max="4092" width="9.140625" style="380" customWidth="1"/>
    <col min="4093" max="4093" width="9.140625" style="380" hidden="1" customWidth="1"/>
    <col min="4094" max="4094" width="9.140625" style="380" customWidth="1"/>
    <col min="4095" max="4095" width="3.421875" style="380" customWidth="1"/>
    <col min="4096" max="4096" width="9.8515625" style="380" customWidth="1"/>
    <col min="4097" max="4097" width="3.57421875" style="380" customWidth="1"/>
    <col min="4098" max="4098" width="9.140625" style="380" customWidth="1"/>
    <col min="4099" max="4099" width="2.57421875" style="380" customWidth="1"/>
    <col min="4100" max="4100" width="9.7109375" style="380" customWidth="1"/>
    <col min="4101" max="4101" width="3.57421875" style="380" customWidth="1"/>
    <col min="4102" max="4102" width="9.140625" style="380" customWidth="1"/>
    <col min="4103" max="4103" width="2.8515625" style="380" customWidth="1"/>
    <col min="4104" max="4104" width="10.28125" style="380" customWidth="1"/>
    <col min="4105" max="4105" width="3.28125" style="380" customWidth="1"/>
    <col min="4106" max="4106" width="11.421875" style="380" customWidth="1"/>
    <col min="4107" max="4107" width="3.28125" style="380" customWidth="1"/>
    <col min="4108" max="4108" width="9.7109375" style="380" customWidth="1"/>
    <col min="4109" max="4109" width="2.7109375" style="380" customWidth="1"/>
    <col min="4110" max="4110" width="10.8515625" style="380" customWidth="1"/>
    <col min="4111" max="4348" width="9.140625" style="380" customWidth="1"/>
    <col min="4349" max="4349" width="9.140625" style="380" hidden="1" customWidth="1"/>
    <col min="4350" max="4350" width="9.140625" style="380" customWidth="1"/>
    <col min="4351" max="4351" width="3.421875" style="380" customWidth="1"/>
    <col min="4352" max="4352" width="9.8515625" style="380" customWidth="1"/>
    <col min="4353" max="4353" width="3.57421875" style="380" customWidth="1"/>
    <col min="4354" max="4354" width="9.140625" style="380" customWidth="1"/>
    <col min="4355" max="4355" width="2.57421875" style="380" customWidth="1"/>
    <col min="4356" max="4356" width="9.7109375" style="380" customWidth="1"/>
    <col min="4357" max="4357" width="3.57421875" style="380" customWidth="1"/>
    <col min="4358" max="4358" width="9.140625" style="380" customWidth="1"/>
    <col min="4359" max="4359" width="2.8515625" style="380" customWidth="1"/>
    <col min="4360" max="4360" width="10.28125" style="380" customWidth="1"/>
    <col min="4361" max="4361" width="3.28125" style="380" customWidth="1"/>
    <col min="4362" max="4362" width="11.421875" style="380" customWidth="1"/>
    <col min="4363" max="4363" width="3.28125" style="380" customWidth="1"/>
    <col min="4364" max="4364" width="9.7109375" style="380" customWidth="1"/>
    <col min="4365" max="4365" width="2.7109375" style="380" customWidth="1"/>
    <col min="4366" max="4366" width="10.8515625" style="380" customWidth="1"/>
    <col min="4367" max="4604" width="9.140625" style="380" customWidth="1"/>
    <col min="4605" max="4605" width="9.140625" style="380" hidden="1" customWidth="1"/>
    <col min="4606" max="4606" width="9.140625" style="380" customWidth="1"/>
    <col min="4607" max="4607" width="3.421875" style="380" customWidth="1"/>
    <col min="4608" max="4608" width="9.8515625" style="380" customWidth="1"/>
    <col min="4609" max="4609" width="3.57421875" style="380" customWidth="1"/>
    <col min="4610" max="4610" width="9.140625" style="380" customWidth="1"/>
    <col min="4611" max="4611" width="2.57421875" style="380" customWidth="1"/>
    <col min="4612" max="4612" width="9.7109375" style="380" customWidth="1"/>
    <col min="4613" max="4613" width="3.57421875" style="380" customWidth="1"/>
    <col min="4614" max="4614" width="9.140625" style="380" customWidth="1"/>
    <col min="4615" max="4615" width="2.8515625" style="380" customWidth="1"/>
    <col min="4616" max="4616" width="10.28125" style="380" customWidth="1"/>
    <col min="4617" max="4617" width="3.28125" style="380" customWidth="1"/>
    <col min="4618" max="4618" width="11.421875" style="380" customWidth="1"/>
    <col min="4619" max="4619" width="3.28125" style="380" customWidth="1"/>
    <col min="4620" max="4620" width="9.7109375" style="380" customWidth="1"/>
    <col min="4621" max="4621" width="2.7109375" style="380" customWidth="1"/>
    <col min="4622" max="4622" width="10.8515625" style="380" customWidth="1"/>
    <col min="4623" max="4860" width="9.140625" style="380" customWidth="1"/>
    <col min="4861" max="4861" width="9.140625" style="380" hidden="1" customWidth="1"/>
    <col min="4862" max="4862" width="9.140625" style="380" customWidth="1"/>
    <col min="4863" max="4863" width="3.421875" style="380" customWidth="1"/>
    <col min="4864" max="4864" width="9.8515625" style="380" customWidth="1"/>
    <col min="4865" max="4865" width="3.57421875" style="380" customWidth="1"/>
    <col min="4866" max="4866" width="9.140625" style="380" customWidth="1"/>
    <col min="4867" max="4867" width="2.57421875" style="380" customWidth="1"/>
    <col min="4868" max="4868" width="9.7109375" style="380" customWidth="1"/>
    <col min="4869" max="4869" width="3.57421875" style="380" customWidth="1"/>
    <col min="4870" max="4870" width="9.140625" style="380" customWidth="1"/>
    <col min="4871" max="4871" width="2.8515625" style="380" customWidth="1"/>
    <col min="4872" max="4872" width="10.28125" style="380" customWidth="1"/>
    <col min="4873" max="4873" width="3.28125" style="380" customWidth="1"/>
    <col min="4874" max="4874" width="11.421875" style="380" customWidth="1"/>
    <col min="4875" max="4875" width="3.28125" style="380" customWidth="1"/>
    <col min="4876" max="4876" width="9.7109375" style="380" customWidth="1"/>
    <col min="4877" max="4877" width="2.7109375" style="380" customWidth="1"/>
    <col min="4878" max="4878" width="10.8515625" style="380" customWidth="1"/>
    <col min="4879" max="5116" width="9.140625" style="380" customWidth="1"/>
    <col min="5117" max="5117" width="9.140625" style="380" hidden="1" customWidth="1"/>
    <col min="5118" max="5118" width="9.140625" style="380" customWidth="1"/>
    <col min="5119" max="5119" width="3.421875" style="380" customWidth="1"/>
    <col min="5120" max="5120" width="9.8515625" style="380" customWidth="1"/>
    <col min="5121" max="5121" width="3.57421875" style="380" customWidth="1"/>
    <col min="5122" max="5122" width="9.140625" style="380" customWidth="1"/>
    <col min="5123" max="5123" width="2.57421875" style="380" customWidth="1"/>
    <col min="5124" max="5124" width="9.7109375" style="380" customWidth="1"/>
    <col min="5125" max="5125" width="3.57421875" style="380" customWidth="1"/>
    <col min="5126" max="5126" width="9.140625" style="380" customWidth="1"/>
    <col min="5127" max="5127" width="2.8515625" style="380" customWidth="1"/>
    <col min="5128" max="5128" width="10.28125" style="380" customWidth="1"/>
    <col min="5129" max="5129" width="3.28125" style="380" customWidth="1"/>
    <col min="5130" max="5130" width="11.421875" style="380" customWidth="1"/>
    <col min="5131" max="5131" width="3.28125" style="380" customWidth="1"/>
    <col min="5132" max="5132" width="9.7109375" style="380" customWidth="1"/>
    <col min="5133" max="5133" width="2.7109375" style="380" customWidth="1"/>
    <col min="5134" max="5134" width="10.8515625" style="380" customWidth="1"/>
    <col min="5135" max="5372" width="9.140625" style="380" customWidth="1"/>
    <col min="5373" max="5373" width="9.140625" style="380" hidden="1" customWidth="1"/>
    <col min="5374" max="5374" width="9.140625" style="380" customWidth="1"/>
    <col min="5375" max="5375" width="3.421875" style="380" customWidth="1"/>
    <col min="5376" max="5376" width="9.8515625" style="380" customWidth="1"/>
    <col min="5377" max="5377" width="3.57421875" style="380" customWidth="1"/>
    <col min="5378" max="5378" width="9.140625" style="380" customWidth="1"/>
    <col min="5379" max="5379" width="2.57421875" style="380" customWidth="1"/>
    <col min="5380" max="5380" width="9.7109375" style="380" customWidth="1"/>
    <col min="5381" max="5381" width="3.57421875" style="380" customWidth="1"/>
    <col min="5382" max="5382" width="9.140625" style="380" customWidth="1"/>
    <col min="5383" max="5383" width="2.8515625" style="380" customWidth="1"/>
    <col min="5384" max="5384" width="10.28125" style="380" customWidth="1"/>
    <col min="5385" max="5385" width="3.28125" style="380" customWidth="1"/>
    <col min="5386" max="5386" width="11.421875" style="380" customWidth="1"/>
    <col min="5387" max="5387" width="3.28125" style="380" customWidth="1"/>
    <col min="5388" max="5388" width="9.7109375" style="380" customWidth="1"/>
    <col min="5389" max="5389" width="2.7109375" style="380" customWidth="1"/>
    <col min="5390" max="5390" width="10.8515625" style="380" customWidth="1"/>
    <col min="5391" max="5628" width="9.140625" style="380" customWidth="1"/>
    <col min="5629" max="5629" width="9.140625" style="380" hidden="1" customWidth="1"/>
    <col min="5630" max="5630" width="9.140625" style="380" customWidth="1"/>
    <col min="5631" max="5631" width="3.421875" style="380" customWidth="1"/>
    <col min="5632" max="5632" width="9.8515625" style="380" customWidth="1"/>
    <col min="5633" max="5633" width="3.57421875" style="380" customWidth="1"/>
    <col min="5634" max="5634" width="9.140625" style="380" customWidth="1"/>
    <col min="5635" max="5635" width="2.57421875" style="380" customWidth="1"/>
    <col min="5636" max="5636" width="9.7109375" style="380" customWidth="1"/>
    <col min="5637" max="5637" width="3.57421875" style="380" customWidth="1"/>
    <col min="5638" max="5638" width="9.140625" style="380" customWidth="1"/>
    <col min="5639" max="5639" width="2.8515625" style="380" customWidth="1"/>
    <col min="5640" max="5640" width="10.28125" style="380" customWidth="1"/>
    <col min="5641" max="5641" width="3.28125" style="380" customWidth="1"/>
    <col min="5642" max="5642" width="11.421875" style="380" customWidth="1"/>
    <col min="5643" max="5643" width="3.28125" style="380" customWidth="1"/>
    <col min="5644" max="5644" width="9.7109375" style="380" customWidth="1"/>
    <col min="5645" max="5645" width="2.7109375" style="380" customWidth="1"/>
    <col min="5646" max="5646" width="10.8515625" style="380" customWidth="1"/>
    <col min="5647" max="5884" width="9.140625" style="380" customWidth="1"/>
    <col min="5885" max="5885" width="9.140625" style="380" hidden="1" customWidth="1"/>
    <col min="5886" max="5886" width="9.140625" style="380" customWidth="1"/>
    <col min="5887" max="5887" width="3.421875" style="380" customWidth="1"/>
    <col min="5888" max="5888" width="9.8515625" style="380" customWidth="1"/>
    <col min="5889" max="5889" width="3.57421875" style="380" customWidth="1"/>
    <col min="5890" max="5890" width="9.140625" style="380" customWidth="1"/>
    <col min="5891" max="5891" width="2.57421875" style="380" customWidth="1"/>
    <col min="5892" max="5892" width="9.7109375" style="380" customWidth="1"/>
    <col min="5893" max="5893" width="3.57421875" style="380" customWidth="1"/>
    <col min="5894" max="5894" width="9.140625" style="380" customWidth="1"/>
    <col min="5895" max="5895" width="2.8515625" style="380" customWidth="1"/>
    <col min="5896" max="5896" width="10.28125" style="380" customWidth="1"/>
    <col min="5897" max="5897" width="3.28125" style="380" customWidth="1"/>
    <col min="5898" max="5898" width="11.421875" style="380" customWidth="1"/>
    <col min="5899" max="5899" width="3.28125" style="380" customWidth="1"/>
    <col min="5900" max="5900" width="9.7109375" style="380" customWidth="1"/>
    <col min="5901" max="5901" width="2.7109375" style="380" customWidth="1"/>
    <col min="5902" max="5902" width="10.8515625" style="380" customWidth="1"/>
    <col min="5903" max="6140" width="9.140625" style="380" customWidth="1"/>
    <col min="6141" max="6141" width="9.140625" style="380" hidden="1" customWidth="1"/>
    <col min="6142" max="6142" width="9.140625" style="380" customWidth="1"/>
    <col min="6143" max="6143" width="3.421875" style="380" customWidth="1"/>
    <col min="6144" max="6144" width="9.8515625" style="380" customWidth="1"/>
    <col min="6145" max="6145" width="3.57421875" style="380" customWidth="1"/>
    <col min="6146" max="6146" width="9.140625" style="380" customWidth="1"/>
    <col min="6147" max="6147" width="2.57421875" style="380" customWidth="1"/>
    <col min="6148" max="6148" width="9.7109375" style="380" customWidth="1"/>
    <col min="6149" max="6149" width="3.57421875" style="380" customWidth="1"/>
    <col min="6150" max="6150" width="9.140625" style="380" customWidth="1"/>
    <col min="6151" max="6151" width="2.8515625" style="380" customWidth="1"/>
    <col min="6152" max="6152" width="10.28125" style="380" customWidth="1"/>
    <col min="6153" max="6153" width="3.28125" style="380" customWidth="1"/>
    <col min="6154" max="6154" width="11.421875" style="380" customWidth="1"/>
    <col min="6155" max="6155" width="3.28125" style="380" customWidth="1"/>
    <col min="6156" max="6156" width="9.7109375" style="380" customWidth="1"/>
    <col min="6157" max="6157" width="2.7109375" style="380" customWidth="1"/>
    <col min="6158" max="6158" width="10.8515625" style="380" customWidth="1"/>
    <col min="6159" max="6396" width="9.140625" style="380" customWidth="1"/>
    <col min="6397" max="6397" width="9.140625" style="380" hidden="1" customWidth="1"/>
    <col min="6398" max="6398" width="9.140625" style="380" customWidth="1"/>
    <col min="6399" max="6399" width="3.421875" style="380" customWidth="1"/>
    <col min="6400" max="6400" width="9.8515625" style="380" customWidth="1"/>
    <col min="6401" max="6401" width="3.57421875" style="380" customWidth="1"/>
    <col min="6402" max="6402" width="9.140625" style="380" customWidth="1"/>
    <col min="6403" max="6403" width="2.57421875" style="380" customWidth="1"/>
    <col min="6404" max="6404" width="9.7109375" style="380" customWidth="1"/>
    <col min="6405" max="6405" width="3.57421875" style="380" customWidth="1"/>
    <col min="6406" max="6406" width="9.140625" style="380" customWidth="1"/>
    <col min="6407" max="6407" width="2.8515625" style="380" customWidth="1"/>
    <col min="6408" max="6408" width="10.28125" style="380" customWidth="1"/>
    <col min="6409" max="6409" width="3.28125" style="380" customWidth="1"/>
    <col min="6410" max="6410" width="11.421875" style="380" customWidth="1"/>
    <col min="6411" max="6411" width="3.28125" style="380" customWidth="1"/>
    <col min="6412" max="6412" width="9.7109375" style="380" customWidth="1"/>
    <col min="6413" max="6413" width="2.7109375" style="380" customWidth="1"/>
    <col min="6414" max="6414" width="10.8515625" style="380" customWidth="1"/>
    <col min="6415" max="6652" width="9.140625" style="380" customWidth="1"/>
    <col min="6653" max="6653" width="9.140625" style="380" hidden="1" customWidth="1"/>
    <col min="6654" max="6654" width="9.140625" style="380" customWidth="1"/>
    <col min="6655" max="6655" width="3.421875" style="380" customWidth="1"/>
    <col min="6656" max="6656" width="9.8515625" style="380" customWidth="1"/>
    <col min="6657" max="6657" width="3.57421875" style="380" customWidth="1"/>
    <col min="6658" max="6658" width="9.140625" style="380" customWidth="1"/>
    <col min="6659" max="6659" width="2.57421875" style="380" customWidth="1"/>
    <col min="6660" max="6660" width="9.7109375" style="380" customWidth="1"/>
    <col min="6661" max="6661" width="3.57421875" style="380" customWidth="1"/>
    <col min="6662" max="6662" width="9.140625" style="380" customWidth="1"/>
    <col min="6663" max="6663" width="2.8515625" style="380" customWidth="1"/>
    <col min="6664" max="6664" width="10.28125" style="380" customWidth="1"/>
    <col min="6665" max="6665" width="3.28125" style="380" customWidth="1"/>
    <col min="6666" max="6666" width="11.421875" style="380" customWidth="1"/>
    <col min="6667" max="6667" width="3.28125" style="380" customWidth="1"/>
    <col min="6668" max="6668" width="9.7109375" style="380" customWidth="1"/>
    <col min="6669" max="6669" width="2.7109375" style="380" customWidth="1"/>
    <col min="6670" max="6670" width="10.8515625" style="380" customWidth="1"/>
    <col min="6671" max="6908" width="9.140625" style="380" customWidth="1"/>
    <col min="6909" max="6909" width="9.140625" style="380" hidden="1" customWidth="1"/>
    <col min="6910" max="6910" width="9.140625" style="380" customWidth="1"/>
    <col min="6911" max="6911" width="3.421875" style="380" customWidth="1"/>
    <col min="6912" max="6912" width="9.8515625" style="380" customWidth="1"/>
    <col min="6913" max="6913" width="3.57421875" style="380" customWidth="1"/>
    <col min="6914" max="6914" width="9.140625" style="380" customWidth="1"/>
    <col min="6915" max="6915" width="2.57421875" style="380" customWidth="1"/>
    <col min="6916" max="6916" width="9.7109375" style="380" customWidth="1"/>
    <col min="6917" max="6917" width="3.57421875" style="380" customWidth="1"/>
    <col min="6918" max="6918" width="9.140625" style="380" customWidth="1"/>
    <col min="6919" max="6919" width="2.8515625" style="380" customWidth="1"/>
    <col min="6920" max="6920" width="10.28125" style="380" customWidth="1"/>
    <col min="6921" max="6921" width="3.28125" style="380" customWidth="1"/>
    <col min="6922" max="6922" width="11.421875" style="380" customWidth="1"/>
    <col min="6923" max="6923" width="3.28125" style="380" customWidth="1"/>
    <col min="6924" max="6924" width="9.7109375" style="380" customWidth="1"/>
    <col min="6925" max="6925" width="2.7109375" style="380" customWidth="1"/>
    <col min="6926" max="6926" width="10.8515625" style="380" customWidth="1"/>
    <col min="6927" max="7164" width="9.140625" style="380" customWidth="1"/>
    <col min="7165" max="7165" width="9.140625" style="380" hidden="1" customWidth="1"/>
    <col min="7166" max="7166" width="9.140625" style="380" customWidth="1"/>
    <col min="7167" max="7167" width="3.421875" style="380" customWidth="1"/>
    <col min="7168" max="7168" width="9.8515625" style="380" customWidth="1"/>
    <col min="7169" max="7169" width="3.57421875" style="380" customWidth="1"/>
    <col min="7170" max="7170" width="9.140625" style="380" customWidth="1"/>
    <col min="7171" max="7171" width="2.57421875" style="380" customWidth="1"/>
    <col min="7172" max="7172" width="9.7109375" style="380" customWidth="1"/>
    <col min="7173" max="7173" width="3.57421875" style="380" customWidth="1"/>
    <col min="7174" max="7174" width="9.140625" style="380" customWidth="1"/>
    <col min="7175" max="7175" width="2.8515625" style="380" customWidth="1"/>
    <col min="7176" max="7176" width="10.28125" style="380" customWidth="1"/>
    <col min="7177" max="7177" width="3.28125" style="380" customWidth="1"/>
    <col min="7178" max="7178" width="11.421875" style="380" customWidth="1"/>
    <col min="7179" max="7179" width="3.28125" style="380" customWidth="1"/>
    <col min="7180" max="7180" width="9.7109375" style="380" customWidth="1"/>
    <col min="7181" max="7181" width="2.7109375" style="380" customWidth="1"/>
    <col min="7182" max="7182" width="10.8515625" style="380" customWidth="1"/>
    <col min="7183" max="7420" width="9.140625" style="380" customWidth="1"/>
    <col min="7421" max="7421" width="9.140625" style="380" hidden="1" customWidth="1"/>
    <col min="7422" max="7422" width="9.140625" style="380" customWidth="1"/>
    <col min="7423" max="7423" width="3.421875" style="380" customWidth="1"/>
    <col min="7424" max="7424" width="9.8515625" style="380" customWidth="1"/>
    <col min="7425" max="7425" width="3.57421875" style="380" customWidth="1"/>
    <col min="7426" max="7426" width="9.140625" style="380" customWidth="1"/>
    <col min="7427" max="7427" width="2.57421875" style="380" customWidth="1"/>
    <col min="7428" max="7428" width="9.7109375" style="380" customWidth="1"/>
    <col min="7429" max="7429" width="3.57421875" style="380" customWidth="1"/>
    <col min="7430" max="7430" width="9.140625" style="380" customWidth="1"/>
    <col min="7431" max="7431" width="2.8515625" style="380" customWidth="1"/>
    <col min="7432" max="7432" width="10.28125" style="380" customWidth="1"/>
    <col min="7433" max="7433" width="3.28125" style="380" customWidth="1"/>
    <col min="7434" max="7434" width="11.421875" style="380" customWidth="1"/>
    <col min="7435" max="7435" width="3.28125" style="380" customWidth="1"/>
    <col min="7436" max="7436" width="9.7109375" style="380" customWidth="1"/>
    <col min="7437" max="7437" width="2.7109375" style="380" customWidth="1"/>
    <col min="7438" max="7438" width="10.8515625" style="380" customWidth="1"/>
    <col min="7439" max="7676" width="9.140625" style="380" customWidth="1"/>
    <col min="7677" max="7677" width="9.140625" style="380" hidden="1" customWidth="1"/>
    <col min="7678" max="7678" width="9.140625" style="380" customWidth="1"/>
    <col min="7679" max="7679" width="3.421875" style="380" customWidth="1"/>
    <col min="7680" max="7680" width="9.8515625" style="380" customWidth="1"/>
    <col min="7681" max="7681" width="3.57421875" style="380" customWidth="1"/>
    <col min="7682" max="7682" width="9.140625" style="380" customWidth="1"/>
    <col min="7683" max="7683" width="2.57421875" style="380" customWidth="1"/>
    <col min="7684" max="7684" width="9.7109375" style="380" customWidth="1"/>
    <col min="7685" max="7685" width="3.57421875" style="380" customWidth="1"/>
    <col min="7686" max="7686" width="9.140625" style="380" customWidth="1"/>
    <col min="7687" max="7687" width="2.8515625" style="380" customWidth="1"/>
    <col min="7688" max="7688" width="10.28125" style="380" customWidth="1"/>
    <col min="7689" max="7689" width="3.28125" style="380" customWidth="1"/>
    <col min="7690" max="7690" width="11.421875" style="380" customWidth="1"/>
    <col min="7691" max="7691" width="3.28125" style="380" customWidth="1"/>
    <col min="7692" max="7692" width="9.7109375" style="380" customWidth="1"/>
    <col min="7693" max="7693" width="2.7109375" style="380" customWidth="1"/>
    <col min="7694" max="7694" width="10.8515625" style="380" customWidth="1"/>
    <col min="7695" max="7932" width="9.140625" style="380" customWidth="1"/>
    <col min="7933" max="7933" width="9.140625" style="380" hidden="1" customWidth="1"/>
    <col min="7934" max="7934" width="9.140625" style="380" customWidth="1"/>
    <col min="7935" max="7935" width="3.421875" style="380" customWidth="1"/>
    <col min="7936" max="7936" width="9.8515625" style="380" customWidth="1"/>
    <col min="7937" max="7937" width="3.57421875" style="380" customWidth="1"/>
    <col min="7938" max="7938" width="9.140625" style="380" customWidth="1"/>
    <col min="7939" max="7939" width="2.57421875" style="380" customWidth="1"/>
    <col min="7940" max="7940" width="9.7109375" style="380" customWidth="1"/>
    <col min="7941" max="7941" width="3.57421875" style="380" customWidth="1"/>
    <col min="7942" max="7942" width="9.140625" style="380" customWidth="1"/>
    <col min="7943" max="7943" width="2.8515625" style="380" customWidth="1"/>
    <col min="7944" max="7944" width="10.28125" style="380" customWidth="1"/>
    <col min="7945" max="7945" width="3.28125" style="380" customWidth="1"/>
    <col min="7946" max="7946" width="11.421875" style="380" customWidth="1"/>
    <col min="7947" max="7947" width="3.28125" style="380" customWidth="1"/>
    <col min="7948" max="7948" width="9.7109375" style="380" customWidth="1"/>
    <col min="7949" max="7949" width="2.7109375" style="380" customWidth="1"/>
    <col min="7950" max="7950" width="10.8515625" style="380" customWidth="1"/>
    <col min="7951" max="8188" width="9.140625" style="380" customWidth="1"/>
    <col min="8189" max="8189" width="9.140625" style="380" hidden="1" customWidth="1"/>
    <col min="8190" max="8190" width="9.140625" style="380" customWidth="1"/>
    <col min="8191" max="8191" width="3.421875" style="380" customWidth="1"/>
    <col min="8192" max="8192" width="9.8515625" style="380" customWidth="1"/>
    <col min="8193" max="8193" width="3.57421875" style="380" customWidth="1"/>
    <col min="8194" max="8194" width="9.140625" style="380" customWidth="1"/>
    <col min="8195" max="8195" width="2.57421875" style="380" customWidth="1"/>
    <col min="8196" max="8196" width="9.7109375" style="380" customWidth="1"/>
    <col min="8197" max="8197" width="3.57421875" style="380" customWidth="1"/>
    <col min="8198" max="8198" width="9.140625" style="380" customWidth="1"/>
    <col min="8199" max="8199" width="2.8515625" style="380" customWidth="1"/>
    <col min="8200" max="8200" width="10.28125" style="380" customWidth="1"/>
    <col min="8201" max="8201" width="3.28125" style="380" customWidth="1"/>
    <col min="8202" max="8202" width="11.421875" style="380" customWidth="1"/>
    <col min="8203" max="8203" width="3.28125" style="380" customWidth="1"/>
    <col min="8204" max="8204" width="9.7109375" style="380" customWidth="1"/>
    <col min="8205" max="8205" width="2.7109375" style="380" customWidth="1"/>
    <col min="8206" max="8206" width="10.8515625" style="380" customWidth="1"/>
    <col min="8207" max="8444" width="9.140625" style="380" customWidth="1"/>
    <col min="8445" max="8445" width="9.140625" style="380" hidden="1" customWidth="1"/>
    <col min="8446" max="8446" width="9.140625" style="380" customWidth="1"/>
    <col min="8447" max="8447" width="3.421875" style="380" customWidth="1"/>
    <col min="8448" max="8448" width="9.8515625" style="380" customWidth="1"/>
    <col min="8449" max="8449" width="3.57421875" style="380" customWidth="1"/>
    <col min="8450" max="8450" width="9.140625" style="380" customWidth="1"/>
    <col min="8451" max="8451" width="2.57421875" style="380" customWidth="1"/>
    <col min="8452" max="8452" width="9.7109375" style="380" customWidth="1"/>
    <col min="8453" max="8453" width="3.57421875" style="380" customWidth="1"/>
    <col min="8454" max="8454" width="9.140625" style="380" customWidth="1"/>
    <col min="8455" max="8455" width="2.8515625" style="380" customWidth="1"/>
    <col min="8456" max="8456" width="10.28125" style="380" customWidth="1"/>
    <col min="8457" max="8457" width="3.28125" style="380" customWidth="1"/>
    <col min="8458" max="8458" width="11.421875" style="380" customWidth="1"/>
    <col min="8459" max="8459" width="3.28125" style="380" customWidth="1"/>
    <col min="8460" max="8460" width="9.7109375" style="380" customWidth="1"/>
    <col min="8461" max="8461" width="2.7109375" style="380" customWidth="1"/>
    <col min="8462" max="8462" width="10.8515625" style="380" customWidth="1"/>
    <col min="8463" max="8700" width="9.140625" style="380" customWidth="1"/>
    <col min="8701" max="8701" width="9.140625" style="380" hidden="1" customWidth="1"/>
    <col min="8702" max="8702" width="9.140625" style="380" customWidth="1"/>
    <col min="8703" max="8703" width="3.421875" style="380" customWidth="1"/>
    <col min="8704" max="8704" width="9.8515625" style="380" customWidth="1"/>
    <col min="8705" max="8705" width="3.57421875" style="380" customWidth="1"/>
    <col min="8706" max="8706" width="9.140625" style="380" customWidth="1"/>
    <col min="8707" max="8707" width="2.57421875" style="380" customWidth="1"/>
    <col min="8708" max="8708" width="9.7109375" style="380" customWidth="1"/>
    <col min="8709" max="8709" width="3.57421875" style="380" customWidth="1"/>
    <col min="8710" max="8710" width="9.140625" style="380" customWidth="1"/>
    <col min="8711" max="8711" width="2.8515625" style="380" customWidth="1"/>
    <col min="8712" max="8712" width="10.28125" style="380" customWidth="1"/>
    <col min="8713" max="8713" width="3.28125" style="380" customWidth="1"/>
    <col min="8714" max="8714" width="11.421875" style="380" customWidth="1"/>
    <col min="8715" max="8715" width="3.28125" style="380" customWidth="1"/>
    <col min="8716" max="8716" width="9.7109375" style="380" customWidth="1"/>
    <col min="8717" max="8717" width="2.7109375" style="380" customWidth="1"/>
    <col min="8718" max="8718" width="10.8515625" style="380" customWidth="1"/>
    <col min="8719" max="8956" width="9.140625" style="380" customWidth="1"/>
    <col min="8957" max="8957" width="9.140625" style="380" hidden="1" customWidth="1"/>
    <col min="8958" max="8958" width="9.140625" style="380" customWidth="1"/>
    <col min="8959" max="8959" width="3.421875" style="380" customWidth="1"/>
    <col min="8960" max="8960" width="9.8515625" style="380" customWidth="1"/>
    <col min="8961" max="8961" width="3.57421875" style="380" customWidth="1"/>
    <col min="8962" max="8962" width="9.140625" style="380" customWidth="1"/>
    <col min="8963" max="8963" width="2.57421875" style="380" customWidth="1"/>
    <col min="8964" max="8964" width="9.7109375" style="380" customWidth="1"/>
    <col min="8965" max="8965" width="3.57421875" style="380" customWidth="1"/>
    <col min="8966" max="8966" width="9.140625" style="380" customWidth="1"/>
    <col min="8967" max="8967" width="2.8515625" style="380" customWidth="1"/>
    <col min="8968" max="8968" width="10.28125" style="380" customWidth="1"/>
    <col min="8969" max="8969" width="3.28125" style="380" customWidth="1"/>
    <col min="8970" max="8970" width="11.421875" style="380" customWidth="1"/>
    <col min="8971" max="8971" width="3.28125" style="380" customWidth="1"/>
    <col min="8972" max="8972" width="9.7109375" style="380" customWidth="1"/>
    <col min="8973" max="8973" width="2.7109375" style="380" customWidth="1"/>
    <col min="8974" max="8974" width="10.8515625" style="380" customWidth="1"/>
    <col min="8975" max="9212" width="9.140625" style="380" customWidth="1"/>
    <col min="9213" max="9213" width="9.140625" style="380" hidden="1" customWidth="1"/>
    <col min="9214" max="9214" width="9.140625" style="380" customWidth="1"/>
    <col min="9215" max="9215" width="3.421875" style="380" customWidth="1"/>
    <col min="9216" max="9216" width="9.8515625" style="380" customWidth="1"/>
    <col min="9217" max="9217" width="3.57421875" style="380" customWidth="1"/>
    <col min="9218" max="9218" width="9.140625" style="380" customWidth="1"/>
    <col min="9219" max="9219" width="2.57421875" style="380" customWidth="1"/>
    <col min="9220" max="9220" width="9.7109375" style="380" customWidth="1"/>
    <col min="9221" max="9221" width="3.57421875" style="380" customWidth="1"/>
    <col min="9222" max="9222" width="9.140625" style="380" customWidth="1"/>
    <col min="9223" max="9223" width="2.8515625" style="380" customWidth="1"/>
    <col min="9224" max="9224" width="10.28125" style="380" customWidth="1"/>
    <col min="9225" max="9225" width="3.28125" style="380" customWidth="1"/>
    <col min="9226" max="9226" width="11.421875" style="380" customWidth="1"/>
    <col min="9227" max="9227" width="3.28125" style="380" customWidth="1"/>
    <col min="9228" max="9228" width="9.7109375" style="380" customWidth="1"/>
    <col min="9229" max="9229" width="2.7109375" style="380" customWidth="1"/>
    <col min="9230" max="9230" width="10.8515625" style="380" customWidth="1"/>
    <col min="9231" max="9468" width="9.140625" style="380" customWidth="1"/>
    <col min="9469" max="9469" width="9.140625" style="380" hidden="1" customWidth="1"/>
    <col min="9470" max="9470" width="9.140625" style="380" customWidth="1"/>
    <col min="9471" max="9471" width="3.421875" style="380" customWidth="1"/>
    <col min="9472" max="9472" width="9.8515625" style="380" customWidth="1"/>
    <col min="9473" max="9473" width="3.57421875" style="380" customWidth="1"/>
    <col min="9474" max="9474" width="9.140625" style="380" customWidth="1"/>
    <col min="9475" max="9475" width="2.57421875" style="380" customWidth="1"/>
    <col min="9476" max="9476" width="9.7109375" style="380" customWidth="1"/>
    <col min="9477" max="9477" width="3.57421875" style="380" customWidth="1"/>
    <col min="9478" max="9478" width="9.140625" style="380" customWidth="1"/>
    <col min="9479" max="9479" width="2.8515625" style="380" customWidth="1"/>
    <col min="9480" max="9480" width="10.28125" style="380" customWidth="1"/>
    <col min="9481" max="9481" width="3.28125" style="380" customWidth="1"/>
    <col min="9482" max="9482" width="11.421875" style="380" customWidth="1"/>
    <col min="9483" max="9483" width="3.28125" style="380" customWidth="1"/>
    <col min="9484" max="9484" width="9.7109375" style="380" customWidth="1"/>
    <col min="9485" max="9485" width="2.7109375" style="380" customWidth="1"/>
    <col min="9486" max="9486" width="10.8515625" style="380" customWidth="1"/>
    <col min="9487" max="9724" width="9.140625" style="380" customWidth="1"/>
    <col min="9725" max="9725" width="9.140625" style="380" hidden="1" customWidth="1"/>
    <col min="9726" max="9726" width="9.140625" style="380" customWidth="1"/>
    <col min="9727" max="9727" width="3.421875" style="380" customWidth="1"/>
    <col min="9728" max="9728" width="9.8515625" style="380" customWidth="1"/>
    <col min="9729" max="9729" width="3.57421875" style="380" customWidth="1"/>
    <col min="9730" max="9730" width="9.140625" style="380" customWidth="1"/>
    <col min="9731" max="9731" width="2.57421875" style="380" customWidth="1"/>
    <col min="9732" max="9732" width="9.7109375" style="380" customWidth="1"/>
    <col min="9733" max="9733" width="3.57421875" style="380" customWidth="1"/>
    <col min="9734" max="9734" width="9.140625" style="380" customWidth="1"/>
    <col min="9735" max="9735" width="2.8515625" style="380" customWidth="1"/>
    <col min="9736" max="9736" width="10.28125" style="380" customWidth="1"/>
    <col min="9737" max="9737" width="3.28125" style="380" customWidth="1"/>
    <col min="9738" max="9738" width="11.421875" style="380" customWidth="1"/>
    <col min="9739" max="9739" width="3.28125" style="380" customWidth="1"/>
    <col min="9740" max="9740" width="9.7109375" style="380" customWidth="1"/>
    <col min="9741" max="9741" width="2.7109375" style="380" customWidth="1"/>
    <col min="9742" max="9742" width="10.8515625" style="380" customWidth="1"/>
    <col min="9743" max="9980" width="9.140625" style="380" customWidth="1"/>
    <col min="9981" max="9981" width="9.140625" style="380" hidden="1" customWidth="1"/>
    <col min="9982" max="9982" width="9.140625" style="380" customWidth="1"/>
    <col min="9983" max="9983" width="3.421875" style="380" customWidth="1"/>
    <col min="9984" max="9984" width="9.8515625" style="380" customWidth="1"/>
    <col min="9985" max="9985" width="3.57421875" style="380" customWidth="1"/>
    <col min="9986" max="9986" width="9.140625" style="380" customWidth="1"/>
    <col min="9987" max="9987" width="2.57421875" style="380" customWidth="1"/>
    <col min="9988" max="9988" width="9.7109375" style="380" customWidth="1"/>
    <col min="9989" max="9989" width="3.57421875" style="380" customWidth="1"/>
    <col min="9990" max="9990" width="9.140625" style="380" customWidth="1"/>
    <col min="9991" max="9991" width="2.8515625" style="380" customWidth="1"/>
    <col min="9992" max="9992" width="10.28125" style="380" customWidth="1"/>
    <col min="9993" max="9993" width="3.28125" style="380" customWidth="1"/>
    <col min="9994" max="9994" width="11.421875" style="380" customWidth="1"/>
    <col min="9995" max="9995" width="3.28125" style="380" customWidth="1"/>
    <col min="9996" max="9996" width="9.7109375" style="380" customWidth="1"/>
    <col min="9997" max="9997" width="2.7109375" style="380" customWidth="1"/>
    <col min="9998" max="9998" width="10.8515625" style="380" customWidth="1"/>
    <col min="9999" max="10236" width="9.140625" style="380" customWidth="1"/>
    <col min="10237" max="10237" width="9.140625" style="380" hidden="1" customWidth="1"/>
    <col min="10238" max="10238" width="9.140625" style="380" customWidth="1"/>
    <col min="10239" max="10239" width="3.421875" style="380" customWidth="1"/>
    <col min="10240" max="10240" width="9.8515625" style="380" customWidth="1"/>
    <col min="10241" max="10241" width="3.57421875" style="380" customWidth="1"/>
    <col min="10242" max="10242" width="9.140625" style="380" customWidth="1"/>
    <col min="10243" max="10243" width="2.57421875" style="380" customWidth="1"/>
    <col min="10244" max="10244" width="9.7109375" style="380" customWidth="1"/>
    <col min="10245" max="10245" width="3.57421875" style="380" customWidth="1"/>
    <col min="10246" max="10246" width="9.140625" style="380" customWidth="1"/>
    <col min="10247" max="10247" width="2.8515625" style="380" customWidth="1"/>
    <col min="10248" max="10248" width="10.28125" style="380" customWidth="1"/>
    <col min="10249" max="10249" width="3.28125" style="380" customWidth="1"/>
    <col min="10250" max="10250" width="11.421875" style="380" customWidth="1"/>
    <col min="10251" max="10251" width="3.28125" style="380" customWidth="1"/>
    <col min="10252" max="10252" width="9.7109375" style="380" customWidth="1"/>
    <col min="10253" max="10253" width="2.7109375" style="380" customWidth="1"/>
    <col min="10254" max="10254" width="10.8515625" style="380" customWidth="1"/>
    <col min="10255" max="10492" width="9.140625" style="380" customWidth="1"/>
    <col min="10493" max="10493" width="9.140625" style="380" hidden="1" customWidth="1"/>
    <col min="10494" max="10494" width="9.140625" style="380" customWidth="1"/>
    <col min="10495" max="10495" width="3.421875" style="380" customWidth="1"/>
    <col min="10496" max="10496" width="9.8515625" style="380" customWidth="1"/>
    <col min="10497" max="10497" width="3.57421875" style="380" customWidth="1"/>
    <col min="10498" max="10498" width="9.140625" style="380" customWidth="1"/>
    <col min="10499" max="10499" width="2.57421875" style="380" customWidth="1"/>
    <col min="10500" max="10500" width="9.7109375" style="380" customWidth="1"/>
    <col min="10501" max="10501" width="3.57421875" style="380" customWidth="1"/>
    <col min="10502" max="10502" width="9.140625" style="380" customWidth="1"/>
    <col min="10503" max="10503" width="2.8515625" style="380" customWidth="1"/>
    <col min="10504" max="10504" width="10.28125" style="380" customWidth="1"/>
    <col min="10505" max="10505" width="3.28125" style="380" customWidth="1"/>
    <col min="10506" max="10506" width="11.421875" style="380" customWidth="1"/>
    <col min="10507" max="10507" width="3.28125" style="380" customWidth="1"/>
    <col min="10508" max="10508" width="9.7109375" style="380" customWidth="1"/>
    <col min="10509" max="10509" width="2.7109375" style="380" customWidth="1"/>
    <col min="10510" max="10510" width="10.8515625" style="380" customWidth="1"/>
    <col min="10511" max="10748" width="9.140625" style="380" customWidth="1"/>
    <col min="10749" max="10749" width="9.140625" style="380" hidden="1" customWidth="1"/>
    <col min="10750" max="10750" width="9.140625" style="380" customWidth="1"/>
    <col min="10751" max="10751" width="3.421875" style="380" customWidth="1"/>
    <col min="10752" max="10752" width="9.8515625" style="380" customWidth="1"/>
    <col min="10753" max="10753" width="3.57421875" style="380" customWidth="1"/>
    <col min="10754" max="10754" width="9.140625" style="380" customWidth="1"/>
    <col min="10755" max="10755" width="2.57421875" style="380" customWidth="1"/>
    <col min="10756" max="10756" width="9.7109375" style="380" customWidth="1"/>
    <col min="10757" max="10757" width="3.57421875" style="380" customWidth="1"/>
    <col min="10758" max="10758" width="9.140625" style="380" customWidth="1"/>
    <col min="10759" max="10759" width="2.8515625" style="380" customWidth="1"/>
    <col min="10760" max="10760" width="10.28125" style="380" customWidth="1"/>
    <col min="10761" max="10761" width="3.28125" style="380" customWidth="1"/>
    <col min="10762" max="10762" width="11.421875" style="380" customWidth="1"/>
    <col min="10763" max="10763" width="3.28125" style="380" customWidth="1"/>
    <col min="10764" max="10764" width="9.7109375" style="380" customWidth="1"/>
    <col min="10765" max="10765" width="2.7109375" style="380" customWidth="1"/>
    <col min="10766" max="10766" width="10.8515625" style="380" customWidth="1"/>
    <col min="10767" max="11004" width="9.140625" style="380" customWidth="1"/>
    <col min="11005" max="11005" width="9.140625" style="380" hidden="1" customWidth="1"/>
    <col min="11006" max="11006" width="9.140625" style="380" customWidth="1"/>
    <col min="11007" max="11007" width="3.421875" style="380" customWidth="1"/>
    <col min="11008" max="11008" width="9.8515625" style="380" customWidth="1"/>
    <col min="11009" max="11009" width="3.57421875" style="380" customWidth="1"/>
    <col min="11010" max="11010" width="9.140625" style="380" customWidth="1"/>
    <col min="11011" max="11011" width="2.57421875" style="380" customWidth="1"/>
    <col min="11012" max="11012" width="9.7109375" style="380" customWidth="1"/>
    <col min="11013" max="11013" width="3.57421875" style="380" customWidth="1"/>
    <col min="11014" max="11014" width="9.140625" style="380" customWidth="1"/>
    <col min="11015" max="11015" width="2.8515625" style="380" customWidth="1"/>
    <col min="11016" max="11016" width="10.28125" style="380" customWidth="1"/>
    <col min="11017" max="11017" width="3.28125" style="380" customWidth="1"/>
    <col min="11018" max="11018" width="11.421875" style="380" customWidth="1"/>
    <col min="11019" max="11019" width="3.28125" style="380" customWidth="1"/>
    <col min="11020" max="11020" width="9.7109375" style="380" customWidth="1"/>
    <col min="11021" max="11021" width="2.7109375" style="380" customWidth="1"/>
    <col min="11022" max="11022" width="10.8515625" style="380" customWidth="1"/>
    <col min="11023" max="11260" width="9.140625" style="380" customWidth="1"/>
    <col min="11261" max="11261" width="9.140625" style="380" hidden="1" customWidth="1"/>
    <col min="11262" max="11262" width="9.140625" style="380" customWidth="1"/>
    <col min="11263" max="11263" width="3.421875" style="380" customWidth="1"/>
    <col min="11264" max="11264" width="9.8515625" style="380" customWidth="1"/>
    <col min="11265" max="11265" width="3.57421875" style="380" customWidth="1"/>
    <col min="11266" max="11266" width="9.140625" style="380" customWidth="1"/>
    <col min="11267" max="11267" width="2.57421875" style="380" customWidth="1"/>
    <col min="11268" max="11268" width="9.7109375" style="380" customWidth="1"/>
    <col min="11269" max="11269" width="3.57421875" style="380" customWidth="1"/>
    <col min="11270" max="11270" width="9.140625" style="380" customWidth="1"/>
    <col min="11271" max="11271" width="2.8515625" style="380" customWidth="1"/>
    <col min="11272" max="11272" width="10.28125" style="380" customWidth="1"/>
    <col min="11273" max="11273" width="3.28125" style="380" customWidth="1"/>
    <col min="11274" max="11274" width="11.421875" style="380" customWidth="1"/>
    <col min="11275" max="11275" width="3.28125" style="380" customWidth="1"/>
    <col min="11276" max="11276" width="9.7109375" style="380" customWidth="1"/>
    <col min="11277" max="11277" width="2.7109375" style="380" customWidth="1"/>
    <col min="11278" max="11278" width="10.8515625" style="380" customWidth="1"/>
    <col min="11279" max="11516" width="9.140625" style="380" customWidth="1"/>
    <col min="11517" max="11517" width="9.140625" style="380" hidden="1" customWidth="1"/>
    <col min="11518" max="11518" width="9.140625" style="380" customWidth="1"/>
    <col min="11519" max="11519" width="3.421875" style="380" customWidth="1"/>
    <col min="11520" max="11520" width="9.8515625" style="380" customWidth="1"/>
    <col min="11521" max="11521" width="3.57421875" style="380" customWidth="1"/>
    <col min="11522" max="11522" width="9.140625" style="380" customWidth="1"/>
    <col min="11523" max="11523" width="2.57421875" style="380" customWidth="1"/>
    <col min="11524" max="11524" width="9.7109375" style="380" customWidth="1"/>
    <col min="11525" max="11525" width="3.57421875" style="380" customWidth="1"/>
    <col min="11526" max="11526" width="9.140625" style="380" customWidth="1"/>
    <col min="11527" max="11527" width="2.8515625" style="380" customWidth="1"/>
    <col min="11528" max="11528" width="10.28125" style="380" customWidth="1"/>
    <col min="11529" max="11529" width="3.28125" style="380" customWidth="1"/>
    <col min="11530" max="11530" width="11.421875" style="380" customWidth="1"/>
    <col min="11531" max="11531" width="3.28125" style="380" customWidth="1"/>
    <col min="11532" max="11532" width="9.7109375" style="380" customWidth="1"/>
    <col min="11533" max="11533" width="2.7109375" style="380" customWidth="1"/>
    <col min="11534" max="11534" width="10.8515625" style="380" customWidth="1"/>
    <col min="11535" max="11772" width="9.140625" style="380" customWidth="1"/>
    <col min="11773" max="11773" width="9.140625" style="380" hidden="1" customWidth="1"/>
    <col min="11774" max="11774" width="9.140625" style="380" customWidth="1"/>
    <col min="11775" max="11775" width="3.421875" style="380" customWidth="1"/>
    <col min="11776" max="11776" width="9.8515625" style="380" customWidth="1"/>
    <col min="11777" max="11777" width="3.57421875" style="380" customWidth="1"/>
    <col min="11778" max="11778" width="9.140625" style="380" customWidth="1"/>
    <col min="11779" max="11779" width="2.57421875" style="380" customWidth="1"/>
    <col min="11780" max="11780" width="9.7109375" style="380" customWidth="1"/>
    <col min="11781" max="11781" width="3.57421875" style="380" customWidth="1"/>
    <col min="11782" max="11782" width="9.140625" style="380" customWidth="1"/>
    <col min="11783" max="11783" width="2.8515625" style="380" customWidth="1"/>
    <col min="11784" max="11784" width="10.28125" style="380" customWidth="1"/>
    <col min="11785" max="11785" width="3.28125" style="380" customWidth="1"/>
    <col min="11786" max="11786" width="11.421875" style="380" customWidth="1"/>
    <col min="11787" max="11787" width="3.28125" style="380" customWidth="1"/>
    <col min="11788" max="11788" width="9.7109375" style="380" customWidth="1"/>
    <col min="11789" max="11789" width="2.7109375" style="380" customWidth="1"/>
    <col min="11790" max="11790" width="10.8515625" style="380" customWidth="1"/>
    <col min="11791" max="12028" width="9.140625" style="380" customWidth="1"/>
    <col min="12029" max="12029" width="9.140625" style="380" hidden="1" customWidth="1"/>
    <col min="12030" max="12030" width="9.140625" style="380" customWidth="1"/>
    <col min="12031" max="12031" width="3.421875" style="380" customWidth="1"/>
    <col min="12032" max="12032" width="9.8515625" style="380" customWidth="1"/>
    <col min="12033" max="12033" width="3.57421875" style="380" customWidth="1"/>
    <col min="12034" max="12034" width="9.140625" style="380" customWidth="1"/>
    <col min="12035" max="12035" width="2.57421875" style="380" customWidth="1"/>
    <col min="12036" max="12036" width="9.7109375" style="380" customWidth="1"/>
    <col min="12037" max="12037" width="3.57421875" style="380" customWidth="1"/>
    <col min="12038" max="12038" width="9.140625" style="380" customWidth="1"/>
    <col min="12039" max="12039" width="2.8515625" style="380" customWidth="1"/>
    <col min="12040" max="12040" width="10.28125" style="380" customWidth="1"/>
    <col min="12041" max="12041" width="3.28125" style="380" customWidth="1"/>
    <col min="12042" max="12042" width="11.421875" style="380" customWidth="1"/>
    <col min="12043" max="12043" width="3.28125" style="380" customWidth="1"/>
    <col min="12044" max="12044" width="9.7109375" style="380" customWidth="1"/>
    <col min="12045" max="12045" width="2.7109375" style="380" customWidth="1"/>
    <col min="12046" max="12046" width="10.8515625" style="380" customWidth="1"/>
    <col min="12047" max="12284" width="9.140625" style="380" customWidth="1"/>
    <col min="12285" max="12285" width="9.140625" style="380" hidden="1" customWidth="1"/>
    <col min="12286" max="12286" width="9.140625" style="380" customWidth="1"/>
    <col min="12287" max="12287" width="3.421875" style="380" customWidth="1"/>
    <col min="12288" max="12288" width="9.8515625" style="380" customWidth="1"/>
    <col min="12289" max="12289" width="3.57421875" style="380" customWidth="1"/>
    <col min="12290" max="12290" width="9.140625" style="380" customWidth="1"/>
    <col min="12291" max="12291" width="2.57421875" style="380" customWidth="1"/>
    <col min="12292" max="12292" width="9.7109375" style="380" customWidth="1"/>
    <col min="12293" max="12293" width="3.57421875" style="380" customWidth="1"/>
    <col min="12294" max="12294" width="9.140625" style="380" customWidth="1"/>
    <col min="12295" max="12295" width="2.8515625" style="380" customWidth="1"/>
    <col min="12296" max="12296" width="10.28125" style="380" customWidth="1"/>
    <col min="12297" max="12297" width="3.28125" style="380" customWidth="1"/>
    <col min="12298" max="12298" width="11.421875" style="380" customWidth="1"/>
    <col min="12299" max="12299" width="3.28125" style="380" customWidth="1"/>
    <col min="12300" max="12300" width="9.7109375" style="380" customWidth="1"/>
    <col min="12301" max="12301" width="2.7109375" style="380" customWidth="1"/>
    <col min="12302" max="12302" width="10.8515625" style="380" customWidth="1"/>
    <col min="12303" max="12540" width="9.140625" style="380" customWidth="1"/>
    <col min="12541" max="12541" width="9.140625" style="380" hidden="1" customWidth="1"/>
    <col min="12542" max="12542" width="9.140625" style="380" customWidth="1"/>
    <col min="12543" max="12543" width="3.421875" style="380" customWidth="1"/>
    <col min="12544" max="12544" width="9.8515625" style="380" customWidth="1"/>
    <col min="12545" max="12545" width="3.57421875" style="380" customWidth="1"/>
    <col min="12546" max="12546" width="9.140625" style="380" customWidth="1"/>
    <col min="12547" max="12547" width="2.57421875" style="380" customWidth="1"/>
    <col min="12548" max="12548" width="9.7109375" style="380" customWidth="1"/>
    <col min="12549" max="12549" width="3.57421875" style="380" customWidth="1"/>
    <col min="12550" max="12550" width="9.140625" style="380" customWidth="1"/>
    <col min="12551" max="12551" width="2.8515625" style="380" customWidth="1"/>
    <col min="12552" max="12552" width="10.28125" style="380" customWidth="1"/>
    <col min="12553" max="12553" width="3.28125" style="380" customWidth="1"/>
    <col min="12554" max="12554" width="11.421875" style="380" customWidth="1"/>
    <col min="12555" max="12555" width="3.28125" style="380" customWidth="1"/>
    <col min="12556" max="12556" width="9.7109375" style="380" customWidth="1"/>
    <col min="12557" max="12557" width="2.7109375" style="380" customWidth="1"/>
    <col min="12558" max="12558" width="10.8515625" style="380" customWidth="1"/>
    <col min="12559" max="12796" width="9.140625" style="380" customWidth="1"/>
    <col min="12797" max="12797" width="9.140625" style="380" hidden="1" customWidth="1"/>
    <col min="12798" max="12798" width="9.140625" style="380" customWidth="1"/>
    <col min="12799" max="12799" width="3.421875" style="380" customWidth="1"/>
    <col min="12800" max="12800" width="9.8515625" style="380" customWidth="1"/>
    <col min="12801" max="12801" width="3.57421875" style="380" customWidth="1"/>
    <col min="12802" max="12802" width="9.140625" style="380" customWidth="1"/>
    <col min="12803" max="12803" width="2.57421875" style="380" customWidth="1"/>
    <col min="12804" max="12804" width="9.7109375" style="380" customWidth="1"/>
    <col min="12805" max="12805" width="3.57421875" style="380" customWidth="1"/>
    <col min="12806" max="12806" width="9.140625" style="380" customWidth="1"/>
    <col min="12807" max="12807" width="2.8515625" style="380" customWidth="1"/>
    <col min="12808" max="12808" width="10.28125" style="380" customWidth="1"/>
    <col min="12809" max="12809" width="3.28125" style="380" customWidth="1"/>
    <col min="12810" max="12810" width="11.421875" style="380" customWidth="1"/>
    <col min="12811" max="12811" width="3.28125" style="380" customWidth="1"/>
    <col min="12812" max="12812" width="9.7109375" style="380" customWidth="1"/>
    <col min="12813" max="12813" width="2.7109375" style="380" customWidth="1"/>
    <col min="12814" max="12814" width="10.8515625" style="380" customWidth="1"/>
    <col min="12815" max="13052" width="9.140625" style="380" customWidth="1"/>
    <col min="13053" max="13053" width="9.140625" style="380" hidden="1" customWidth="1"/>
    <col min="13054" max="13054" width="9.140625" style="380" customWidth="1"/>
    <col min="13055" max="13055" width="3.421875" style="380" customWidth="1"/>
    <col min="13056" max="13056" width="9.8515625" style="380" customWidth="1"/>
    <col min="13057" max="13057" width="3.57421875" style="380" customWidth="1"/>
    <col min="13058" max="13058" width="9.140625" style="380" customWidth="1"/>
    <col min="13059" max="13059" width="2.57421875" style="380" customWidth="1"/>
    <col min="13060" max="13060" width="9.7109375" style="380" customWidth="1"/>
    <col min="13061" max="13061" width="3.57421875" style="380" customWidth="1"/>
    <col min="13062" max="13062" width="9.140625" style="380" customWidth="1"/>
    <col min="13063" max="13063" width="2.8515625" style="380" customWidth="1"/>
    <col min="13064" max="13064" width="10.28125" style="380" customWidth="1"/>
    <col min="13065" max="13065" width="3.28125" style="380" customWidth="1"/>
    <col min="13066" max="13066" width="11.421875" style="380" customWidth="1"/>
    <col min="13067" max="13067" width="3.28125" style="380" customWidth="1"/>
    <col min="13068" max="13068" width="9.7109375" style="380" customWidth="1"/>
    <col min="13069" max="13069" width="2.7109375" style="380" customWidth="1"/>
    <col min="13070" max="13070" width="10.8515625" style="380" customWidth="1"/>
    <col min="13071" max="13308" width="9.140625" style="380" customWidth="1"/>
    <col min="13309" max="13309" width="9.140625" style="380" hidden="1" customWidth="1"/>
    <col min="13310" max="13310" width="9.140625" style="380" customWidth="1"/>
    <col min="13311" max="13311" width="3.421875" style="380" customWidth="1"/>
    <col min="13312" max="13312" width="9.8515625" style="380" customWidth="1"/>
    <col min="13313" max="13313" width="3.57421875" style="380" customWidth="1"/>
    <col min="13314" max="13314" width="9.140625" style="380" customWidth="1"/>
    <col min="13315" max="13315" width="2.57421875" style="380" customWidth="1"/>
    <col min="13316" max="13316" width="9.7109375" style="380" customWidth="1"/>
    <col min="13317" max="13317" width="3.57421875" style="380" customWidth="1"/>
    <col min="13318" max="13318" width="9.140625" style="380" customWidth="1"/>
    <col min="13319" max="13319" width="2.8515625" style="380" customWidth="1"/>
    <col min="13320" max="13320" width="10.28125" style="380" customWidth="1"/>
    <col min="13321" max="13321" width="3.28125" style="380" customWidth="1"/>
    <col min="13322" max="13322" width="11.421875" style="380" customWidth="1"/>
    <col min="13323" max="13323" width="3.28125" style="380" customWidth="1"/>
    <col min="13324" max="13324" width="9.7109375" style="380" customWidth="1"/>
    <col min="13325" max="13325" width="2.7109375" style="380" customWidth="1"/>
    <col min="13326" max="13326" width="10.8515625" style="380" customWidth="1"/>
    <col min="13327" max="13564" width="9.140625" style="380" customWidth="1"/>
    <col min="13565" max="13565" width="9.140625" style="380" hidden="1" customWidth="1"/>
    <col min="13566" max="13566" width="9.140625" style="380" customWidth="1"/>
    <col min="13567" max="13567" width="3.421875" style="380" customWidth="1"/>
    <col min="13568" max="13568" width="9.8515625" style="380" customWidth="1"/>
    <col min="13569" max="13569" width="3.57421875" style="380" customWidth="1"/>
    <col min="13570" max="13570" width="9.140625" style="380" customWidth="1"/>
    <col min="13571" max="13571" width="2.57421875" style="380" customWidth="1"/>
    <col min="13572" max="13572" width="9.7109375" style="380" customWidth="1"/>
    <col min="13573" max="13573" width="3.57421875" style="380" customWidth="1"/>
    <col min="13574" max="13574" width="9.140625" style="380" customWidth="1"/>
    <col min="13575" max="13575" width="2.8515625" style="380" customWidth="1"/>
    <col min="13576" max="13576" width="10.28125" style="380" customWidth="1"/>
    <col min="13577" max="13577" width="3.28125" style="380" customWidth="1"/>
    <col min="13578" max="13578" width="11.421875" style="380" customWidth="1"/>
    <col min="13579" max="13579" width="3.28125" style="380" customWidth="1"/>
    <col min="13580" max="13580" width="9.7109375" style="380" customWidth="1"/>
    <col min="13581" max="13581" width="2.7109375" style="380" customWidth="1"/>
    <col min="13582" max="13582" width="10.8515625" style="380" customWidth="1"/>
    <col min="13583" max="13820" width="9.140625" style="380" customWidth="1"/>
    <col min="13821" max="13821" width="9.140625" style="380" hidden="1" customWidth="1"/>
    <col min="13822" max="13822" width="9.140625" style="380" customWidth="1"/>
    <col min="13823" max="13823" width="3.421875" style="380" customWidth="1"/>
    <col min="13824" max="13824" width="9.8515625" style="380" customWidth="1"/>
    <col min="13825" max="13825" width="3.57421875" style="380" customWidth="1"/>
    <col min="13826" max="13826" width="9.140625" style="380" customWidth="1"/>
    <col min="13827" max="13827" width="2.57421875" style="380" customWidth="1"/>
    <col min="13828" max="13828" width="9.7109375" style="380" customWidth="1"/>
    <col min="13829" max="13829" width="3.57421875" style="380" customWidth="1"/>
    <col min="13830" max="13830" width="9.140625" style="380" customWidth="1"/>
    <col min="13831" max="13831" width="2.8515625" style="380" customWidth="1"/>
    <col min="13832" max="13832" width="10.28125" style="380" customWidth="1"/>
    <col min="13833" max="13833" width="3.28125" style="380" customWidth="1"/>
    <col min="13834" max="13834" width="11.421875" style="380" customWidth="1"/>
    <col min="13835" max="13835" width="3.28125" style="380" customWidth="1"/>
    <col min="13836" max="13836" width="9.7109375" style="380" customWidth="1"/>
    <col min="13837" max="13837" width="2.7109375" style="380" customWidth="1"/>
    <col min="13838" max="13838" width="10.8515625" style="380" customWidth="1"/>
    <col min="13839" max="14076" width="9.140625" style="380" customWidth="1"/>
    <col min="14077" max="14077" width="9.140625" style="380" hidden="1" customWidth="1"/>
    <col min="14078" max="14078" width="9.140625" style="380" customWidth="1"/>
    <col min="14079" max="14079" width="3.421875" style="380" customWidth="1"/>
    <col min="14080" max="14080" width="9.8515625" style="380" customWidth="1"/>
    <col min="14081" max="14081" width="3.57421875" style="380" customWidth="1"/>
    <col min="14082" max="14082" width="9.140625" style="380" customWidth="1"/>
    <col min="14083" max="14083" width="2.57421875" style="380" customWidth="1"/>
    <col min="14084" max="14084" width="9.7109375" style="380" customWidth="1"/>
    <col min="14085" max="14085" width="3.57421875" style="380" customWidth="1"/>
    <col min="14086" max="14086" width="9.140625" style="380" customWidth="1"/>
    <col min="14087" max="14087" width="2.8515625" style="380" customWidth="1"/>
    <col min="14088" max="14088" width="10.28125" style="380" customWidth="1"/>
    <col min="14089" max="14089" width="3.28125" style="380" customWidth="1"/>
    <col min="14090" max="14090" width="11.421875" style="380" customWidth="1"/>
    <col min="14091" max="14091" width="3.28125" style="380" customWidth="1"/>
    <col min="14092" max="14092" width="9.7109375" style="380" customWidth="1"/>
    <col min="14093" max="14093" width="2.7109375" style="380" customWidth="1"/>
    <col min="14094" max="14094" width="10.8515625" style="380" customWidth="1"/>
    <col min="14095" max="14332" width="9.140625" style="380" customWidth="1"/>
    <col min="14333" max="14333" width="9.140625" style="380" hidden="1" customWidth="1"/>
    <col min="14334" max="14334" width="9.140625" style="380" customWidth="1"/>
    <col min="14335" max="14335" width="3.421875" style="380" customWidth="1"/>
    <col min="14336" max="14336" width="9.8515625" style="380" customWidth="1"/>
    <col min="14337" max="14337" width="3.57421875" style="380" customWidth="1"/>
    <col min="14338" max="14338" width="9.140625" style="380" customWidth="1"/>
    <col min="14339" max="14339" width="2.57421875" style="380" customWidth="1"/>
    <col min="14340" max="14340" width="9.7109375" style="380" customWidth="1"/>
    <col min="14341" max="14341" width="3.57421875" style="380" customWidth="1"/>
    <col min="14342" max="14342" width="9.140625" style="380" customWidth="1"/>
    <col min="14343" max="14343" width="2.8515625" style="380" customWidth="1"/>
    <col min="14344" max="14344" width="10.28125" style="380" customWidth="1"/>
    <col min="14345" max="14345" width="3.28125" style="380" customWidth="1"/>
    <col min="14346" max="14346" width="11.421875" style="380" customWidth="1"/>
    <col min="14347" max="14347" width="3.28125" style="380" customWidth="1"/>
    <col min="14348" max="14348" width="9.7109375" style="380" customWidth="1"/>
    <col min="14349" max="14349" width="2.7109375" style="380" customWidth="1"/>
    <col min="14350" max="14350" width="10.8515625" style="380" customWidth="1"/>
    <col min="14351" max="14588" width="9.140625" style="380" customWidth="1"/>
    <col min="14589" max="14589" width="9.140625" style="380" hidden="1" customWidth="1"/>
    <col min="14590" max="14590" width="9.140625" style="380" customWidth="1"/>
    <col min="14591" max="14591" width="3.421875" style="380" customWidth="1"/>
    <col min="14592" max="14592" width="9.8515625" style="380" customWidth="1"/>
    <col min="14593" max="14593" width="3.57421875" style="380" customWidth="1"/>
    <col min="14594" max="14594" width="9.140625" style="380" customWidth="1"/>
    <col min="14595" max="14595" width="2.57421875" style="380" customWidth="1"/>
    <col min="14596" max="14596" width="9.7109375" style="380" customWidth="1"/>
    <col min="14597" max="14597" width="3.57421875" style="380" customWidth="1"/>
    <col min="14598" max="14598" width="9.140625" style="380" customWidth="1"/>
    <col min="14599" max="14599" width="2.8515625" style="380" customWidth="1"/>
    <col min="14600" max="14600" width="10.28125" style="380" customWidth="1"/>
    <col min="14601" max="14601" width="3.28125" style="380" customWidth="1"/>
    <col min="14602" max="14602" width="11.421875" style="380" customWidth="1"/>
    <col min="14603" max="14603" width="3.28125" style="380" customWidth="1"/>
    <col min="14604" max="14604" width="9.7109375" style="380" customWidth="1"/>
    <col min="14605" max="14605" width="2.7109375" style="380" customWidth="1"/>
    <col min="14606" max="14606" width="10.8515625" style="380" customWidth="1"/>
    <col min="14607" max="14844" width="9.140625" style="380" customWidth="1"/>
    <col min="14845" max="14845" width="9.140625" style="380" hidden="1" customWidth="1"/>
    <col min="14846" max="14846" width="9.140625" style="380" customWidth="1"/>
    <col min="14847" max="14847" width="3.421875" style="380" customWidth="1"/>
    <col min="14848" max="14848" width="9.8515625" style="380" customWidth="1"/>
    <col min="14849" max="14849" width="3.57421875" style="380" customWidth="1"/>
    <col min="14850" max="14850" width="9.140625" style="380" customWidth="1"/>
    <col min="14851" max="14851" width="2.57421875" style="380" customWidth="1"/>
    <col min="14852" max="14852" width="9.7109375" style="380" customWidth="1"/>
    <col min="14853" max="14853" width="3.57421875" style="380" customWidth="1"/>
    <col min="14854" max="14854" width="9.140625" style="380" customWidth="1"/>
    <col min="14855" max="14855" width="2.8515625" style="380" customWidth="1"/>
    <col min="14856" max="14856" width="10.28125" style="380" customWidth="1"/>
    <col min="14857" max="14857" width="3.28125" style="380" customWidth="1"/>
    <col min="14858" max="14858" width="11.421875" style="380" customWidth="1"/>
    <col min="14859" max="14859" width="3.28125" style="380" customWidth="1"/>
    <col min="14860" max="14860" width="9.7109375" style="380" customWidth="1"/>
    <col min="14861" max="14861" width="2.7109375" style="380" customWidth="1"/>
    <col min="14862" max="14862" width="10.8515625" style="380" customWidth="1"/>
    <col min="14863" max="15100" width="9.140625" style="380" customWidth="1"/>
    <col min="15101" max="15101" width="9.140625" style="380" hidden="1" customWidth="1"/>
    <col min="15102" max="15102" width="9.140625" style="380" customWidth="1"/>
    <col min="15103" max="15103" width="3.421875" style="380" customWidth="1"/>
    <col min="15104" max="15104" width="9.8515625" style="380" customWidth="1"/>
    <col min="15105" max="15105" width="3.57421875" style="380" customWidth="1"/>
    <col min="15106" max="15106" width="9.140625" style="380" customWidth="1"/>
    <col min="15107" max="15107" width="2.57421875" style="380" customWidth="1"/>
    <col min="15108" max="15108" width="9.7109375" style="380" customWidth="1"/>
    <col min="15109" max="15109" width="3.57421875" style="380" customWidth="1"/>
    <col min="15110" max="15110" width="9.140625" style="380" customWidth="1"/>
    <col min="15111" max="15111" width="2.8515625" style="380" customWidth="1"/>
    <col min="15112" max="15112" width="10.28125" style="380" customWidth="1"/>
    <col min="15113" max="15113" width="3.28125" style="380" customWidth="1"/>
    <col min="15114" max="15114" width="11.421875" style="380" customWidth="1"/>
    <col min="15115" max="15115" width="3.28125" style="380" customWidth="1"/>
    <col min="15116" max="15116" width="9.7109375" style="380" customWidth="1"/>
    <col min="15117" max="15117" width="2.7109375" style="380" customWidth="1"/>
    <col min="15118" max="15118" width="10.8515625" style="380" customWidth="1"/>
    <col min="15119" max="15356" width="9.140625" style="380" customWidth="1"/>
    <col min="15357" max="15357" width="9.140625" style="380" hidden="1" customWidth="1"/>
    <col min="15358" max="15358" width="9.140625" style="380" customWidth="1"/>
    <col min="15359" max="15359" width="3.421875" style="380" customWidth="1"/>
    <col min="15360" max="15360" width="9.8515625" style="380" customWidth="1"/>
    <col min="15361" max="15361" width="3.57421875" style="380" customWidth="1"/>
    <col min="15362" max="15362" width="9.140625" style="380" customWidth="1"/>
    <col min="15363" max="15363" width="2.57421875" style="380" customWidth="1"/>
    <col min="15364" max="15364" width="9.7109375" style="380" customWidth="1"/>
    <col min="15365" max="15365" width="3.57421875" style="380" customWidth="1"/>
    <col min="15366" max="15366" width="9.140625" style="380" customWidth="1"/>
    <col min="15367" max="15367" width="2.8515625" style="380" customWidth="1"/>
    <col min="15368" max="15368" width="10.28125" style="380" customWidth="1"/>
    <col min="15369" max="15369" width="3.28125" style="380" customWidth="1"/>
    <col min="15370" max="15370" width="11.421875" style="380" customWidth="1"/>
    <col min="15371" max="15371" width="3.28125" style="380" customWidth="1"/>
    <col min="15372" max="15372" width="9.7109375" style="380" customWidth="1"/>
    <col min="15373" max="15373" width="2.7109375" style="380" customWidth="1"/>
    <col min="15374" max="15374" width="10.8515625" style="380" customWidth="1"/>
    <col min="15375" max="15612" width="9.140625" style="380" customWidth="1"/>
    <col min="15613" max="15613" width="9.140625" style="380" hidden="1" customWidth="1"/>
    <col min="15614" max="15614" width="9.140625" style="380" customWidth="1"/>
    <col min="15615" max="15615" width="3.421875" style="380" customWidth="1"/>
    <col min="15616" max="15616" width="9.8515625" style="380" customWidth="1"/>
    <col min="15617" max="15617" width="3.57421875" style="380" customWidth="1"/>
    <col min="15618" max="15618" width="9.140625" style="380" customWidth="1"/>
    <col min="15619" max="15619" width="2.57421875" style="380" customWidth="1"/>
    <col min="15620" max="15620" width="9.7109375" style="380" customWidth="1"/>
    <col min="15621" max="15621" width="3.57421875" style="380" customWidth="1"/>
    <col min="15622" max="15622" width="9.140625" style="380" customWidth="1"/>
    <col min="15623" max="15623" width="2.8515625" style="380" customWidth="1"/>
    <col min="15624" max="15624" width="10.28125" style="380" customWidth="1"/>
    <col min="15625" max="15625" width="3.28125" style="380" customWidth="1"/>
    <col min="15626" max="15626" width="11.421875" style="380" customWidth="1"/>
    <col min="15627" max="15627" width="3.28125" style="380" customWidth="1"/>
    <col min="15628" max="15628" width="9.7109375" style="380" customWidth="1"/>
    <col min="15629" max="15629" width="2.7109375" style="380" customWidth="1"/>
    <col min="15630" max="15630" width="10.8515625" style="380" customWidth="1"/>
    <col min="15631" max="15868" width="9.140625" style="380" customWidth="1"/>
    <col min="15869" max="15869" width="9.140625" style="380" hidden="1" customWidth="1"/>
    <col min="15870" max="15870" width="9.140625" style="380" customWidth="1"/>
    <col min="15871" max="15871" width="3.421875" style="380" customWidth="1"/>
    <col min="15872" max="15872" width="9.8515625" style="380" customWidth="1"/>
    <col min="15873" max="15873" width="3.57421875" style="380" customWidth="1"/>
    <col min="15874" max="15874" width="9.140625" style="380" customWidth="1"/>
    <col min="15875" max="15875" width="2.57421875" style="380" customWidth="1"/>
    <col min="15876" max="15876" width="9.7109375" style="380" customWidth="1"/>
    <col min="15877" max="15877" width="3.57421875" style="380" customWidth="1"/>
    <col min="15878" max="15878" width="9.140625" style="380" customWidth="1"/>
    <col min="15879" max="15879" width="2.8515625" style="380" customWidth="1"/>
    <col min="15880" max="15880" width="10.28125" style="380" customWidth="1"/>
    <col min="15881" max="15881" width="3.28125" style="380" customWidth="1"/>
    <col min="15882" max="15882" width="11.421875" style="380" customWidth="1"/>
    <col min="15883" max="15883" width="3.28125" style="380" customWidth="1"/>
    <col min="15884" max="15884" width="9.7109375" style="380" customWidth="1"/>
    <col min="15885" max="15885" width="2.7109375" style="380" customWidth="1"/>
    <col min="15886" max="15886" width="10.8515625" style="380" customWidth="1"/>
    <col min="15887" max="16124" width="9.140625" style="380" customWidth="1"/>
    <col min="16125" max="16125" width="9.140625" style="380" hidden="1" customWidth="1"/>
    <col min="16126" max="16126" width="9.140625" style="380" customWidth="1"/>
    <col min="16127" max="16127" width="3.421875" style="380" customWidth="1"/>
    <col min="16128" max="16128" width="9.8515625" style="380" customWidth="1"/>
    <col min="16129" max="16129" width="3.57421875" style="380" customWidth="1"/>
    <col min="16130" max="16130" width="9.140625" style="380" customWidth="1"/>
    <col min="16131" max="16131" width="2.57421875" style="380" customWidth="1"/>
    <col min="16132" max="16132" width="9.7109375" style="380" customWidth="1"/>
    <col min="16133" max="16133" width="3.57421875" style="380" customWidth="1"/>
    <col min="16134" max="16134" width="9.140625" style="380" customWidth="1"/>
    <col min="16135" max="16135" width="2.8515625" style="380" customWidth="1"/>
    <col min="16136" max="16136" width="10.28125" style="380" customWidth="1"/>
    <col min="16137" max="16137" width="3.28125" style="380" customWidth="1"/>
    <col min="16138" max="16138" width="11.421875" style="380" customWidth="1"/>
    <col min="16139" max="16139" width="3.28125" style="380" customWidth="1"/>
    <col min="16140" max="16140" width="9.7109375" style="380" customWidth="1"/>
    <col min="16141" max="16141" width="2.7109375" style="380" customWidth="1"/>
    <col min="16142" max="16142" width="10.8515625" style="380" customWidth="1"/>
    <col min="16143" max="16384" width="9.140625" style="380" customWidth="1"/>
  </cols>
  <sheetData>
    <row r="1" spans="3:14" ht="12.75">
      <c r="C1" s="401" t="s">
        <v>596</v>
      </c>
      <c r="D1" s="401"/>
      <c r="E1" s="401"/>
      <c r="F1" s="401"/>
      <c r="G1" s="401"/>
      <c r="H1" s="401"/>
      <c r="I1" s="401"/>
      <c r="J1" s="401"/>
      <c r="K1" s="401"/>
      <c r="L1" s="401"/>
      <c r="M1" s="401"/>
      <c r="N1" s="394"/>
    </row>
    <row r="2" spans="3:14" ht="12.75">
      <c r="C2" s="401" t="s">
        <v>564</v>
      </c>
      <c r="D2" s="401"/>
      <c r="E2" s="401"/>
      <c r="F2" s="401"/>
      <c r="G2" s="401"/>
      <c r="H2" s="401"/>
      <c r="I2" s="401"/>
      <c r="J2" s="401"/>
      <c r="K2" s="401"/>
      <c r="L2" s="401"/>
      <c r="M2" s="401"/>
      <c r="N2" s="394"/>
    </row>
    <row r="3" spans="3:14" ht="12.75">
      <c r="C3" s="401" t="s">
        <v>737</v>
      </c>
      <c r="D3" s="401"/>
      <c r="E3" s="401"/>
      <c r="F3" s="401"/>
      <c r="G3" s="401"/>
      <c r="H3" s="401"/>
      <c r="I3" s="401"/>
      <c r="J3" s="401"/>
      <c r="K3" s="401"/>
      <c r="L3" s="401"/>
      <c r="M3" s="401"/>
      <c r="N3" s="394"/>
    </row>
    <row r="4" spans="3:14" ht="12.75">
      <c r="C4" s="401" t="s">
        <v>252</v>
      </c>
      <c r="D4" s="401"/>
      <c r="E4" s="401"/>
      <c r="F4" s="401"/>
      <c r="G4" s="401"/>
      <c r="H4" s="401"/>
      <c r="I4" s="401"/>
      <c r="J4" s="401"/>
      <c r="K4" s="401"/>
      <c r="L4" s="401"/>
      <c r="M4" s="401"/>
      <c r="N4" s="394"/>
    </row>
    <row r="5" spans="3:14" ht="12.75" customHeight="1">
      <c r="C5" s="381"/>
      <c r="D5" s="382"/>
      <c r="E5" s="382"/>
      <c r="F5" s="382"/>
      <c r="G5" s="382"/>
      <c r="H5" s="382"/>
      <c r="I5" s="382"/>
      <c r="J5" s="382"/>
      <c r="K5" s="382"/>
      <c r="L5" s="382"/>
      <c r="M5" s="382"/>
      <c r="N5" s="382"/>
    </row>
    <row r="6" spans="3:13" ht="12.75">
      <c r="C6" s="378" t="s">
        <v>162</v>
      </c>
      <c r="D6" s="379" t="s">
        <v>163</v>
      </c>
      <c r="E6" s="379" t="s">
        <v>164</v>
      </c>
      <c r="F6" s="379" t="s">
        <v>165</v>
      </c>
      <c r="G6" s="379" t="s">
        <v>166</v>
      </c>
      <c r="H6" s="379" t="s">
        <v>167</v>
      </c>
      <c r="I6" s="383" t="s">
        <v>255</v>
      </c>
      <c r="J6" s="379" t="s">
        <v>256</v>
      </c>
      <c r="K6" s="379" t="s">
        <v>257</v>
      </c>
      <c r="L6" s="379" t="s">
        <v>258</v>
      </c>
      <c r="M6" s="379" t="s">
        <v>259</v>
      </c>
    </row>
    <row r="7" spans="3:14" ht="12.75">
      <c r="C7" s="378"/>
      <c r="D7" s="379"/>
      <c r="E7" s="379"/>
      <c r="F7" s="379"/>
      <c r="G7" s="379"/>
      <c r="H7" s="379"/>
      <c r="I7" s="379"/>
      <c r="J7" s="383" t="s">
        <v>50</v>
      </c>
      <c r="K7" s="379"/>
      <c r="L7" s="383" t="s">
        <v>742</v>
      </c>
      <c r="M7" s="379"/>
      <c r="N7" s="379"/>
    </row>
    <row r="8" spans="3:14" ht="12.75">
      <c r="C8" s="383"/>
      <c r="D8" s="383"/>
      <c r="E8" s="383"/>
      <c r="F8" s="383" t="s">
        <v>231</v>
      </c>
      <c r="G8" s="383"/>
      <c r="H8" s="383"/>
      <c r="I8" s="383"/>
      <c r="J8" s="383" t="s">
        <v>531</v>
      </c>
      <c r="K8" s="383" t="s">
        <v>231</v>
      </c>
      <c r="L8" s="383" t="s">
        <v>743</v>
      </c>
      <c r="M8" s="383"/>
      <c r="N8" s="383"/>
    </row>
    <row r="9" spans="3:14" ht="12.75">
      <c r="C9" s="383"/>
      <c r="D9" s="383"/>
      <c r="E9" s="383" t="s">
        <v>538</v>
      </c>
      <c r="F9" s="383" t="s">
        <v>532</v>
      </c>
      <c r="G9" s="383"/>
      <c r="H9" s="383"/>
      <c r="I9" s="383" t="s">
        <v>565</v>
      </c>
      <c r="J9" s="383" t="s">
        <v>533</v>
      </c>
      <c r="K9" s="383" t="s">
        <v>534</v>
      </c>
      <c r="L9" s="383" t="s">
        <v>744</v>
      </c>
      <c r="M9" s="383" t="s">
        <v>535</v>
      </c>
      <c r="N9" s="383"/>
    </row>
    <row r="10" spans="3:14" ht="12.75">
      <c r="C10" s="383" t="s">
        <v>536</v>
      </c>
      <c r="D10" s="383" t="s">
        <v>537</v>
      </c>
      <c r="E10" s="383" t="s">
        <v>551</v>
      </c>
      <c r="F10" s="383" t="s">
        <v>539</v>
      </c>
      <c r="G10" s="383"/>
      <c r="H10" s="383" t="s">
        <v>540</v>
      </c>
      <c r="I10" s="383" t="s">
        <v>707</v>
      </c>
      <c r="J10" s="383" t="s">
        <v>541</v>
      </c>
      <c r="K10" s="383" t="s">
        <v>542</v>
      </c>
      <c r="L10" s="383" t="s">
        <v>745</v>
      </c>
      <c r="M10" s="383" t="s">
        <v>231</v>
      </c>
      <c r="N10" s="383"/>
    </row>
    <row r="11" spans="3:14" ht="12.75">
      <c r="C11" s="383" t="s">
        <v>74</v>
      </c>
      <c r="D11" s="383" t="s">
        <v>231</v>
      </c>
      <c r="E11" s="383" t="s">
        <v>550</v>
      </c>
      <c r="F11" s="383" t="s">
        <v>543</v>
      </c>
      <c r="G11" s="383" t="s">
        <v>119</v>
      </c>
      <c r="H11" s="383" t="s">
        <v>544</v>
      </c>
      <c r="I11" s="383" t="s">
        <v>736</v>
      </c>
      <c r="J11" s="383" t="s">
        <v>528</v>
      </c>
      <c r="K11" s="383" t="s">
        <v>545</v>
      </c>
      <c r="L11" s="383" t="s">
        <v>746</v>
      </c>
      <c r="M11" s="383" t="s">
        <v>546</v>
      </c>
      <c r="N11" s="383"/>
    </row>
    <row r="12" spans="3:14" ht="12.75">
      <c r="C12" s="381"/>
      <c r="D12" s="382"/>
      <c r="E12" s="382"/>
      <c r="F12" s="382"/>
      <c r="G12" s="382"/>
      <c r="H12" s="382"/>
      <c r="I12" s="382"/>
      <c r="J12" s="382"/>
      <c r="K12" s="382"/>
      <c r="L12" s="382"/>
      <c r="M12" s="382"/>
      <c r="N12" s="382"/>
    </row>
    <row r="13" spans="3:14" ht="12.75">
      <c r="C13" s="384" t="s">
        <v>547</v>
      </c>
      <c r="D13" s="382"/>
      <c r="E13" s="382"/>
      <c r="F13" s="382"/>
      <c r="G13" s="382"/>
      <c r="H13" s="382"/>
      <c r="I13" s="382"/>
      <c r="J13" s="382"/>
      <c r="K13" s="382"/>
      <c r="L13" s="382"/>
      <c r="M13" s="382"/>
      <c r="N13" s="382"/>
    </row>
    <row r="14" spans="2:14" ht="12.75">
      <c r="B14" s="381">
        <v>1</v>
      </c>
      <c r="C14" s="381">
        <v>2014</v>
      </c>
      <c r="D14" s="385">
        <v>265865.0459</v>
      </c>
      <c r="E14" s="385">
        <v>0</v>
      </c>
      <c r="F14" s="385"/>
      <c r="G14" s="385">
        <v>-9375.117619999999</v>
      </c>
      <c r="H14" s="382">
        <f>SUM(D14:G14)</f>
        <v>256489.92828000002</v>
      </c>
      <c r="I14" s="385"/>
      <c r="J14" s="382">
        <v>-45752</v>
      </c>
      <c r="K14" s="385">
        <v>-14191.99854</v>
      </c>
      <c r="L14" s="386" t="s">
        <v>747</v>
      </c>
      <c r="M14" s="385">
        <v>196545.92974000002</v>
      </c>
      <c r="N14" s="385"/>
    </row>
    <row r="15" spans="2:14" ht="12.75">
      <c r="B15" s="381">
        <v>2</v>
      </c>
      <c r="C15" s="381">
        <v>2015</v>
      </c>
      <c r="D15" s="385">
        <v>250757.20813999997</v>
      </c>
      <c r="E15" s="385">
        <v>0</v>
      </c>
      <c r="F15" s="385"/>
      <c r="G15" s="385">
        <v>-8664.035109999999</v>
      </c>
      <c r="H15" s="382">
        <f>SUM(D15:G15)</f>
        <v>242093.17302999998</v>
      </c>
      <c r="I15" s="385">
        <v>14041</v>
      </c>
      <c r="J15" s="385">
        <v>-45936.984</v>
      </c>
      <c r="K15" s="385">
        <v>-8980.93528</v>
      </c>
      <c r="L15" s="386" t="s">
        <v>747</v>
      </c>
      <c r="M15" s="385">
        <v>201216.25374999997</v>
      </c>
      <c r="N15" s="385"/>
    </row>
    <row r="16" spans="2:14" ht="12.75">
      <c r="B16" s="381">
        <v>3</v>
      </c>
      <c r="C16" s="381">
        <f>C15+1</f>
        <v>2016</v>
      </c>
      <c r="D16" s="385">
        <v>239256.09071000002</v>
      </c>
      <c r="E16" s="385">
        <v>0</v>
      </c>
      <c r="F16" s="385"/>
      <c r="G16" s="385">
        <v>-9261.886970000001</v>
      </c>
      <c r="H16" s="382">
        <f>SUM(D16:G16)</f>
        <v>229994.20374000003</v>
      </c>
      <c r="I16" s="385">
        <v>13272.830539999999</v>
      </c>
      <c r="J16" s="385">
        <v>-45936.984</v>
      </c>
      <c r="K16" s="385">
        <v>-11404.626400000001</v>
      </c>
      <c r="L16" s="386" t="s">
        <v>747</v>
      </c>
      <c r="M16" s="385">
        <v>185925.42388000002</v>
      </c>
      <c r="N16" s="385"/>
    </row>
    <row r="17" spans="1:16" ht="12.75">
      <c r="A17" s="382"/>
      <c r="B17" s="381">
        <v>4</v>
      </c>
      <c r="C17" s="381">
        <v>2017</v>
      </c>
      <c r="D17" s="385">
        <v>169675.67934</v>
      </c>
      <c r="E17" s="385">
        <v>0</v>
      </c>
      <c r="F17" s="385"/>
      <c r="G17" s="385">
        <v>-11465.30825</v>
      </c>
      <c r="H17" s="382">
        <f>SUM(D17:G17)</f>
        <v>158210.37109</v>
      </c>
      <c r="I17" s="385">
        <v>12468.924</v>
      </c>
      <c r="J17" s="385">
        <v>-45936.984</v>
      </c>
      <c r="K17" s="385">
        <v>-3064.5452</v>
      </c>
      <c r="L17" s="386" t="s">
        <v>747</v>
      </c>
      <c r="M17" s="385">
        <f>SUM(H17:K17)</f>
        <v>121677.76589000001</v>
      </c>
      <c r="N17" s="385"/>
      <c r="P17" s="382"/>
    </row>
    <row r="18" spans="1:16" ht="12.75">
      <c r="A18" s="382"/>
      <c r="B18" s="381">
        <v>5</v>
      </c>
      <c r="C18" s="381">
        <v>2018</v>
      </c>
      <c r="D18" s="385">
        <v>124640.09349000001</v>
      </c>
      <c r="E18" s="385"/>
      <c r="F18" s="385"/>
      <c r="G18" s="385">
        <v>-14705.82681</v>
      </c>
      <c r="H18" s="382">
        <f>SUM(D18:G18)</f>
        <v>109934.26668000002</v>
      </c>
      <c r="I18" s="385">
        <v>11627.71409</v>
      </c>
      <c r="J18" s="385">
        <v>-45936.984</v>
      </c>
      <c r="K18" s="385">
        <v>-1939.2374200000002</v>
      </c>
      <c r="L18" s="386" t="s">
        <v>747</v>
      </c>
      <c r="M18" s="385">
        <f>SUM(H18:K18)</f>
        <v>73685.75935000001</v>
      </c>
      <c r="N18" s="385"/>
      <c r="P18" s="382"/>
    </row>
    <row r="19" spans="1:16" ht="12.75">
      <c r="A19" s="382"/>
      <c r="B19" s="381">
        <v>6</v>
      </c>
      <c r="C19" s="387" t="s">
        <v>548</v>
      </c>
      <c r="D19" s="385"/>
      <c r="E19" s="385"/>
      <c r="F19" s="385"/>
      <c r="G19" s="385"/>
      <c r="H19" s="385"/>
      <c r="I19" s="385"/>
      <c r="J19" s="385"/>
      <c r="K19" s="385"/>
      <c r="L19" s="385"/>
      <c r="M19" s="385"/>
      <c r="N19" s="385"/>
      <c r="P19" s="382"/>
    </row>
    <row r="20" spans="1:16" ht="12.75">
      <c r="A20" s="382"/>
      <c r="B20" s="381">
        <v>7</v>
      </c>
      <c r="C20" s="381">
        <v>2019</v>
      </c>
      <c r="D20" s="385">
        <v>124749.1612</v>
      </c>
      <c r="E20" s="385">
        <v>0</v>
      </c>
      <c r="F20" s="385"/>
      <c r="G20" s="385">
        <v>-15200.00001</v>
      </c>
      <c r="H20" s="382">
        <f>SUM(D20:G20)</f>
        <v>109549.16119</v>
      </c>
      <c r="I20" s="385">
        <v>10747.467939999999</v>
      </c>
      <c r="J20" s="385">
        <v>-45937</v>
      </c>
      <c r="K20" s="385">
        <v>-9252.233129999999</v>
      </c>
      <c r="L20" s="386" t="s">
        <v>747</v>
      </c>
      <c r="M20" s="382">
        <f>SUM(H20:K20)</f>
        <v>65107.396</v>
      </c>
      <c r="N20" s="382"/>
      <c r="P20" s="382"/>
    </row>
    <row r="21" spans="1:14" ht="12.75">
      <c r="A21" s="382"/>
      <c r="B21" s="381">
        <v>8</v>
      </c>
      <c r="C21" s="387" t="s">
        <v>526</v>
      </c>
      <c r="D21" s="382"/>
      <c r="E21" s="382"/>
      <c r="F21" s="382"/>
      <c r="G21" s="382"/>
      <c r="H21" s="382"/>
      <c r="I21" s="385"/>
      <c r="J21" s="382"/>
      <c r="K21" s="382"/>
      <c r="L21" s="382"/>
      <c r="M21" s="382"/>
      <c r="N21" s="382"/>
    </row>
    <row r="22" spans="1:17" ht="12.75">
      <c r="A22" s="382"/>
      <c r="B22" s="381">
        <v>9</v>
      </c>
      <c r="C22" s="381">
        <f>C20+1</f>
        <v>2020</v>
      </c>
      <c r="D22" s="382">
        <f>+'Revised Revenue Test'!E30+'Revised Revenue Test'!E32</f>
        <v>105830.39170233594</v>
      </c>
      <c r="E22" s="382">
        <v>0</v>
      </c>
      <c r="F22" s="382">
        <f>-'interest credit calculations'!C31</f>
        <v>-1225</v>
      </c>
      <c r="G22" s="382">
        <f>+'Revised Revenue Test'!E35</f>
        <v>-15904</v>
      </c>
      <c r="H22" s="382">
        <f>SUM(D22:G22)</f>
        <v>88701.39170233594</v>
      </c>
      <c r="I22" s="385">
        <f>+'Income Statement Cash Flows'!E32</f>
        <v>245800.5503645353</v>
      </c>
      <c r="J22" s="382">
        <f>-45937</f>
        <v>-45937</v>
      </c>
      <c r="K22" s="382">
        <f>+'Revised Revenue Test'!E36-'Statement D Table 1'!F22</f>
        <v>-4342.455</v>
      </c>
      <c r="L22" s="382">
        <f>+'Revised Revenue Test'!E37+'Revised Revenue Test'!E38</f>
        <v>-13869.617675639483</v>
      </c>
      <c r="M22" s="382">
        <f>SUM(H22:L22)</f>
        <v>270352.86939123174</v>
      </c>
      <c r="N22" s="382"/>
      <c r="P22" s="388"/>
      <c r="Q22" s="389"/>
    </row>
    <row r="23" spans="1:17" ht="12.75">
      <c r="A23" s="382"/>
      <c r="B23" s="381">
        <v>10</v>
      </c>
      <c r="C23" s="381">
        <f>C22+1</f>
        <v>2021</v>
      </c>
      <c r="D23" s="382">
        <f>+'Revised Revenue Test'!F30+'Revised Revenue Test'!F32</f>
        <v>114836.33254568126</v>
      </c>
      <c r="E23" s="382">
        <v>0</v>
      </c>
      <c r="F23" s="382">
        <f>-'interest credit calculations'!D31</f>
        <v>-2874</v>
      </c>
      <c r="G23" s="382">
        <f>+'Revised Revenue Test'!F35</f>
        <v>-16493</v>
      </c>
      <c r="H23" s="382">
        <f>SUM(D23:G23)</f>
        <v>95469.33254568126</v>
      </c>
      <c r="I23" s="385">
        <f>+'Income Statement Cash Flows'!F32</f>
        <v>169807.12751369155</v>
      </c>
      <c r="J23" s="382">
        <f>-45937</f>
        <v>-45937</v>
      </c>
      <c r="K23" s="382">
        <f>+'Revised Revenue Test'!F36-'Statement D Table 1'!F23</f>
        <v>-4454.876150000001</v>
      </c>
      <c r="L23" s="382">
        <f>+'Revised Revenue Test'!F37+'Revised Revenue Test'!F38</f>
        <v>-14331.937621497695</v>
      </c>
      <c r="M23" s="382">
        <f>SUM(H23:L23)</f>
        <v>200552.64628787513</v>
      </c>
      <c r="N23" s="382"/>
      <c r="P23" s="389"/>
      <c r="Q23" s="389"/>
    </row>
    <row r="24" spans="1:17" ht="12.75">
      <c r="A24" s="382"/>
      <c r="B24" s="381">
        <v>11</v>
      </c>
      <c r="C24" s="387" t="s">
        <v>549</v>
      </c>
      <c r="D24" s="382"/>
      <c r="E24" s="382"/>
      <c r="F24" s="382"/>
      <c r="G24" s="382"/>
      <c r="H24" s="382"/>
      <c r="I24" s="385"/>
      <c r="J24" s="382"/>
      <c r="K24" s="382"/>
      <c r="L24" s="382"/>
      <c r="M24" s="382"/>
      <c r="N24" s="382"/>
      <c r="Q24" s="389"/>
    </row>
    <row r="25" spans="1:17" ht="12.75">
      <c r="A25" s="390">
        <v>298215.6203</v>
      </c>
      <c r="B25" s="381">
        <v>12</v>
      </c>
      <c r="C25" s="381">
        <v>2022</v>
      </c>
      <c r="D25" s="382">
        <f>+'Inputs for Evans Tables'!I9+-F25</f>
        <v>126162.838</v>
      </c>
      <c r="E25" s="382">
        <f>+'Inputs for Evans Tables'!H9</f>
        <v>20378.8</v>
      </c>
      <c r="F25" s="382">
        <f>+'Inputs for Evans Tables'!O9</f>
        <v>-1052</v>
      </c>
      <c r="G25" s="382">
        <f>G$23</f>
        <v>-16493</v>
      </c>
      <c r="H25" s="382">
        <f aca="true" t="shared" si="0" ref="H25:H56">SUM(D25:G25)</f>
        <v>128996.638</v>
      </c>
      <c r="I25" s="385">
        <v>161501.792</v>
      </c>
      <c r="J25" s="382">
        <f>J$23</f>
        <v>-45937</v>
      </c>
      <c r="K25" s="382">
        <f>-F25-'interest credit calculations'!$E$78</f>
        <v>-4839.8792</v>
      </c>
      <c r="L25" s="382">
        <f>+L23</f>
        <v>-14331.937621497695</v>
      </c>
      <c r="M25" s="382">
        <f>SUM(H25:L25)</f>
        <v>225389.6131785023</v>
      </c>
      <c r="N25" s="382"/>
      <c r="P25" s="391"/>
      <c r="Q25" s="389"/>
    </row>
    <row r="26" spans="1:17" ht="12.75">
      <c r="A26" s="390">
        <v>307479.22</v>
      </c>
      <c r="B26" s="381">
        <v>13</v>
      </c>
      <c r="C26" s="381">
        <v>2023</v>
      </c>
      <c r="D26" s="382">
        <f>+'Inputs for Evans Tables'!I10+-F26</f>
        <v>127827.49</v>
      </c>
      <c r="E26" s="382">
        <f>+'Inputs for Evans Tables'!H10</f>
        <v>0</v>
      </c>
      <c r="F26" s="382">
        <f>+'Inputs for Evans Tables'!O10</f>
        <v>-1083</v>
      </c>
      <c r="G26" s="382">
        <f aca="true" t="shared" si="1" ref="G26:G74">G$23</f>
        <v>-16493</v>
      </c>
      <c r="H26" s="382">
        <f t="shared" si="0"/>
        <v>110251.49</v>
      </c>
      <c r="I26" s="385">
        <v>150317.993</v>
      </c>
      <c r="J26" s="382">
        <f aca="true" t="shared" si="2" ref="J26:J74">J$23</f>
        <v>-45937</v>
      </c>
      <c r="K26" s="382">
        <f>-F26-'interest credit calculations'!$E$78</f>
        <v>-4808.8792</v>
      </c>
      <c r="L26" s="382">
        <f>+L25</f>
        <v>-14331.937621497695</v>
      </c>
      <c r="M26" s="382">
        <f aca="true" t="shared" si="3" ref="M26:M74">SUM(H26:L26)</f>
        <v>195491.66617850232</v>
      </c>
      <c r="N26" s="382"/>
      <c r="P26" s="391"/>
      <c r="Q26" s="389"/>
    </row>
    <row r="27" spans="1:17" ht="12.75">
      <c r="A27" s="390">
        <v>316670.11</v>
      </c>
      <c r="B27" s="381">
        <v>14</v>
      </c>
      <c r="C27" s="381">
        <v>2024</v>
      </c>
      <c r="D27" s="382">
        <f>+'Inputs for Evans Tables'!I11+-F27</f>
        <v>132920.741</v>
      </c>
      <c r="E27" s="382">
        <f>+'Inputs for Evans Tables'!H11</f>
        <v>0</v>
      </c>
      <c r="F27" s="382">
        <f>+'Inputs for Evans Tables'!O11</f>
        <v>-975</v>
      </c>
      <c r="G27" s="382">
        <f t="shared" si="1"/>
        <v>-16493</v>
      </c>
      <c r="H27" s="382">
        <f t="shared" si="0"/>
        <v>115452.74100000001</v>
      </c>
      <c r="I27" s="385">
        <v>137010.912</v>
      </c>
      <c r="J27" s="382">
        <f t="shared" si="2"/>
        <v>-45937</v>
      </c>
      <c r="K27" s="382">
        <f>-F27-'interest credit calculations'!$E$78</f>
        <v>-4916.8792</v>
      </c>
      <c r="L27" s="382">
        <f aca="true" t="shared" si="4" ref="L27:L74">+L26</f>
        <v>-14331.937621497695</v>
      </c>
      <c r="M27" s="382">
        <f t="shared" si="3"/>
        <v>187277.83617850233</v>
      </c>
      <c r="N27" s="382"/>
      <c r="P27" s="391"/>
      <c r="Q27" s="389"/>
    </row>
    <row r="28" spans="1:17" ht="12.75">
      <c r="A28" s="390">
        <v>321241.82</v>
      </c>
      <c r="B28" s="381">
        <v>15</v>
      </c>
      <c r="C28" s="381">
        <v>2025</v>
      </c>
      <c r="D28" s="382">
        <f>+'Inputs for Evans Tables'!I12+-F28</f>
        <v>139454.871</v>
      </c>
      <c r="E28" s="382">
        <f>+'Inputs for Evans Tables'!H12</f>
        <v>0</v>
      </c>
      <c r="F28" s="382">
        <f>+'Inputs for Evans Tables'!O12</f>
        <v>-1054</v>
      </c>
      <c r="G28" s="382">
        <f t="shared" si="1"/>
        <v>-16493</v>
      </c>
      <c r="H28" s="382">
        <f t="shared" si="0"/>
        <v>121907.87100000001</v>
      </c>
      <c r="I28" s="385">
        <v>132585.708</v>
      </c>
      <c r="J28" s="382">
        <f t="shared" si="2"/>
        <v>-45937</v>
      </c>
      <c r="K28" s="382">
        <f>-F28-'interest credit calculations'!$E$78</f>
        <v>-4837.8792</v>
      </c>
      <c r="L28" s="382">
        <f t="shared" si="4"/>
        <v>-14331.937621497695</v>
      </c>
      <c r="M28" s="382">
        <f t="shared" si="3"/>
        <v>189386.76217850234</v>
      </c>
      <c r="N28" s="382"/>
      <c r="P28" s="391"/>
      <c r="Q28" s="389"/>
    </row>
    <row r="29" spans="1:17" ht="12.75">
      <c r="A29" s="390">
        <v>318458.77</v>
      </c>
      <c r="B29" s="381">
        <v>16</v>
      </c>
      <c r="C29" s="381">
        <v>2026</v>
      </c>
      <c r="D29" s="382">
        <f>+'Inputs for Evans Tables'!I13+-F29</f>
        <v>143530.925</v>
      </c>
      <c r="E29" s="382">
        <f>+'Inputs for Evans Tables'!H13</f>
        <v>0</v>
      </c>
      <c r="F29" s="382">
        <f>+'Inputs for Evans Tables'!O13</f>
        <v>-1028</v>
      </c>
      <c r="G29" s="382">
        <f t="shared" si="1"/>
        <v>-16493</v>
      </c>
      <c r="H29" s="382">
        <f t="shared" si="0"/>
        <v>126009.92499999999</v>
      </c>
      <c r="I29" s="385">
        <v>128489.35800000001</v>
      </c>
      <c r="J29" s="382">
        <f t="shared" si="2"/>
        <v>-45937</v>
      </c>
      <c r="K29" s="382">
        <f>-F29-'interest credit calculations'!$E$78</f>
        <v>-4863.8792</v>
      </c>
      <c r="L29" s="382">
        <f t="shared" si="4"/>
        <v>-14331.937621497695</v>
      </c>
      <c r="M29" s="382">
        <f t="shared" si="3"/>
        <v>189366.4661785023</v>
      </c>
      <c r="N29" s="382"/>
      <c r="P29" s="391"/>
      <c r="Q29" s="389"/>
    </row>
    <row r="30" spans="1:17" ht="12.75">
      <c r="A30" s="390">
        <v>317349.24</v>
      </c>
      <c r="B30" s="381">
        <v>17</v>
      </c>
      <c r="C30" s="381">
        <v>2027</v>
      </c>
      <c r="D30" s="382">
        <f>+'Inputs for Evans Tables'!I14+-F30</f>
        <v>149246.718</v>
      </c>
      <c r="E30" s="382">
        <f>+'Inputs for Evans Tables'!H14</f>
        <v>0</v>
      </c>
      <c r="F30" s="382">
        <f>+'Inputs for Evans Tables'!O14</f>
        <v>-924</v>
      </c>
      <c r="G30" s="382">
        <f t="shared" si="1"/>
        <v>-16493</v>
      </c>
      <c r="H30" s="382">
        <f t="shared" si="0"/>
        <v>131829.718</v>
      </c>
      <c r="I30" s="385">
        <v>117140.37</v>
      </c>
      <c r="J30" s="382">
        <f t="shared" si="2"/>
        <v>-45937</v>
      </c>
      <c r="K30" s="382">
        <f>-F30-'interest credit calculations'!$E$78</f>
        <v>-4967.8792</v>
      </c>
      <c r="L30" s="382">
        <f t="shared" si="4"/>
        <v>-14331.937621497695</v>
      </c>
      <c r="M30" s="382">
        <f t="shared" si="3"/>
        <v>183733.2711785023</v>
      </c>
      <c r="N30" s="382"/>
      <c r="P30" s="391"/>
      <c r="Q30" s="389"/>
    </row>
    <row r="31" spans="1:17" ht="12.75">
      <c r="A31" s="390">
        <v>310398.41</v>
      </c>
      <c r="B31" s="381">
        <v>18</v>
      </c>
      <c r="C31" s="381">
        <v>2028</v>
      </c>
      <c r="D31" s="382">
        <f>+'Inputs for Evans Tables'!I15+-F31</f>
        <v>154793.359</v>
      </c>
      <c r="E31" s="382">
        <f>+'Inputs for Evans Tables'!H15</f>
        <v>0</v>
      </c>
      <c r="F31" s="382">
        <f>+'Inputs for Evans Tables'!O15</f>
        <v>-1006</v>
      </c>
      <c r="G31" s="382">
        <f t="shared" si="1"/>
        <v>-16493</v>
      </c>
      <c r="H31" s="382">
        <f t="shared" si="0"/>
        <v>137294.359</v>
      </c>
      <c r="I31" s="385">
        <v>105948.527</v>
      </c>
      <c r="J31" s="382">
        <f t="shared" si="2"/>
        <v>-45937</v>
      </c>
      <c r="K31" s="382">
        <f>-F31-'interest credit calculations'!$E$78</f>
        <v>-4885.8792</v>
      </c>
      <c r="L31" s="382">
        <f t="shared" si="4"/>
        <v>-14331.937621497695</v>
      </c>
      <c r="M31" s="382">
        <f t="shared" si="3"/>
        <v>178088.0691785023</v>
      </c>
      <c r="N31" s="382"/>
      <c r="P31" s="391"/>
      <c r="Q31" s="389"/>
    </row>
    <row r="32" spans="1:17" ht="12.75">
      <c r="A32" s="390">
        <v>300349.87</v>
      </c>
      <c r="B32" s="381">
        <v>19</v>
      </c>
      <c r="C32" s="381">
        <v>2029</v>
      </c>
      <c r="D32" s="382">
        <f>+'Inputs for Evans Tables'!I16+-F32</f>
        <v>157327.02</v>
      </c>
      <c r="E32" s="382">
        <f>+'Inputs for Evans Tables'!H16</f>
        <v>0</v>
      </c>
      <c r="F32" s="382">
        <f>+'Inputs for Evans Tables'!O16</f>
        <v>-968</v>
      </c>
      <c r="G32" s="382">
        <f t="shared" si="1"/>
        <v>-16493</v>
      </c>
      <c r="H32" s="382">
        <f t="shared" si="0"/>
        <v>139866.02</v>
      </c>
      <c r="I32" s="385">
        <v>93615.999</v>
      </c>
      <c r="J32" s="382">
        <f t="shared" si="2"/>
        <v>-45937</v>
      </c>
      <c r="K32" s="382">
        <f>-F32-'interest credit calculations'!$E$78</f>
        <v>-4923.8792</v>
      </c>
      <c r="L32" s="382">
        <f t="shared" si="4"/>
        <v>-14331.937621497695</v>
      </c>
      <c r="M32" s="382">
        <f t="shared" si="3"/>
        <v>168289.20217850228</v>
      </c>
      <c r="N32" s="382"/>
      <c r="P32" s="392"/>
      <c r="Q32" s="389"/>
    </row>
    <row r="33" spans="1:17" ht="12.75">
      <c r="A33" s="390">
        <v>293368.77</v>
      </c>
      <c r="B33" s="381">
        <v>20</v>
      </c>
      <c r="C33" s="381">
        <v>2030</v>
      </c>
      <c r="D33" s="382">
        <f>+'Inputs for Evans Tables'!I17+-F33</f>
        <v>146435.414</v>
      </c>
      <c r="E33" s="382">
        <f>+'Inputs for Evans Tables'!H17</f>
        <v>1464.732</v>
      </c>
      <c r="F33" s="382">
        <f>+'Inputs for Evans Tables'!O17</f>
        <v>-863</v>
      </c>
      <c r="G33" s="382">
        <f t="shared" si="1"/>
        <v>-16493</v>
      </c>
      <c r="H33" s="382">
        <f t="shared" si="0"/>
        <v>130544.14599999998</v>
      </c>
      <c r="I33" s="385">
        <v>87721.03</v>
      </c>
      <c r="J33" s="382">
        <f t="shared" si="2"/>
        <v>-45937</v>
      </c>
      <c r="K33" s="382">
        <f>-F33-'interest credit calculations'!$E$78</f>
        <v>-5028.8792</v>
      </c>
      <c r="L33" s="382">
        <f t="shared" si="4"/>
        <v>-14331.937621497695</v>
      </c>
      <c r="M33" s="382">
        <f t="shared" si="3"/>
        <v>152967.3591785023</v>
      </c>
      <c r="N33" s="382"/>
      <c r="Q33" s="389"/>
    </row>
    <row r="34" spans="1:17" ht="12.75">
      <c r="A34" s="390">
        <v>276138.87</v>
      </c>
      <c r="B34" s="381">
        <v>21</v>
      </c>
      <c r="C34" s="381">
        <v>2031</v>
      </c>
      <c r="D34" s="382">
        <f>+'Inputs for Evans Tables'!I18+-F34</f>
        <v>142160.029</v>
      </c>
      <c r="E34" s="382">
        <f>+'Inputs for Evans Tables'!H18</f>
        <v>0</v>
      </c>
      <c r="F34" s="382">
        <f>+'Inputs for Evans Tables'!O18</f>
        <v>-1940</v>
      </c>
      <c r="G34" s="382">
        <f t="shared" si="1"/>
        <v>-16493</v>
      </c>
      <c r="H34" s="382">
        <f t="shared" si="0"/>
        <v>123727.02900000001</v>
      </c>
      <c r="I34" s="385">
        <v>77203.73</v>
      </c>
      <c r="J34" s="382">
        <f t="shared" si="2"/>
        <v>-45937</v>
      </c>
      <c r="K34" s="382">
        <f>-F34-'interest credit calculations'!$E$78</f>
        <v>-3951.8792000000003</v>
      </c>
      <c r="L34" s="382">
        <f t="shared" si="4"/>
        <v>-14331.937621497695</v>
      </c>
      <c r="M34" s="382">
        <f t="shared" si="3"/>
        <v>136709.94217850233</v>
      </c>
      <c r="N34" s="382"/>
      <c r="Q34" s="389"/>
    </row>
    <row r="35" spans="1:17" ht="12.75">
      <c r="A35" s="390">
        <v>244584.68</v>
      </c>
      <c r="B35" s="381">
        <v>22</v>
      </c>
      <c r="C35" s="381">
        <v>2032</v>
      </c>
      <c r="D35" s="382">
        <f>+'Inputs for Evans Tables'!I19+-F35</f>
        <v>139199.501</v>
      </c>
      <c r="E35" s="382">
        <f>+'Inputs for Evans Tables'!H19</f>
        <v>0</v>
      </c>
      <c r="F35" s="382">
        <f>+'Inputs for Evans Tables'!O19</f>
        <v>-1674</v>
      </c>
      <c r="G35" s="382">
        <f t="shared" si="1"/>
        <v>-16493</v>
      </c>
      <c r="H35" s="382">
        <f t="shared" si="0"/>
        <v>121032.50099999999</v>
      </c>
      <c r="I35" s="385">
        <v>66645.212</v>
      </c>
      <c r="J35" s="382">
        <f t="shared" si="2"/>
        <v>-45937</v>
      </c>
      <c r="K35" s="382">
        <f>-F35-'interest credit calculations'!$E$78</f>
        <v>-4217.8792</v>
      </c>
      <c r="L35" s="382">
        <f t="shared" si="4"/>
        <v>-14331.937621497695</v>
      </c>
      <c r="M35" s="382">
        <f t="shared" si="3"/>
        <v>123190.8961785023</v>
      </c>
      <c r="N35" s="382"/>
      <c r="Q35" s="389"/>
    </row>
    <row r="36" spans="1:17" ht="12.75">
      <c r="A36" s="390">
        <v>217047.18</v>
      </c>
      <c r="B36" s="381">
        <v>23</v>
      </c>
      <c r="C36" s="381">
        <v>2033</v>
      </c>
      <c r="D36" s="382">
        <f>+'Inputs for Evans Tables'!I20+-F36</f>
        <v>134170.434</v>
      </c>
      <c r="E36" s="382">
        <f>+'Inputs for Evans Tables'!H20</f>
        <v>0</v>
      </c>
      <c r="F36" s="382">
        <f>+'Inputs for Evans Tables'!O20</f>
        <v>-1773</v>
      </c>
      <c r="G36" s="382">
        <f t="shared" si="1"/>
        <v>-16493</v>
      </c>
      <c r="H36" s="382">
        <f t="shared" si="0"/>
        <v>115904.43400000001</v>
      </c>
      <c r="I36" s="385">
        <v>58157.1</v>
      </c>
      <c r="J36" s="382">
        <f t="shared" si="2"/>
        <v>-45937</v>
      </c>
      <c r="K36" s="382">
        <f>-F36-'interest credit calculations'!$E$78</f>
        <v>-4118.8792</v>
      </c>
      <c r="L36" s="382">
        <f t="shared" si="4"/>
        <v>-14331.937621497695</v>
      </c>
      <c r="M36" s="382">
        <f t="shared" si="3"/>
        <v>109673.71717850232</v>
      </c>
      <c r="N36" s="382"/>
      <c r="Q36" s="389"/>
    </row>
    <row r="37" spans="1:17" ht="12.75">
      <c r="A37" s="390">
        <v>190939.16</v>
      </c>
      <c r="B37" s="381">
        <v>24</v>
      </c>
      <c r="C37" s="381">
        <v>2034</v>
      </c>
      <c r="D37" s="382">
        <f>+'Inputs for Evans Tables'!I21+-F37</f>
        <v>127306.71</v>
      </c>
      <c r="E37" s="382">
        <f>+'Inputs for Evans Tables'!H21</f>
        <v>-15941.026</v>
      </c>
      <c r="F37" s="382">
        <f>+'Inputs for Evans Tables'!O21</f>
        <v>-2107</v>
      </c>
      <c r="G37" s="382">
        <f t="shared" si="1"/>
        <v>-16493</v>
      </c>
      <c r="H37" s="382">
        <f t="shared" si="0"/>
        <v>92765.68400000001</v>
      </c>
      <c r="I37" s="385">
        <v>49725.202</v>
      </c>
      <c r="J37" s="382">
        <f t="shared" si="2"/>
        <v>-45937</v>
      </c>
      <c r="K37" s="382">
        <f>-F37-'interest credit calculations'!$E$78</f>
        <v>-3784.8792000000003</v>
      </c>
      <c r="L37" s="382">
        <f t="shared" si="4"/>
        <v>-14331.937621497695</v>
      </c>
      <c r="M37" s="382">
        <f t="shared" si="3"/>
        <v>78437.06917850231</v>
      </c>
      <c r="N37" s="382"/>
      <c r="Q37" s="389"/>
    </row>
    <row r="38" spans="1:17" ht="12.75">
      <c r="A38" s="390">
        <v>165004.53</v>
      </c>
      <c r="B38" s="381">
        <v>25</v>
      </c>
      <c r="C38" s="381">
        <v>2035</v>
      </c>
      <c r="D38" s="382">
        <f>+'Inputs for Evans Tables'!I22+-F38</f>
        <v>119032.352</v>
      </c>
      <c r="E38" s="382">
        <f>+'Inputs for Evans Tables'!H22</f>
        <v>-32337.603</v>
      </c>
      <c r="F38" s="382">
        <f>+'Inputs for Evans Tables'!O22</f>
        <v>-2146</v>
      </c>
      <c r="G38" s="382">
        <f t="shared" si="1"/>
        <v>-16493</v>
      </c>
      <c r="H38" s="382">
        <f t="shared" si="0"/>
        <v>68055.749</v>
      </c>
      <c r="I38" s="385">
        <v>41115.265</v>
      </c>
      <c r="J38" s="382">
        <f t="shared" si="2"/>
        <v>-45937</v>
      </c>
      <c r="K38" s="382">
        <f>-F38-'interest credit calculations'!$E$78</f>
        <v>-3745.8792000000003</v>
      </c>
      <c r="L38" s="382">
        <f t="shared" si="4"/>
        <v>-14331.937621497695</v>
      </c>
      <c r="M38" s="382">
        <f t="shared" si="3"/>
        <v>45156.1971785023</v>
      </c>
      <c r="N38" s="382"/>
      <c r="Q38" s="389"/>
    </row>
    <row r="39" spans="1:17" ht="12.75">
      <c r="A39" s="390">
        <v>137794.55</v>
      </c>
      <c r="B39" s="381">
        <v>26</v>
      </c>
      <c r="C39" s="381">
        <v>2036</v>
      </c>
      <c r="D39" s="382">
        <f>+'Inputs for Evans Tables'!I23+-F39</f>
        <v>110473.839</v>
      </c>
      <c r="E39" s="382">
        <f>+'Inputs for Evans Tables'!H23</f>
        <v>0</v>
      </c>
      <c r="F39" s="382">
        <f>+'Inputs for Evans Tables'!O23</f>
        <v>-2124</v>
      </c>
      <c r="G39" s="382">
        <f t="shared" si="1"/>
        <v>-16493</v>
      </c>
      <c r="H39" s="382">
        <f t="shared" si="0"/>
        <v>91856.839</v>
      </c>
      <c r="I39" s="385">
        <v>33642.159</v>
      </c>
      <c r="J39" s="382">
        <f t="shared" si="2"/>
        <v>-45937</v>
      </c>
      <c r="K39" s="382">
        <f>-F39-'interest credit calculations'!$E$78</f>
        <v>-3767.8792000000003</v>
      </c>
      <c r="L39" s="382">
        <f t="shared" si="4"/>
        <v>-14331.937621497695</v>
      </c>
      <c r="M39" s="382">
        <f t="shared" si="3"/>
        <v>61462.18117850232</v>
      </c>
      <c r="N39" s="382"/>
      <c r="Q39" s="389"/>
    </row>
    <row r="40" spans="1:17" ht="12.75">
      <c r="A40" s="390">
        <v>108696.3234</v>
      </c>
      <c r="B40" s="381">
        <v>27</v>
      </c>
      <c r="C40" s="381">
        <v>2037</v>
      </c>
      <c r="D40" s="382">
        <f>+'Inputs for Evans Tables'!I24+-F40</f>
        <v>98790.017</v>
      </c>
      <c r="E40" s="382">
        <f>+'Inputs for Evans Tables'!H24</f>
        <v>0</v>
      </c>
      <c r="F40" s="382">
        <f>+'Inputs for Evans Tables'!O24</f>
        <v>-2150</v>
      </c>
      <c r="G40" s="382">
        <f t="shared" si="1"/>
        <v>-16493</v>
      </c>
      <c r="H40" s="382">
        <f t="shared" si="0"/>
        <v>80147.017</v>
      </c>
      <c r="I40" s="385">
        <v>26421.312</v>
      </c>
      <c r="J40" s="382">
        <f t="shared" si="2"/>
        <v>-45937</v>
      </c>
      <c r="K40" s="382">
        <f>-F40-'interest credit calculations'!$E$78</f>
        <v>-3741.8792000000003</v>
      </c>
      <c r="L40" s="382">
        <f t="shared" si="4"/>
        <v>-14331.937621497695</v>
      </c>
      <c r="M40" s="382">
        <f t="shared" si="3"/>
        <v>42557.512178502315</v>
      </c>
      <c r="N40" s="382"/>
      <c r="Q40" s="389"/>
    </row>
    <row r="41" spans="1:17" ht="12.75">
      <c r="A41" s="390">
        <v>83809.3891</v>
      </c>
      <c r="B41" s="381">
        <v>28</v>
      </c>
      <c r="C41" s="381">
        <v>2038</v>
      </c>
      <c r="D41" s="382">
        <f>+'Inputs for Evans Tables'!I25+-F41</f>
        <v>85189.854</v>
      </c>
      <c r="E41" s="382">
        <f>+'Inputs for Evans Tables'!H25</f>
        <v>0</v>
      </c>
      <c r="F41" s="382">
        <f>+'Inputs for Evans Tables'!O25</f>
        <v>-2256</v>
      </c>
      <c r="G41" s="382">
        <f t="shared" si="1"/>
        <v>-16493</v>
      </c>
      <c r="H41" s="382">
        <f t="shared" si="0"/>
        <v>66440.854</v>
      </c>
      <c r="I41" s="385">
        <v>19082.319</v>
      </c>
      <c r="J41" s="382">
        <f t="shared" si="2"/>
        <v>-45937</v>
      </c>
      <c r="K41" s="382">
        <f>-F41-'interest credit calculations'!$E$78</f>
        <v>-3635.8792000000003</v>
      </c>
      <c r="L41" s="382">
        <f t="shared" si="4"/>
        <v>-14331.937621497695</v>
      </c>
      <c r="M41" s="382">
        <f t="shared" si="3"/>
        <v>21618.356178502312</v>
      </c>
      <c r="N41" s="382"/>
      <c r="Q41" s="389"/>
    </row>
    <row r="42" spans="1:17" ht="12.75">
      <c r="A42" s="390">
        <v>48851.131</v>
      </c>
      <c r="B42" s="381">
        <v>29</v>
      </c>
      <c r="C42" s="381">
        <v>2039</v>
      </c>
      <c r="D42" s="382">
        <f>+'Inputs for Evans Tables'!I26+-F42</f>
        <v>68159.536</v>
      </c>
      <c r="E42" s="382">
        <f>+'Inputs for Evans Tables'!H26</f>
        <v>0</v>
      </c>
      <c r="F42" s="382">
        <f>+'Inputs for Evans Tables'!O26</f>
        <v>-2286</v>
      </c>
      <c r="G42" s="382">
        <f t="shared" si="1"/>
        <v>-16493</v>
      </c>
      <c r="H42" s="382">
        <f t="shared" si="0"/>
        <v>49380.53599999999</v>
      </c>
      <c r="I42" s="385">
        <v>12845.758</v>
      </c>
      <c r="J42" s="382">
        <f t="shared" si="2"/>
        <v>-45937</v>
      </c>
      <c r="K42" s="382">
        <f>-F42-'interest credit calculations'!$E$78</f>
        <v>-3605.8792000000003</v>
      </c>
      <c r="L42" s="382">
        <f t="shared" si="4"/>
        <v>-14331.937621497695</v>
      </c>
      <c r="M42" s="382">
        <f t="shared" si="3"/>
        <v>-1648.5228214976996</v>
      </c>
      <c r="N42" s="382"/>
      <c r="Q42" s="389"/>
    </row>
    <row r="43" spans="1:17" ht="12.75">
      <c r="A43" s="390">
        <v>19281.6547</v>
      </c>
      <c r="B43" s="381">
        <v>30</v>
      </c>
      <c r="C43" s="381">
        <v>2040</v>
      </c>
      <c r="D43" s="382">
        <f>+'Inputs for Evans Tables'!I27+-F43</f>
        <v>48929.345</v>
      </c>
      <c r="E43" s="382">
        <f>+'Inputs for Evans Tables'!H27</f>
        <v>0</v>
      </c>
      <c r="F43" s="382">
        <f>+'Inputs for Evans Tables'!O27</f>
        <v>-2348</v>
      </c>
      <c r="G43" s="382">
        <f t="shared" si="1"/>
        <v>-16493</v>
      </c>
      <c r="H43" s="382">
        <f t="shared" si="0"/>
        <v>30088.345</v>
      </c>
      <c r="I43" s="385">
        <v>10421.651</v>
      </c>
      <c r="J43" s="382">
        <f t="shared" si="2"/>
        <v>-45937</v>
      </c>
      <c r="K43" s="382">
        <f>-F43-'interest credit calculations'!$E$78</f>
        <v>-3543.8792000000003</v>
      </c>
      <c r="L43" s="382">
        <f t="shared" si="4"/>
        <v>-14331.937621497695</v>
      </c>
      <c r="M43" s="382">
        <f t="shared" si="3"/>
        <v>-23302.820821497695</v>
      </c>
      <c r="N43" s="382"/>
      <c r="Q43" s="389"/>
    </row>
    <row r="44" spans="1:17" ht="12.75">
      <c r="A44" s="390">
        <v>-8154.65</v>
      </c>
      <c r="B44" s="381">
        <v>31</v>
      </c>
      <c r="C44" s="381">
        <v>2041</v>
      </c>
      <c r="D44" s="382">
        <f>+'Inputs for Evans Tables'!I28+-F44</f>
        <v>29940.393</v>
      </c>
      <c r="E44" s="382">
        <f>+'Inputs for Evans Tables'!H28</f>
        <v>0</v>
      </c>
      <c r="F44" s="382">
        <f>+'Inputs for Evans Tables'!O28</f>
        <v>-2488</v>
      </c>
      <c r="G44" s="382">
        <f t="shared" si="1"/>
        <v>-16493</v>
      </c>
      <c r="H44" s="382">
        <f t="shared" si="0"/>
        <v>10959.393</v>
      </c>
      <c r="I44" s="385">
        <v>8050.54</v>
      </c>
      <c r="J44" s="382">
        <f t="shared" si="2"/>
        <v>-45937</v>
      </c>
      <c r="K44" s="382">
        <f>-F44-'interest credit calculations'!$E$78</f>
        <v>-3403.8792000000003</v>
      </c>
      <c r="L44" s="382">
        <f t="shared" si="4"/>
        <v>-14331.937621497695</v>
      </c>
      <c r="M44" s="382">
        <f t="shared" si="3"/>
        <v>-44662.88382149769</v>
      </c>
      <c r="N44" s="382"/>
      <c r="Q44" s="389"/>
    </row>
    <row r="45" spans="1:17" ht="12.75">
      <c r="A45" s="390">
        <v>-8481.35</v>
      </c>
      <c r="B45" s="381">
        <v>32</v>
      </c>
      <c r="C45" s="381">
        <v>2042</v>
      </c>
      <c r="D45" s="382">
        <f>+'Inputs for Evans Tables'!I29+-F45</f>
        <v>14394.174</v>
      </c>
      <c r="E45" s="382">
        <f>+'Inputs for Evans Tables'!H29</f>
        <v>0</v>
      </c>
      <c r="F45" s="382">
        <f>+'Inputs for Evans Tables'!O29</f>
        <v>-2531</v>
      </c>
      <c r="G45" s="382">
        <f t="shared" si="1"/>
        <v>-16493</v>
      </c>
      <c r="H45" s="382">
        <f t="shared" si="0"/>
        <v>-4629.825999999999</v>
      </c>
      <c r="I45" s="385">
        <v>5971.502</v>
      </c>
      <c r="J45" s="382">
        <f t="shared" si="2"/>
        <v>-45937</v>
      </c>
      <c r="K45" s="382">
        <f>-F45-'interest credit calculations'!$E$78</f>
        <v>-3360.8792000000003</v>
      </c>
      <c r="L45" s="382">
        <f t="shared" si="4"/>
        <v>-14331.937621497695</v>
      </c>
      <c r="M45" s="382">
        <f t="shared" si="3"/>
        <v>-62288.1408214977</v>
      </c>
      <c r="N45" s="382"/>
      <c r="Q45" s="389"/>
    </row>
    <row r="46" spans="1:17" ht="12.75">
      <c r="A46" s="390">
        <v>-8487.22</v>
      </c>
      <c r="B46" s="381">
        <v>33</v>
      </c>
      <c r="C46" s="381">
        <v>2043</v>
      </c>
      <c r="D46" s="382">
        <f>+'Inputs for Evans Tables'!I30+-F46</f>
        <v>7921.144</v>
      </c>
      <c r="E46" s="382">
        <f>+'Inputs for Evans Tables'!H30</f>
        <v>0</v>
      </c>
      <c r="F46" s="382">
        <f>+'Inputs for Evans Tables'!O30</f>
        <v>-2593</v>
      </c>
      <c r="G46" s="382">
        <f t="shared" si="1"/>
        <v>-16493</v>
      </c>
      <c r="H46" s="382">
        <f t="shared" si="0"/>
        <v>-11164.856</v>
      </c>
      <c r="I46" s="385">
        <v>3850.721</v>
      </c>
      <c r="J46" s="382">
        <f t="shared" si="2"/>
        <v>-45937</v>
      </c>
      <c r="K46" s="382">
        <f>-F46-'interest credit calculations'!$E$78</f>
        <v>-3298.8792000000003</v>
      </c>
      <c r="L46" s="382">
        <f t="shared" si="4"/>
        <v>-14331.937621497695</v>
      </c>
      <c r="M46" s="382">
        <f t="shared" si="3"/>
        <v>-70881.9518214977</v>
      </c>
      <c r="N46" s="382"/>
      <c r="Q46" s="389"/>
    </row>
    <row r="47" spans="1:17" ht="12.75">
      <c r="A47" s="390">
        <v>-8481.29</v>
      </c>
      <c r="B47" s="381">
        <v>34</v>
      </c>
      <c r="C47" s="381">
        <v>2044</v>
      </c>
      <c r="D47" s="382">
        <f>+'Inputs for Evans Tables'!I31+-F47</f>
        <v>8463.654</v>
      </c>
      <c r="E47" s="382">
        <f>+'Inputs for Evans Tables'!H31</f>
        <v>0</v>
      </c>
      <c r="F47" s="382">
        <f>+'Inputs for Evans Tables'!O31</f>
        <v>-2633</v>
      </c>
      <c r="G47" s="382">
        <f t="shared" si="1"/>
        <v>-16493</v>
      </c>
      <c r="H47" s="382">
        <f t="shared" si="0"/>
        <v>-10662.346</v>
      </c>
      <c r="I47" s="385">
        <v>1687.22</v>
      </c>
      <c r="J47" s="382">
        <f t="shared" si="2"/>
        <v>-45937</v>
      </c>
      <c r="K47" s="382">
        <f>-F47-'interest credit calculations'!$E$78</f>
        <v>-3258.8792000000003</v>
      </c>
      <c r="L47" s="382">
        <f t="shared" si="4"/>
        <v>-14331.937621497695</v>
      </c>
      <c r="M47" s="382">
        <f t="shared" si="3"/>
        <v>-72502.94282149771</v>
      </c>
      <c r="N47" s="382"/>
      <c r="Q47" s="389"/>
    </row>
    <row r="48" spans="1:17" ht="12.75">
      <c r="A48" s="390">
        <v>-8481.36</v>
      </c>
      <c r="B48" s="381">
        <v>35</v>
      </c>
      <c r="C48" s="381">
        <v>2045</v>
      </c>
      <c r="D48" s="382">
        <f>+'Inputs for Evans Tables'!I32+-F48</f>
        <v>9984.181</v>
      </c>
      <c r="E48" s="382">
        <f>+'Inputs for Evans Tables'!H32</f>
        <v>0</v>
      </c>
      <c r="F48" s="382">
        <f>+'Inputs for Evans Tables'!O32</f>
        <v>-2644</v>
      </c>
      <c r="G48" s="382">
        <f t="shared" si="1"/>
        <v>-16493</v>
      </c>
      <c r="H48" s="382">
        <f t="shared" si="0"/>
        <v>-9152.819</v>
      </c>
      <c r="I48" s="385">
        <v>0</v>
      </c>
      <c r="J48" s="382">
        <f t="shared" si="2"/>
        <v>-45937</v>
      </c>
      <c r="K48" s="382">
        <f>-F48-'interest credit calculations'!$E$78</f>
        <v>-3247.8792000000003</v>
      </c>
      <c r="L48" s="382">
        <f t="shared" si="4"/>
        <v>-14331.937621497695</v>
      </c>
      <c r="M48" s="382">
        <f t="shared" si="3"/>
        <v>-72669.63582149771</v>
      </c>
      <c r="N48" s="382"/>
      <c r="Q48" s="389"/>
    </row>
    <row r="49" spans="1:14" ht="12.75">
      <c r="A49" s="390">
        <v>-8481.37</v>
      </c>
      <c r="B49" s="381">
        <v>36</v>
      </c>
      <c r="C49" s="381">
        <v>2046</v>
      </c>
      <c r="D49" s="382">
        <f>+'Inputs for Evans Tables'!I33+-F49</f>
        <v>9592.177</v>
      </c>
      <c r="E49" s="382">
        <f>+'Inputs for Evans Tables'!H33</f>
        <v>0</v>
      </c>
      <c r="F49" s="382">
        <f>+'Inputs for Evans Tables'!O33</f>
        <v>-2252</v>
      </c>
      <c r="G49" s="382">
        <f t="shared" si="1"/>
        <v>-16493</v>
      </c>
      <c r="H49" s="382">
        <f t="shared" si="0"/>
        <v>-9152.823</v>
      </c>
      <c r="I49" s="385">
        <v>0</v>
      </c>
      <c r="J49" s="382">
        <f t="shared" si="2"/>
        <v>-45937</v>
      </c>
      <c r="K49" s="382">
        <f>-F49-'interest credit calculations'!$E$78</f>
        <v>-3639.8792000000003</v>
      </c>
      <c r="L49" s="382">
        <f t="shared" si="4"/>
        <v>-14331.937621497695</v>
      </c>
      <c r="M49" s="382">
        <f t="shared" si="3"/>
        <v>-73061.6398214977</v>
      </c>
      <c r="N49" s="382"/>
    </row>
    <row r="50" spans="1:14" ht="12.75">
      <c r="A50" s="390">
        <v>-8481.34</v>
      </c>
      <c r="B50" s="381">
        <v>37</v>
      </c>
      <c r="C50" s="381">
        <v>2047</v>
      </c>
      <c r="D50" s="382">
        <f>+'Inputs for Evans Tables'!I34+-F50</f>
        <v>8425.187</v>
      </c>
      <c r="E50" s="382">
        <f>+'Inputs for Evans Tables'!H34</f>
        <v>0</v>
      </c>
      <c r="F50" s="382">
        <f>+'Inputs for Evans Tables'!O34</f>
        <v>-1085</v>
      </c>
      <c r="G50" s="382">
        <f t="shared" si="1"/>
        <v>-16493</v>
      </c>
      <c r="H50" s="382">
        <f t="shared" si="0"/>
        <v>-9152.813</v>
      </c>
      <c r="I50" s="385">
        <v>0</v>
      </c>
      <c r="J50" s="382">
        <f t="shared" si="2"/>
        <v>-45937</v>
      </c>
      <c r="K50" s="382">
        <f>-F50-'interest credit calculations'!$E$78</f>
        <v>-4806.8792</v>
      </c>
      <c r="L50" s="382">
        <f t="shared" si="4"/>
        <v>-14331.937621497695</v>
      </c>
      <c r="M50" s="382">
        <f t="shared" si="3"/>
        <v>-74228.6298214977</v>
      </c>
      <c r="N50" s="382"/>
    </row>
    <row r="51" spans="1:14" ht="12.75">
      <c r="A51" s="390">
        <v>-8481.3</v>
      </c>
      <c r="B51" s="381">
        <v>38</v>
      </c>
      <c r="C51" s="381">
        <v>2048</v>
      </c>
      <c r="D51" s="382">
        <f>+'Inputs for Evans Tables'!I35+-F51</f>
        <v>8425.177</v>
      </c>
      <c r="E51" s="382">
        <f>+'Inputs for Evans Tables'!H35</f>
        <v>0</v>
      </c>
      <c r="F51" s="382">
        <f>+'Inputs for Evans Tables'!O35</f>
        <v>-1085</v>
      </c>
      <c r="G51" s="382">
        <f t="shared" si="1"/>
        <v>-16493</v>
      </c>
      <c r="H51" s="382">
        <f t="shared" si="0"/>
        <v>-9152.823</v>
      </c>
      <c r="I51" s="385">
        <v>0</v>
      </c>
      <c r="J51" s="382">
        <f t="shared" si="2"/>
        <v>-45937</v>
      </c>
      <c r="K51" s="382">
        <f>-F51-'interest credit calculations'!$E$78</f>
        <v>-4806.8792</v>
      </c>
      <c r="L51" s="382">
        <f t="shared" si="4"/>
        <v>-14331.937621497695</v>
      </c>
      <c r="M51" s="382">
        <f t="shared" si="3"/>
        <v>-74228.6398214977</v>
      </c>
      <c r="N51" s="382"/>
    </row>
    <row r="52" spans="1:14" ht="12.75">
      <c r="A52" s="390">
        <v>-8481.37</v>
      </c>
      <c r="B52" s="381">
        <v>39</v>
      </c>
      <c r="C52" s="381">
        <v>2049</v>
      </c>
      <c r="D52" s="382">
        <f>+'Inputs for Evans Tables'!I36+-F52</f>
        <v>8425.181</v>
      </c>
      <c r="E52" s="382">
        <f>+'Inputs for Evans Tables'!H36</f>
        <v>0</v>
      </c>
      <c r="F52" s="382">
        <f>+'Inputs for Evans Tables'!O36</f>
        <v>-1085</v>
      </c>
      <c r="G52" s="382">
        <f t="shared" si="1"/>
        <v>-16493</v>
      </c>
      <c r="H52" s="382">
        <f t="shared" si="0"/>
        <v>-9152.819</v>
      </c>
      <c r="I52" s="385">
        <v>0</v>
      </c>
      <c r="J52" s="382">
        <f t="shared" si="2"/>
        <v>-45937</v>
      </c>
      <c r="K52" s="382">
        <f>-F52-'interest credit calculations'!$E$78</f>
        <v>-4806.8792</v>
      </c>
      <c r="L52" s="382">
        <f t="shared" si="4"/>
        <v>-14331.937621497695</v>
      </c>
      <c r="M52" s="382">
        <f t="shared" si="3"/>
        <v>-74228.63582149771</v>
      </c>
      <c r="N52" s="382"/>
    </row>
    <row r="53" spans="1:14" ht="12.75">
      <c r="A53" s="390">
        <v>-7429.43</v>
      </c>
      <c r="B53" s="381">
        <v>40</v>
      </c>
      <c r="C53" s="381">
        <v>2050</v>
      </c>
      <c r="D53" s="382">
        <f>+'Inputs for Evans Tables'!I37+-F53</f>
        <v>8425.18</v>
      </c>
      <c r="E53" s="382">
        <f>+'Inputs for Evans Tables'!H37</f>
        <v>0</v>
      </c>
      <c r="F53" s="382">
        <f>+'Inputs for Evans Tables'!O37</f>
        <v>-1085</v>
      </c>
      <c r="G53" s="382">
        <f t="shared" si="1"/>
        <v>-16493</v>
      </c>
      <c r="H53" s="382">
        <f t="shared" si="0"/>
        <v>-9152.82</v>
      </c>
      <c r="I53" s="385">
        <v>0</v>
      </c>
      <c r="J53" s="382">
        <f t="shared" si="2"/>
        <v>-45937</v>
      </c>
      <c r="K53" s="382">
        <f>-F53-'interest credit calculations'!$E$78</f>
        <v>-4806.8792</v>
      </c>
      <c r="L53" s="382">
        <f t="shared" si="4"/>
        <v>-14331.937621497695</v>
      </c>
      <c r="M53" s="382">
        <f t="shared" si="3"/>
        <v>-74228.6368214977</v>
      </c>
      <c r="N53" s="382"/>
    </row>
    <row r="54" spans="1:14" ht="12.75">
      <c r="A54" s="390">
        <v>-4300.43</v>
      </c>
      <c r="B54" s="381">
        <v>41</v>
      </c>
      <c r="C54" s="381">
        <v>2051</v>
      </c>
      <c r="D54" s="382">
        <f>+'Inputs for Evans Tables'!I38+-F54</f>
        <v>8425.175</v>
      </c>
      <c r="E54" s="382">
        <f>+'Inputs for Evans Tables'!H38</f>
        <v>0</v>
      </c>
      <c r="F54" s="382">
        <f>+'Inputs for Evans Tables'!O38</f>
        <v>-1085</v>
      </c>
      <c r="G54" s="382">
        <f t="shared" si="1"/>
        <v>-16493</v>
      </c>
      <c r="H54" s="382">
        <f t="shared" si="0"/>
        <v>-9152.825</v>
      </c>
      <c r="I54" s="385">
        <v>0</v>
      </c>
      <c r="J54" s="382">
        <f t="shared" si="2"/>
        <v>-45937</v>
      </c>
      <c r="K54" s="382">
        <f>-F54-'interest credit calculations'!$E$78</f>
        <v>-4806.8792</v>
      </c>
      <c r="L54" s="382">
        <f t="shared" si="4"/>
        <v>-14331.937621497695</v>
      </c>
      <c r="M54" s="382">
        <f t="shared" si="3"/>
        <v>-74228.6418214977</v>
      </c>
      <c r="N54" s="382"/>
    </row>
    <row r="55" spans="1:14" ht="12.75">
      <c r="A55" s="390">
        <v>-4300.44</v>
      </c>
      <c r="B55" s="381">
        <v>42</v>
      </c>
      <c r="C55" s="381">
        <v>2052</v>
      </c>
      <c r="D55" s="382">
        <f>+'Inputs for Evans Tables'!I39+-F55</f>
        <v>8425.177</v>
      </c>
      <c r="E55" s="382">
        <f>+'Inputs for Evans Tables'!H39</f>
        <v>0</v>
      </c>
      <c r="F55" s="382">
        <f>+'Inputs for Evans Tables'!O39</f>
        <v>-1085</v>
      </c>
      <c r="G55" s="382">
        <f t="shared" si="1"/>
        <v>-16493</v>
      </c>
      <c r="H55" s="382">
        <f t="shared" si="0"/>
        <v>-9152.823</v>
      </c>
      <c r="I55" s="385">
        <v>0</v>
      </c>
      <c r="J55" s="382">
        <f t="shared" si="2"/>
        <v>-45937</v>
      </c>
      <c r="K55" s="382">
        <f>-F55-'interest credit calculations'!$E$78</f>
        <v>-4806.8792</v>
      </c>
      <c r="L55" s="382">
        <f t="shared" si="4"/>
        <v>-14331.937621497695</v>
      </c>
      <c r="M55" s="382">
        <f t="shared" si="3"/>
        <v>-74228.6398214977</v>
      </c>
      <c r="N55" s="382"/>
    </row>
    <row r="56" spans="1:14" ht="12.75">
      <c r="A56" s="390">
        <v>-4300.42</v>
      </c>
      <c r="B56" s="381">
        <v>43</v>
      </c>
      <c r="C56" s="381">
        <v>2053</v>
      </c>
      <c r="D56" s="382">
        <f>+'Inputs for Evans Tables'!I40+-F56</f>
        <v>8425.177</v>
      </c>
      <c r="E56" s="382">
        <f>+'Inputs for Evans Tables'!H40</f>
        <v>0</v>
      </c>
      <c r="F56" s="382">
        <f>+'Inputs for Evans Tables'!O40</f>
        <v>-1085</v>
      </c>
      <c r="G56" s="382">
        <f t="shared" si="1"/>
        <v>-16493</v>
      </c>
      <c r="H56" s="382">
        <f t="shared" si="0"/>
        <v>-9152.823</v>
      </c>
      <c r="I56" s="385">
        <v>0</v>
      </c>
      <c r="J56" s="382">
        <f t="shared" si="2"/>
        <v>-45937</v>
      </c>
      <c r="K56" s="382">
        <f>-F56-'interest credit calculations'!$E$78</f>
        <v>-4806.8792</v>
      </c>
      <c r="L56" s="382">
        <f t="shared" si="4"/>
        <v>-14331.937621497695</v>
      </c>
      <c r="M56" s="382">
        <f t="shared" si="3"/>
        <v>-74228.6398214977</v>
      </c>
      <c r="N56" s="382"/>
    </row>
    <row r="57" spans="1:14" ht="12.75">
      <c r="A57" s="390">
        <v>-4300.44</v>
      </c>
      <c r="B57" s="381">
        <v>44</v>
      </c>
      <c r="C57" s="381">
        <v>2054</v>
      </c>
      <c r="D57" s="382">
        <f>+'Inputs for Evans Tables'!I41+-F57</f>
        <v>8425.181</v>
      </c>
      <c r="E57" s="382">
        <f>+'Inputs for Evans Tables'!H41</f>
        <v>0</v>
      </c>
      <c r="F57" s="382">
        <f>+'Inputs for Evans Tables'!O41</f>
        <v>-1085</v>
      </c>
      <c r="G57" s="382">
        <f t="shared" si="1"/>
        <v>-16493</v>
      </c>
      <c r="H57" s="382">
        <f aca="true" t="shared" si="5" ref="H57:H74">SUM(D57:G57)</f>
        <v>-9152.819</v>
      </c>
      <c r="I57" s="385">
        <v>0</v>
      </c>
      <c r="J57" s="382">
        <f t="shared" si="2"/>
        <v>-45937</v>
      </c>
      <c r="K57" s="382">
        <f>-F57-'interest credit calculations'!$E$78</f>
        <v>-4806.8792</v>
      </c>
      <c r="L57" s="382">
        <f t="shared" si="4"/>
        <v>-14331.937621497695</v>
      </c>
      <c r="M57" s="382">
        <f t="shared" si="3"/>
        <v>-74228.63582149771</v>
      </c>
      <c r="N57" s="382"/>
    </row>
    <row r="58" spans="1:14" ht="12.75">
      <c r="A58" s="390">
        <v>-4300.43</v>
      </c>
      <c r="B58" s="381">
        <v>45</v>
      </c>
      <c r="C58" s="381">
        <v>2055</v>
      </c>
      <c r="D58" s="382">
        <f>+'Inputs for Evans Tables'!I42+-F58</f>
        <v>8425.182</v>
      </c>
      <c r="E58" s="382">
        <f>+'Inputs for Evans Tables'!H42</f>
        <v>0</v>
      </c>
      <c r="F58" s="382">
        <f>+'Inputs for Evans Tables'!O42</f>
        <v>-1085</v>
      </c>
      <c r="G58" s="382">
        <f t="shared" si="1"/>
        <v>-16493</v>
      </c>
      <c r="H58" s="382">
        <f t="shared" si="5"/>
        <v>-9152.818</v>
      </c>
      <c r="I58" s="385">
        <v>0</v>
      </c>
      <c r="J58" s="382">
        <f t="shared" si="2"/>
        <v>-45937</v>
      </c>
      <c r="K58" s="382">
        <f>-F58-'interest credit calculations'!$E$78</f>
        <v>-4806.8792</v>
      </c>
      <c r="L58" s="382">
        <f t="shared" si="4"/>
        <v>-14331.937621497695</v>
      </c>
      <c r="M58" s="382">
        <f t="shared" si="3"/>
        <v>-74228.63482149769</v>
      </c>
      <c r="N58" s="382"/>
    </row>
    <row r="59" spans="1:14" ht="12.75">
      <c r="A59" s="390">
        <v>-4300.44</v>
      </c>
      <c r="B59" s="381">
        <v>46</v>
      </c>
      <c r="C59" s="381">
        <v>2056</v>
      </c>
      <c r="D59" s="382">
        <f>+'Inputs for Evans Tables'!I43+-F59</f>
        <v>8425.17</v>
      </c>
      <c r="E59" s="382">
        <f>+'Inputs for Evans Tables'!H43</f>
        <v>0</v>
      </c>
      <c r="F59" s="382">
        <f>+'Inputs for Evans Tables'!O43</f>
        <v>-1085</v>
      </c>
      <c r="G59" s="382">
        <f t="shared" si="1"/>
        <v>-16493</v>
      </c>
      <c r="H59" s="382">
        <f t="shared" si="5"/>
        <v>-9152.83</v>
      </c>
      <c r="I59" s="385">
        <v>0</v>
      </c>
      <c r="J59" s="382">
        <f t="shared" si="2"/>
        <v>-45937</v>
      </c>
      <c r="K59" s="382">
        <f>-F59-'interest credit calculations'!$E$78</f>
        <v>-4806.8792</v>
      </c>
      <c r="L59" s="382">
        <f t="shared" si="4"/>
        <v>-14331.937621497695</v>
      </c>
      <c r="M59" s="382">
        <f t="shared" si="3"/>
        <v>-74228.6468214977</v>
      </c>
      <c r="N59" s="382"/>
    </row>
    <row r="60" spans="1:14" ht="12.75">
      <c r="A60" s="390">
        <v>-4300.45</v>
      </c>
      <c r="B60" s="381">
        <v>47</v>
      </c>
      <c r="C60" s="381">
        <v>2057</v>
      </c>
      <c r="D60" s="382">
        <f>+'Inputs for Evans Tables'!I44+-F60</f>
        <v>8425.17</v>
      </c>
      <c r="E60" s="382">
        <f>+'Inputs for Evans Tables'!H44</f>
        <v>0</v>
      </c>
      <c r="F60" s="382">
        <f>+'Inputs for Evans Tables'!O44</f>
        <v>-1085</v>
      </c>
      <c r="G60" s="382">
        <f t="shared" si="1"/>
        <v>-16493</v>
      </c>
      <c r="H60" s="382">
        <f t="shared" si="5"/>
        <v>-9152.83</v>
      </c>
      <c r="I60" s="385">
        <v>0</v>
      </c>
      <c r="J60" s="382">
        <f t="shared" si="2"/>
        <v>-45937</v>
      </c>
      <c r="K60" s="382">
        <f>-F60-'interest credit calculations'!$E$78</f>
        <v>-4806.8792</v>
      </c>
      <c r="L60" s="382">
        <f t="shared" si="4"/>
        <v>-14331.937621497695</v>
      </c>
      <c r="M60" s="382">
        <f t="shared" si="3"/>
        <v>-74228.6468214977</v>
      </c>
      <c r="N60" s="382"/>
    </row>
    <row r="61" spans="1:14" ht="12.75">
      <c r="A61" s="390">
        <v>-4300.44</v>
      </c>
      <c r="B61" s="381">
        <v>48</v>
      </c>
      <c r="C61" s="381">
        <v>2058</v>
      </c>
      <c r="D61" s="382">
        <f>+'Inputs for Evans Tables'!I45+-F61</f>
        <v>8425.175</v>
      </c>
      <c r="E61" s="382">
        <f>+'Inputs for Evans Tables'!H45</f>
        <v>0</v>
      </c>
      <c r="F61" s="382">
        <f>+'Inputs for Evans Tables'!O45</f>
        <v>-1085</v>
      </c>
      <c r="G61" s="382">
        <f t="shared" si="1"/>
        <v>-16493</v>
      </c>
      <c r="H61" s="382">
        <f t="shared" si="5"/>
        <v>-9152.825</v>
      </c>
      <c r="I61" s="385">
        <v>0</v>
      </c>
      <c r="J61" s="382">
        <f t="shared" si="2"/>
        <v>-45937</v>
      </c>
      <c r="K61" s="382">
        <f>-F61-'interest credit calculations'!$E$78</f>
        <v>-4806.8792</v>
      </c>
      <c r="L61" s="382">
        <f t="shared" si="4"/>
        <v>-14331.937621497695</v>
      </c>
      <c r="M61" s="382">
        <f t="shared" si="3"/>
        <v>-74228.6418214977</v>
      </c>
      <c r="N61" s="382"/>
    </row>
    <row r="62" spans="1:14" ht="12.75">
      <c r="A62" s="390">
        <v>-4300.44</v>
      </c>
      <c r="B62" s="381">
        <v>49</v>
      </c>
      <c r="C62" s="381">
        <v>2059</v>
      </c>
      <c r="D62" s="382">
        <f>+'Inputs for Evans Tables'!I46+-F62</f>
        <v>8425.190999999999</v>
      </c>
      <c r="E62" s="382">
        <f>+'Inputs for Evans Tables'!H46</f>
        <v>0</v>
      </c>
      <c r="F62" s="382">
        <f>+'Inputs for Evans Tables'!O46</f>
        <v>-1085</v>
      </c>
      <c r="G62" s="382">
        <f t="shared" si="1"/>
        <v>-16493</v>
      </c>
      <c r="H62" s="382">
        <f t="shared" si="5"/>
        <v>-9152.809000000001</v>
      </c>
      <c r="I62" s="385">
        <v>0</v>
      </c>
      <c r="J62" s="382">
        <f t="shared" si="2"/>
        <v>-45937</v>
      </c>
      <c r="K62" s="382">
        <f>-F62-'interest credit calculations'!$E$78</f>
        <v>-4806.8792</v>
      </c>
      <c r="L62" s="382">
        <f t="shared" si="4"/>
        <v>-14331.937621497695</v>
      </c>
      <c r="M62" s="382">
        <f t="shared" si="3"/>
        <v>-74228.6258214977</v>
      </c>
      <c r="N62" s="382"/>
    </row>
    <row r="63" spans="1:14" ht="12.75">
      <c r="A63" s="390">
        <v>-4300.43</v>
      </c>
      <c r="B63" s="381">
        <v>50</v>
      </c>
      <c r="C63" s="381">
        <v>2060</v>
      </c>
      <c r="D63" s="382">
        <f>+'Inputs for Evans Tables'!I47+-F63</f>
        <v>8425.188</v>
      </c>
      <c r="E63" s="382">
        <f>+'Inputs for Evans Tables'!H47</f>
        <v>0</v>
      </c>
      <c r="F63" s="382">
        <f>+'Inputs for Evans Tables'!O47</f>
        <v>-1085</v>
      </c>
      <c r="G63" s="382">
        <f t="shared" si="1"/>
        <v>-16493</v>
      </c>
      <c r="H63" s="382">
        <f t="shared" si="5"/>
        <v>-9152.812</v>
      </c>
      <c r="I63" s="385">
        <v>0</v>
      </c>
      <c r="J63" s="382">
        <f t="shared" si="2"/>
        <v>-45937</v>
      </c>
      <c r="K63" s="382">
        <f>-F63-'interest credit calculations'!$E$78</f>
        <v>-4806.8792</v>
      </c>
      <c r="L63" s="382">
        <f t="shared" si="4"/>
        <v>-14331.937621497695</v>
      </c>
      <c r="M63" s="382">
        <f t="shared" si="3"/>
        <v>-74228.6288214977</v>
      </c>
      <c r="N63" s="382"/>
    </row>
    <row r="64" spans="1:14" ht="12.75">
      <c r="A64" s="390">
        <v>-4300.43</v>
      </c>
      <c r="B64" s="381">
        <v>51</v>
      </c>
      <c r="C64" s="381">
        <v>2061</v>
      </c>
      <c r="D64" s="382">
        <f>+'Inputs for Evans Tables'!I48+-F64</f>
        <v>8425.187</v>
      </c>
      <c r="E64" s="382">
        <f>+'Inputs for Evans Tables'!H48</f>
        <v>0</v>
      </c>
      <c r="F64" s="382">
        <f>+'Inputs for Evans Tables'!O48</f>
        <v>-1085</v>
      </c>
      <c r="G64" s="382">
        <f t="shared" si="1"/>
        <v>-16493</v>
      </c>
      <c r="H64" s="382">
        <f t="shared" si="5"/>
        <v>-9152.813</v>
      </c>
      <c r="I64" s="385">
        <v>0</v>
      </c>
      <c r="J64" s="382">
        <f t="shared" si="2"/>
        <v>-45937</v>
      </c>
      <c r="K64" s="382">
        <f>-F64-'interest credit calculations'!$E$78</f>
        <v>-4806.8792</v>
      </c>
      <c r="L64" s="382">
        <f t="shared" si="4"/>
        <v>-14331.937621497695</v>
      </c>
      <c r="M64" s="382">
        <f t="shared" si="3"/>
        <v>-74228.6298214977</v>
      </c>
      <c r="N64" s="382"/>
    </row>
    <row r="65" spans="1:14" ht="12.75">
      <c r="A65" s="390">
        <v>-4300.46</v>
      </c>
      <c r="B65" s="381">
        <v>52</v>
      </c>
      <c r="C65" s="381">
        <v>2062</v>
      </c>
      <c r="D65" s="382">
        <f>+'Inputs for Evans Tables'!I49+-F65</f>
        <v>8425.178</v>
      </c>
      <c r="E65" s="382">
        <f>+'Inputs for Evans Tables'!H49</f>
        <v>0</v>
      </c>
      <c r="F65" s="382">
        <f>+'Inputs for Evans Tables'!O49</f>
        <v>-1085</v>
      </c>
      <c r="G65" s="382">
        <f t="shared" si="1"/>
        <v>-16493</v>
      </c>
      <c r="H65" s="382">
        <f t="shared" si="5"/>
        <v>-9152.822</v>
      </c>
      <c r="I65" s="385">
        <v>0</v>
      </c>
      <c r="J65" s="382">
        <f t="shared" si="2"/>
        <v>-45937</v>
      </c>
      <c r="K65" s="382">
        <f>-F65-'interest credit calculations'!$E$78</f>
        <v>-4806.8792</v>
      </c>
      <c r="L65" s="382">
        <f t="shared" si="4"/>
        <v>-14331.937621497695</v>
      </c>
      <c r="M65" s="382">
        <f t="shared" si="3"/>
        <v>-74228.6388214977</v>
      </c>
      <c r="N65" s="382"/>
    </row>
    <row r="66" spans="1:14" ht="12.75">
      <c r="A66" s="390">
        <v>-4300.46</v>
      </c>
      <c r="B66" s="381">
        <v>53</v>
      </c>
      <c r="C66" s="381">
        <v>2063</v>
      </c>
      <c r="D66" s="382">
        <f>+'Inputs for Evans Tables'!I50+-F66</f>
        <v>8425.178</v>
      </c>
      <c r="E66" s="382">
        <f>+'Inputs for Evans Tables'!H50</f>
        <v>0</v>
      </c>
      <c r="F66" s="382">
        <f>+'Inputs for Evans Tables'!O50</f>
        <v>-1085</v>
      </c>
      <c r="G66" s="382">
        <f t="shared" si="1"/>
        <v>-16493</v>
      </c>
      <c r="H66" s="382">
        <f t="shared" si="5"/>
        <v>-9152.822</v>
      </c>
      <c r="I66" s="385">
        <v>0</v>
      </c>
      <c r="J66" s="382">
        <f t="shared" si="2"/>
        <v>-45937</v>
      </c>
      <c r="K66" s="382">
        <f>-F66-'interest credit calculations'!$E$78</f>
        <v>-4806.8792</v>
      </c>
      <c r="L66" s="382">
        <f t="shared" si="4"/>
        <v>-14331.937621497695</v>
      </c>
      <c r="M66" s="382">
        <f t="shared" si="3"/>
        <v>-74228.6388214977</v>
      </c>
      <c r="N66" s="382"/>
    </row>
    <row r="67" spans="1:14" ht="12.75">
      <c r="A67" s="390">
        <v>-4300.45</v>
      </c>
      <c r="B67" s="381">
        <v>54</v>
      </c>
      <c r="C67" s="381">
        <v>2064</v>
      </c>
      <c r="D67" s="382">
        <f>+'Inputs for Evans Tables'!I51+-F67</f>
        <v>8425.185000000001</v>
      </c>
      <c r="E67" s="382">
        <f>+'Inputs for Evans Tables'!H51</f>
        <v>0</v>
      </c>
      <c r="F67" s="382">
        <f>+'Inputs for Evans Tables'!O51</f>
        <v>-1085</v>
      </c>
      <c r="G67" s="382">
        <f t="shared" si="1"/>
        <v>-16493</v>
      </c>
      <c r="H67" s="382">
        <f t="shared" si="5"/>
        <v>-9152.814999999999</v>
      </c>
      <c r="I67" s="385">
        <v>0</v>
      </c>
      <c r="J67" s="382">
        <f t="shared" si="2"/>
        <v>-45937</v>
      </c>
      <c r="K67" s="382">
        <f>-F67-'interest credit calculations'!$E$78</f>
        <v>-4806.8792</v>
      </c>
      <c r="L67" s="382">
        <f t="shared" si="4"/>
        <v>-14331.937621497695</v>
      </c>
      <c r="M67" s="382">
        <f t="shared" si="3"/>
        <v>-74228.6318214977</v>
      </c>
      <c r="N67" s="382"/>
    </row>
    <row r="68" spans="1:14" ht="12.75">
      <c r="A68" s="390">
        <v>-4300.41</v>
      </c>
      <c r="B68" s="381">
        <v>55</v>
      </c>
      <c r="C68" s="381">
        <v>2065</v>
      </c>
      <c r="D68" s="382">
        <f>+'Inputs for Evans Tables'!I52+-F68</f>
        <v>8425.173999999999</v>
      </c>
      <c r="E68" s="382">
        <f>+'Inputs for Evans Tables'!H52</f>
        <v>0</v>
      </c>
      <c r="F68" s="382">
        <f>+'Inputs for Evans Tables'!O52</f>
        <v>-1085</v>
      </c>
      <c r="G68" s="382">
        <f t="shared" si="1"/>
        <v>-16493</v>
      </c>
      <c r="H68" s="382">
        <f t="shared" si="5"/>
        <v>-9152.826000000001</v>
      </c>
      <c r="I68" s="385">
        <v>0</v>
      </c>
      <c r="J68" s="382">
        <f t="shared" si="2"/>
        <v>-45937</v>
      </c>
      <c r="K68" s="382">
        <f>-F68-'interest credit calculations'!$E$78</f>
        <v>-4806.8792</v>
      </c>
      <c r="L68" s="382">
        <f t="shared" si="4"/>
        <v>-14331.937621497695</v>
      </c>
      <c r="M68" s="382">
        <f t="shared" si="3"/>
        <v>-74228.64282149769</v>
      </c>
      <c r="N68" s="382"/>
    </row>
    <row r="69" spans="1:14" ht="12.75">
      <c r="A69" s="390">
        <v>-4300.42</v>
      </c>
      <c r="B69" s="381">
        <v>56</v>
      </c>
      <c r="C69" s="381">
        <v>2066</v>
      </c>
      <c r="D69" s="382">
        <f>+'Inputs for Evans Tables'!I53+-F69</f>
        <v>8425.177</v>
      </c>
      <c r="E69" s="382">
        <f>+'Inputs for Evans Tables'!H53</f>
        <v>0</v>
      </c>
      <c r="F69" s="382">
        <f>+'Inputs for Evans Tables'!O53</f>
        <v>-1085</v>
      </c>
      <c r="G69" s="382">
        <f t="shared" si="1"/>
        <v>-16493</v>
      </c>
      <c r="H69" s="382">
        <f t="shared" si="5"/>
        <v>-9152.823</v>
      </c>
      <c r="I69" s="385">
        <v>0</v>
      </c>
      <c r="J69" s="382">
        <f t="shared" si="2"/>
        <v>-45937</v>
      </c>
      <c r="K69" s="382">
        <f>-F69-'interest credit calculations'!$E$78</f>
        <v>-4806.8792</v>
      </c>
      <c r="L69" s="382">
        <f t="shared" si="4"/>
        <v>-14331.937621497695</v>
      </c>
      <c r="M69" s="382">
        <f t="shared" si="3"/>
        <v>-74228.6398214977</v>
      </c>
      <c r="N69" s="382"/>
    </row>
    <row r="70" spans="1:14" ht="12.75">
      <c r="A70" s="390">
        <v>-4300.42</v>
      </c>
      <c r="B70" s="381">
        <v>57</v>
      </c>
      <c r="C70" s="381">
        <v>2067</v>
      </c>
      <c r="D70" s="382">
        <f>+'Inputs for Evans Tables'!I54+-F70</f>
        <v>8425.184000000001</v>
      </c>
      <c r="E70" s="382">
        <f>+'Inputs for Evans Tables'!H54</f>
        <v>0</v>
      </c>
      <c r="F70" s="382">
        <f>+'Inputs for Evans Tables'!O54</f>
        <v>-1085</v>
      </c>
      <c r="G70" s="382">
        <f t="shared" si="1"/>
        <v>-16493</v>
      </c>
      <c r="H70" s="382">
        <f t="shared" si="5"/>
        <v>-9152.815999999999</v>
      </c>
      <c r="I70" s="385">
        <v>0</v>
      </c>
      <c r="J70" s="382">
        <f t="shared" si="2"/>
        <v>-45937</v>
      </c>
      <c r="K70" s="382">
        <f>-F70-'interest credit calculations'!$E$78</f>
        <v>-4806.8792</v>
      </c>
      <c r="L70" s="382">
        <f t="shared" si="4"/>
        <v>-14331.937621497695</v>
      </c>
      <c r="M70" s="382">
        <f t="shared" si="3"/>
        <v>-74228.6328214977</v>
      </c>
      <c r="N70" s="382"/>
    </row>
    <row r="71" spans="1:14" ht="12.75">
      <c r="A71" s="390">
        <v>-4300.44</v>
      </c>
      <c r="B71" s="381">
        <v>58</v>
      </c>
      <c r="C71" s="381">
        <v>2068</v>
      </c>
      <c r="D71" s="382">
        <f>+'Inputs for Evans Tables'!I55+-F71</f>
        <v>8425.171999999999</v>
      </c>
      <c r="E71" s="382">
        <f>+'Inputs for Evans Tables'!H55</f>
        <v>0</v>
      </c>
      <c r="F71" s="382">
        <f>+'Inputs for Evans Tables'!O55</f>
        <v>-1085</v>
      </c>
      <c r="G71" s="382">
        <f t="shared" si="1"/>
        <v>-16493</v>
      </c>
      <c r="H71" s="382">
        <f t="shared" si="5"/>
        <v>-9152.828000000001</v>
      </c>
      <c r="I71" s="385">
        <f>+'Inputs for Evans Tables'!F55-Q71</f>
        <v>0</v>
      </c>
      <c r="J71" s="382">
        <f t="shared" si="2"/>
        <v>-45937</v>
      </c>
      <c r="K71" s="382">
        <f>-F71-'interest credit calculations'!$E$78</f>
        <v>-4806.8792</v>
      </c>
      <c r="L71" s="382">
        <f t="shared" si="4"/>
        <v>-14331.937621497695</v>
      </c>
      <c r="M71" s="382">
        <f t="shared" si="3"/>
        <v>-74228.6448214977</v>
      </c>
      <c r="N71" s="382"/>
    </row>
    <row r="72" spans="1:14" ht="12.75">
      <c r="A72" s="390">
        <v>-4300.44</v>
      </c>
      <c r="B72" s="381">
        <v>59</v>
      </c>
      <c r="C72" s="381">
        <v>2069</v>
      </c>
      <c r="D72" s="382">
        <f>+'Inputs for Evans Tables'!I56+-F72</f>
        <v>8425.175</v>
      </c>
      <c r="E72" s="382">
        <f>+'Inputs for Evans Tables'!H56</f>
        <v>0</v>
      </c>
      <c r="F72" s="382">
        <f>+'Inputs for Evans Tables'!O56</f>
        <v>-1085</v>
      </c>
      <c r="G72" s="382">
        <f t="shared" si="1"/>
        <v>-16493</v>
      </c>
      <c r="H72" s="382">
        <f t="shared" si="5"/>
        <v>-9152.825</v>
      </c>
      <c r="I72" s="385">
        <f>+'Inputs for Evans Tables'!F56-Q72</f>
        <v>0</v>
      </c>
      <c r="J72" s="382">
        <f t="shared" si="2"/>
        <v>-45937</v>
      </c>
      <c r="K72" s="382">
        <f>-F72-'interest credit calculations'!$E$78</f>
        <v>-4806.8792</v>
      </c>
      <c r="L72" s="382">
        <f t="shared" si="4"/>
        <v>-14331.937621497695</v>
      </c>
      <c r="M72" s="382">
        <f t="shared" si="3"/>
        <v>-74228.6418214977</v>
      </c>
      <c r="N72" s="382"/>
    </row>
    <row r="73" spans="1:14" ht="12.75">
      <c r="A73" s="390">
        <v>-4300.43</v>
      </c>
      <c r="B73" s="381">
        <v>60</v>
      </c>
      <c r="C73" s="381">
        <v>2070</v>
      </c>
      <c r="D73" s="382">
        <f>+'Inputs for Evans Tables'!I57+-F73</f>
        <v>8425.172999999999</v>
      </c>
      <c r="E73" s="382">
        <f>+'Inputs for Evans Tables'!H57</f>
        <v>0</v>
      </c>
      <c r="F73" s="382">
        <f>+'Inputs for Evans Tables'!O57</f>
        <v>-1085</v>
      </c>
      <c r="G73" s="382">
        <f t="shared" si="1"/>
        <v>-16493</v>
      </c>
      <c r="H73" s="382">
        <f t="shared" si="5"/>
        <v>-9152.827000000001</v>
      </c>
      <c r="I73" s="385">
        <f>+'Inputs for Evans Tables'!F57-Q73</f>
        <v>0</v>
      </c>
      <c r="J73" s="382">
        <f t="shared" si="2"/>
        <v>-45937</v>
      </c>
      <c r="K73" s="382">
        <f>-F73-'interest credit calculations'!$E$78</f>
        <v>-4806.8792</v>
      </c>
      <c r="L73" s="382">
        <f t="shared" si="4"/>
        <v>-14331.937621497695</v>
      </c>
      <c r="M73" s="382">
        <f t="shared" si="3"/>
        <v>-74228.64382149771</v>
      </c>
      <c r="N73" s="382"/>
    </row>
    <row r="74" spans="1:14" ht="13.5" customHeight="1">
      <c r="A74" s="390">
        <v>-4300.45</v>
      </c>
      <c r="B74" s="381">
        <v>61</v>
      </c>
      <c r="C74" s="381">
        <v>2071</v>
      </c>
      <c r="D74" s="382">
        <f>+'Inputs for Evans Tables'!I58+-F74</f>
        <v>8425.176</v>
      </c>
      <c r="E74" s="382">
        <f>+'Inputs for Evans Tables'!H58</f>
        <v>0</v>
      </c>
      <c r="F74" s="382">
        <f>+'Inputs for Evans Tables'!O58</f>
        <v>-1085</v>
      </c>
      <c r="G74" s="382">
        <f t="shared" si="1"/>
        <v>-16493</v>
      </c>
      <c r="H74" s="382">
        <f t="shared" si="5"/>
        <v>-9152.824</v>
      </c>
      <c r="I74" s="385">
        <f>+'Inputs for Evans Tables'!F58-Q74</f>
        <v>0</v>
      </c>
      <c r="J74" s="382">
        <f t="shared" si="2"/>
        <v>-45937</v>
      </c>
      <c r="K74" s="382">
        <f>-F74-'interest credit calculations'!$E$78</f>
        <v>-4806.8792</v>
      </c>
      <c r="L74" s="382">
        <f t="shared" si="4"/>
        <v>-14331.937621497695</v>
      </c>
      <c r="M74" s="382">
        <f t="shared" si="3"/>
        <v>-74228.6408214977</v>
      </c>
      <c r="N74" s="382"/>
    </row>
    <row r="75" spans="1:14" ht="12.75">
      <c r="A75" s="390"/>
      <c r="B75" s="390"/>
      <c r="C75" s="381"/>
      <c r="D75" s="382"/>
      <c r="E75" s="382"/>
      <c r="F75" s="382"/>
      <c r="G75" s="382"/>
      <c r="H75" s="382"/>
      <c r="I75" s="382"/>
      <c r="J75" s="382"/>
      <c r="K75" s="382"/>
      <c r="L75" s="382"/>
      <c r="M75" s="382"/>
      <c r="N75" s="382"/>
    </row>
    <row r="76" spans="1:14" ht="28.5" customHeight="1">
      <c r="A76" s="390"/>
      <c r="B76" s="393" t="s">
        <v>235</v>
      </c>
      <c r="C76" s="402" t="s">
        <v>738</v>
      </c>
      <c r="D76" s="402"/>
      <c r="E76" s="402"/>
      <c r="F76" s="402"/>
      <c r="G76" s="402"/>
      <c r="H76" s="402"/>
      <c r="I76" s="402"/>
      <c r="J76" s="402"/>
      <c r="K76" s="402"/>
      <c r="L76" s="402"/>
      <c r="M76" s="402"/>
      <c r="N76" s="395"/>
    </row>
  </sheetData>
  <mergeCells count="5">
    <mergeCell ref="C1:M1"/>
    <mergeCell ref="C2:M2"/>
    <mergeCell ref="C3:M3"/>
    <mergeCell ref="C4:M4"/>
    <mergeCell ref="C76:M76"/>
  </mergeCells>
  <printOptions horizontalCentered="1"/>
  <pageMargins left="0.75" right="0.72" top="0.39" bottom="0.69" header="0.18" footer="0.25"/>
  <pageSetup fitToHeight="1" fitToWidth="1" horizontalDpi="300" verticalDpi="300" orientation="portrait" scale="4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51"/>
  <sheetViews>
    <sheetView zoomScale="90" zoomScaleNormal="90" workbookViewId="0" topLeftCell="A6">
      <selection activeCell="S22" sqref="S22"/>
    </sheetView>
  </sheetViews>
  <sheetFormatPr defaultColWidth="9.140625" defaultRowHeight="12.75"/>
  <cols>
    <col min="1" max="1" width="3.7109375" style="38" customWidth="1"/>
    <col min="2" max="2" width="3.57421875" style="38" customWidth="1"/>
    <col min="3" max="3" width="3.421875" style="38" customWidth="1"/>
    <col min="4" max="4" width="43.00390625" style="38" customWidth="1"/>
    <col min="5" max="6" width="12.140625" style="38" hidden="1" customWidth="1"/>
    <col min="7" max="7" width="12.140625" style="38" bestFit="1" customWidth="1"/>
    <col min="8" max="8" width="13.140625" style="38" bestFit="1" customWidth="1"/>
    <col min="9" max="9" width="13.140625" style="252" bestFit="1" customWidth="1"/>
    <col min="10" max="11" width="13.140625" style="252" customWidth="1"/>
    <col min="12" max="12" width="13.140625" style="38" bestFit="1" customWidth="1"/>
    <col min="13" max="14" width="12.28125" style="38" customWidth="1"/>
    <col min="15" max="15" width="4.421875" style="38" customWidth="1"/>
    <col min="16" max="16" width="13.57421875" style="38" customWidth="1"/>
    <col min="17" max="17" width="4.00390625" style="38" customWidth="1"/>
    <col min="18" max="18" width="13.28125" style="38" customWidth="1"/>
    <col min="19" max="19" width="9.140625" style="38" customWidth="1"/>
    <col min="20" max="20" width="14.8515625" style="38" bestFit="1" customWidth="1"/>
    <col min="21" max="21" width="13.8515625" style="38" bestFit="1" customWidth="1"/>
    <col min="22" max="254" width="9.140625" style="38" customWidth="1"/>
    <col min="255" max="255" width="3.7109375" style="38" customWidth="1"/>
    <col min="256" max="256" width="3.57421875" style="38" customWidth="1"/>
    <col min="257" max="257" width="3.421875" style="38" customWidth="1"/>
    <col min="258" max="258" width="40.28125" style="38" customWidth="1"/>
    <col min="259" max="259" width="10.28125" style="38" customWidth="1"/>
    <col min="260" max="260" width="9.7109375" style="38" customWidth="1"/>
    <col min="261" max="263" width="10.57421875" style="38" customWidth="1"/>
    <col min="264" max="264" width="10.00390625" style="38" customWidth="1"/>
    <col min="265" max="266" width="9.140625" style="38" hidden="1" customWidth="1"/>
    <col min="267" max="510" width="9.140625" style="38" customWidth="1"/>
    <col min="511" max="511" width="3.7109375" style="38" customWidth="1"/>
    <col min="512" max="512" width="3.57421875" style="38" customWidth="1"/>
    <col min="513" max="513" width="3.421875" style="38" customWidth="1"/>
    <col min="514" max="514" width="40.28125" style="38" customWidth="1"/>
    <col min="515" max="515" width="10.28125" style="38" customWidth="1"/>
    <col min="516" max="516" width="9.7109375" style="38" customWidth="1"/>
    <col min="517" max="519" width="10.57421875" style="38" customWidth="1"/>
    <col min="520" max="520" width="10.00390625" style="38" customWidth="1"/>
    <col min="521" max="522" width="9.140625" style="38" hidden="1" customWidth="1"/>
    <col min="523" max="766" width="9.140625" style="38" customWidth="1"/>
    <col min="767" max="767" width="3.7109375" style="38" customWidth="1"/>
    <col min="768" max="768" width="3.57421875" style="38" customWidth="1"/>
    <col min="769" max="769" width="3.421875" style="38" customWidth="1"/>
    <col min="770" max="770" width="40.28125" style="38" customWidth="1"/>
    <col min="771" max="771" width="10.28125" style="38" customWidth="1"/>
    <col min="772" max="772" width="9.7109375" style="38" customWidth="1"/>
    <col min="773" max="775" width="10.57421875" style="38" customWidth="1"/>
    <col min="776" max="776" width="10.00390625" style="38" customWidth="1"/>
    <col min="777" max="778" width="9.140625" style="38" hidden="1" customWidth="1"/>
    <col min="779" max="1022" width="9.140625" style="38" customWidth="1"/>
    <col min="1023" max="1023" width="3.7109375" style="38" customWidth="1"/>
    <col min="1024" max="1024" width="3.57421875" style="38" customWidth="1"/>
    <col min="1025" max="1025" width="3.421875" style="38" customWidth="1"/>
    <col min="1026" max="1026" width="40.28125" style="38" customWidth="1"/>
    <col min="1027" max="1027" width="10.28125" style="38" customWidth="1"/>
    <col min="1028" max="1028" width="9.7109375" style="38" customWidth="1"/>
    <col min="1029" max="1031" width="10.57421875" style="38" customWidth="1"/>
    <col min="1032" max="1032" width="10.00390625" style="38" customWidth="1"/>
    <col min="1033" max="1034" width="9.140625" style="38" hidden="1" customWidth="1"/>
    <col min="1035" max="1278" width="9.140625" style="38" customWidth="1"/>
    <col min="1279" max="1279" width="3.7109375" style="38" customWidth="1"/>
    <col min="1280" max="1280" width="3.57421875" style="38" customWidth="1"/>
    <col min="1281" max="1281" width="3.421875" style="38" customWidth="1"/>
    <col min="1282" max="1282" width="40.28125" style="38" customWidth="1"/>
    <col min="1283" max="1283" width="10.28125" style="38" customWidth="1"/>
    <col min="1284" max="1284" width="9.7109375" style="38" customWidth="1"/>
    <col min="1285" max="1287" width="10.57421875" style="38" customWidth="1"/>
    <col min="1288" max="1288" width="10.00390625" style="38" customWidth="1"/>
    <col min="1289" max="1290" width="9.140625" style="38" hidden="1" customWidth="1"/>
    <col min="1291" max="1534" width="9.140625" style="38" customWidth="1"/>
    <col min="1535" max="1535" width="3.7109375" style="38" customWidth="1"/>
    <col min="1536" max="1536" width="3.57421875" style="38" customWidth="1"/>
    <col min="1537" max="1537" width="3.421875" style="38" customWidth="1"/>
    <col min="1538" max="1538" width="40.28125" style="38" customWidth="1"/>
    <col min="1539" max="1539" width="10.28125" style="38" customWidth="1"/>
    <col min="1540" max="1540" width="9.7109375" style="38" customWidth="1"/>
    <col min="1541" max="1543" width="10.57421875" style="38" customWidth="1"/>
    <col min="1544" max="1544" width="10.00390625" style="38" customWidth="1"/>
    <col min="1545" max="1546" width="9.140625" style="38" hidden="1" customWidth="1"/>
    <col min="1547" max="1790" width="9.140625" style="38" customWidth="1"/>
    <col min="1791" max="1791" width="3.7109375" style="38" customWidth="1"/>
    <col min="1792" max="1792" width="3.57421875" style="38" customWidth="1"/>
    <col min="1793" max="1793" width="3.421875" style="38" customWidth="1"/>
    <col min="1794" max="1794" width="40.28125" style="38" customWidth="1"/>
    <col min="1795" max="1795" width="10.28125" style="38" customWidth="1"/>
    <col min="1796" max="1796" width="9.7109375" style="38" customWidth="1"/>
    <col min="1797" max="1799" width="10.57421875" style="38" customWidth="1"/>
    <col min="1800" max="1800" width="10.00390625" style="38" customWidth="1"/>
    <col min="1801" max="1802" width="9.140625" style="38" hidden="1" customWidth="1"/>
    <col min="1803" max="2046" width="9.140625" style="38" customWidth="1"/>
    <col min="2047" max="2047" width="3.7109375" style="38" customWidth="1"/>
    <col min="2048" max="2048" width="3.57421875" style="38" customWidth="1"/>
    <col min="2049" max="2049" width="3.421875" style="38" customWidth="1"/>
    <col min="2050" max="2050" width="40.28125" style="38" customWidth="1"/>
    <col min="2051" max="2051" width="10.28125" style="38" customWidth="1"/>
    <col min="2052" max="2052" width="9.7109375" style="38" customWidth="1"/>
    <col min="2053" max="2055" width="10.57421875" style="38" customWidth="1"/>
    <col min="2056" max="2056" width="10.00390625" style="38" customWidth="1"/>
    <col min="2057" max="2058" width="9.140625" style="38" hidden="1" customWidth="1"/>
    <col min="2059" max="2302" width="9.140625" style="38" customWidth="1"/>
    <col min="2303" max="2303" width="3.7109375" style="38" customWidth="1"/>
    <col min="2304" max="2304" width="3.57421875" style="38" customWidth="1"/>
    <col min="2305" max="2305" width="3.421875" style="38" customWidth="1"/>
    <col min="2306" max="2306" width="40.28125" style="38" customWidth="1"/>
    <col min="2307" max="2307" width="10.28125" style="38" customWidth="1"/>
    <col min="2308" max="2308" width="9.7109375" style="38" customWidth="1"/>
    <col min="2309" max="2311" width="10.57421875" style="38" customWidth="1"/>
    <col min="2312" max="2312" width="10.00390625" style="38" customWidth="1"/>
    <col min="2313" max="2314" width="9.140625" style="38" hidden="1" customWidth="1"/>
    <col min="2315" max="2558" width="9.140625" style="38" customWidth="1"/>
    <col min="2559" max="2559" width="3.7109375" style="38" customWidth="1"/>
    <col min="2560" max="2560" width="3.57421875" style="38" customWidth="1"/>
    <col min="2561" max="2561" width="3.421875" style="38" customWidth="1"/>
    <col min="2562" max="2562" width="40.28125" style="38" customWidth="1"/>
    <col min="2563" max="2563" width="10.28125" style="38" customWidth="1"/>
    <col min="2564" max="2564" width="9.7109375" style="38" customWidth="1"/>
    <col min="2565" max="2567" width="10.57421875" style="38" customWidth="1"/>
    <col min="2568" max="2568" width="10.00390625" style="38" customWidth="1"/>
    <col min="2569" max="2570" width="9.140625" style="38" hidden="1" customWidth="1"/>
    <col min="2571" max="2814" width="9.140625" style="38" customWidth="1"/>
    <col min="2815" max="2815" width="3.7109375" style="38" customWidth="1"/>
    <col min="2816" max="2816" width="3.57421875" style="38" customWidth="1"/>
    <col min="2817" max="2817" width="3.421875" style="38" customWidth="1"/>
    <col min="2818" max="2818" width="40.28125" style="38" customWidth="1"/>
    <col min="2819" max="2819" width="10.28125" style="38" customWidth="1"/>
    <col min="2820" max="2820" width="9.7109375" style="38" customWidth="1"/>
    <col min="2821" max="2823" width="10.57421875" style="38" customWidth="1"/>
    <col min="2824" max="2824" width="10.00390625" style="38" customWidth="1"/>
    <col min="2825" max="2826" width="9.140625" style="38" hidden="1" customWidth="1"/>
    <col min="2827" max="3070" width="9.140625" style="38" customWidth="1"/>
    <col min="3071" max="3071" width="3.7109375" style="38" customWidth="1"/>
    <col min="3072" max="3072" width="3.57421875" style="38" customWidth="1"/>
    <col min="3073" max="3073" width="3.421875" style="38" customWidth="1"/>
    <col min="3074" max="3074" width="40.28125" style="38" customWidth="1"/>
    <col min="3075" max="3075" width="10.28125" style="38" customWidth="1"/>
    <col min="3076" max="3076" width="9.7109375" style="38" customWidth="1"/>
    <col min="3077" max="3079" width="10.57421875" style="38" customWidth="1"/>
    <col min="3080" max="3080" width="10.00390625" style="38" customWidth="1"/>
    <col min="3081" max="3082" width="9.140625" style="38" hidden="1" customWidth="1"/>
    <col min="3083" max="3326" width="9.140625" style="38" customWidth="1"/>
    <col min="3327" max="3327" width="3.7109375" style="38" customWidth="1"/>
    <col min="3328" max="3328" width="3.57421875" style="38" customWidth="1"/>
    <col min="3329" max="3329" width="3.421875" style="38" customWidth="1"/>
    <col min="3330" max="3330" width="40.28125" style="38" customWidth="1"/>
    <col min="3331" max="3331" width="10.28125" style="38" customWidth="1"/>
    <col min="3332" max="3332" width="9.7109375" style="38" customWidth="1"/>
    <col min="3333" max="3335" width="10.57421875" style="38" customWidth="1"/>
    <col min="3336" max="3336" width="10.00390625" style="38" customWidth="1"/>
    <col min="3337" max="3338" width="9.140625" style="38" hidden="1" customWidth="1"/>
    <col min="3339" max="3582" width="9.140625" style="38" customWidth="1"/>
    <col min="3583" max="3583" width="3.7109375" style="38" customWidth="1"/>
    <col min="3584" max="3584" width="3.57421875" style="38" customWidth="1"/>
    <col min="3585" max="3585" width="3.421875" style="38" customWidth="1"/>
    <col min="3586" max="3586" width="40.28125" style="38" customWidth="1"/>
    <col min="3587" max="3587" width="10.28125" style="38" customWidth="1"/>
    <col min="3588" max="3588" width="9.7109375" style="38" customWidth="1"/>
    <col min="3589" max="3591" width="10.57421875" style="38" customWidth="1"/>
    <col min="3592" max="3592" width="10.00390625" style="38" customWidth="1"/>
    <col min="3593" max="3594" width="9.140625" style="38" hidden="1" customWidth="1"/>
    <col min="3595" max="3838" width="9.140625" style="38" customWidth="1"/>
    <col min="3839" max="3839" width="3.7109375" style="38" customWidth="1"/>
    <col min="3840" max="3840" width="3.57421875" style="38" customWidth="1"/>
    <col min="3841" max="3841" width="3.421875" style="38" customWidth="1"/>
    <col min="3842" max="3842" width="40.28125" style="38" customWidth="1"/>
    <col min="3843" max="3843" width="10.28125" style="38" customWidth="1"/>
    <col min="3844" max="3844" width="9.7109375" style="38" customWidth="1"/>
    <col min="3845" max="3847" width="10.57421875" style="38" customWidth="1"/>
    <col min="3848" max="3848" width="10.00390625" style="38" customWidth="1"/>
    <col min="3849" max="3850" width="9.140625" style="38" hidden="1" customWidth="1"/>
    <col min="3851" max="4094" width="9.140625" style="38" customWidth="1"/>
    <col min="4095" max="4095" width="3.7109375" style="38" customWidth="1"/>
    <col min="4096" max="4096" width="3.57421875" style="38" customWidth="1"/>
    <col min="4097" max="4097" width="3.421875" style="38" customWidth="1"/>
    <col min="4098" max="4098" width="40.28125" style="38" customWidth="1"/>
    <col min="4099" max="4099" width="10.28125" style="38" customWidth="1"/>
    <col min="4100" max="4100" width="9.7109375" style="38" customWidth="1"/>
    <col min="4101" max="4103" width="10.57421875" style="38" customWidth="1"/>
    <col min="4104" max="4104" width="10.00390625" style="38" customWidth="1"/>
    <col min="4105" max="4106" width="9.140625" style="38" hidden="1" customWidth="1"/>
    <col min="4107" max="4350" width="9.140625" style="38" customWidth="1"/>
    <col min="4351" max="4351" width="3.7109375" style="38" customWidth="1"/>
    <col min="4352" max="4352" width="3.57421875" style="38" customWidth="1"/>
    <col min="4353" max="4353" width="3.421875" style="38" customWidth="1"/>
    <col min="4354" max="4354" width="40.28125" style="38" customWidth="1"/>
    <col min="4355" max="4355" width="10.28125" style="38" customWidth="1"/>
    <col min="4356" max="4356" width="9.7109375" style="38" customWidth="1"/>
    <col min="4357" max="4359" width="10.57421875" style="38" customWidth="1"/>
    <col min="4360" max="4360" width="10.00390625" style="38" customWidth="1"/>
    <col min="4361" max="4362" width="9.140625" style="38" hidden="1" customWidth="1"/>
    <col min="4363" max="4606" width="9.140625" style="38" customWidth="1"/>
    <col min="4607" max="4607" width="3.7109375" style="38" customWidth="1"/>
    <col min="4608" max="4608" width="3.57421875" style="38" customWidth="1"/>
    <col min="4609" max="4609" width="3.421875" style="38" customWidth="1"/>
    <col min="4610" max="4610" width="40.28125" style="38" customWidth="1"/>
    <col min="4611" max="4611" width="10.28125" style="38" customWidth="1"/>
    <col min="4612" max="4612" width="9.7109375" style="38" customWidth="1"/>
    <col min="4613" max="4615" width="10.57421875" style="38" customWidth="1"/>
    <col min="4616" max="4616" width="10.00390625" style="38" customWidth="1"/>
    <col min="4617" max="4618" width="9.140625" style="38" hidden="1" customWidth="1"/>
    <col min="4619" max="4862" width="9.140625" style="38" customWidth="1"/>
    <col min="4863" max="4863" width="3.7109375" style="38" customWidth="1"/>
    <col min="4864" max="4864" width="3.57421875" style="38" customWidth="1"/>
    <col min="4865" max="4865" width="3.421875" style="38" customWidth="1"/>
    <col min="4866" max="4866" width="40.28125" style="38" customWidth="1"/>
    <col min="4867" max="4867" width="10.28125" style="38" customWidth="1"/>
    <col min="4868" max="4868" width="9.7109375" style="38" customWidth="1"/>
    <col min="4869" max="4871" width="10.57421875" style="38" customWidth="1"/>
    <col min="4872" max="4872" width="10.00390625" style="38" customWidth="1"/>
    <col min="4873" max="4874" width="9.140625" style="38" hidden="1" customWidth="1"/>
    <col min="4875" max="5118" width="9.140625" style="38" customWidth="1"/>
    <col min="5119" max="5119" width="3.7109375" style="38" customWidth="1"/>
    <col min="5120" max="5120" width="3.57421875" style="38" customWidth="1"/>
    <col min="5121" max="5121" width="3.421875" style="38" customWidth="1"/>
    <col min="5122" max="5122" width="40.28125" style="38" customWidth="1"/>
    <col min="5123" max="5123" width="10.28125" style="38" customWidth="1"/>
    <col min="5124" max="5124" width="9.7109375" style="38" customWidth="1"/>
    <col min="5125" max="5127" width="10.57421875" style="38" customWidth="1"/>
    <col min="5128" max="5128" width="10.00390625" style="38" customWidth="1"/>
    <col min="5129" max="5130" width="9.140625" style="38" hidden="1" customWidth="1"/>
    <col min="5131" max="5374" width="9.140625" style="38" customWidth="1"/>
    <col min="5375" max="5375" width="3.7109375" style="38" customWidth="1"/>
    <col min="5376" max="5376" width="3.57421875" style="38" customWidth="1"/>
    <col min="5377" max="5377" width="3.421875" style="38" customWidth="1"/>
    <col min="5378" max="5378" width="40.28125" style="38" customWidth="1"/>
    <col min="5379" max="5379" width="10.28125" style="38" customWidth="1"/>
    <col min="5380" max="5380" width="9.7109375" style="38" customWidth="1"/>
    <col min="5381" max="5383" width="10.57421875" style="38" customWidth="1"/>
    <col min="5384" max="5384" width="10.00390625" style="38" customWidth="1"/>
    <col min="5385" max="5386" width="9.140625" style="38" hidden="1" customWidth="1"/>
    <col min="5387" max="5630" width="9.140625" style="38" customWidth="1"/>
    <col min="5631" max="5631" width="3.7109375" style="38" customWidth="1"/>
    <col min="5632" max="5632" width="3.57421875" style="38" customWidth="1"/>
    <col min="5633" max="5633" width="3.421875" style="38" customWidth="1"/>
    <col min="5634" max="5634" width="40.28125" style="38" customWidth="1"/>
    <col min="5635" max="5635" width="10.28125" style="38" customWidth="1"/>
    <col min="5636" max="5636" width="9.7109375" style="38" customWidth="1"/>
    <col min="5637" max="5639" width="10.57421875" style="38" customWidth="1"/>
    <col min="5640" max="5640" width="10.00390625" style="38" customWidth="1"/>
    <col min="5641" max="5642" width="9.140625" style="38" hidden="1" customWidth="1"/>
    <col min="5643" max="5886" width="9.140625" style="38" customWidth="1"/>
    <col min="5887" max="5887" width="3.7109375" style="38" customWidth="1"/>
    <col min="5888" max="5888" width="3.57421875" style="38" customWidth="1"/>
    <col min="5889" max="5889" width="3.421875" style="38" customWidth="1"/>
    <col min="5890" max="5890" width="40.28125" style="38" customWidth="1"/>
    <col min="5891" max="5891" width="10.28125" style="38" customWidth="1"/>
    <col min="5892" max="5892" width="9.7109375" style="38" customWidth="1"/>
    <col min="5893" max="5895" width="10.57421875" style="38" customWidth="1"/>
    <col min="5896" max="5896" width="10.00390625" style="38" customWidth="1"/>
    <col min="5897" max="5898" width="9.140625" style="38" hidden="1" customWidth="1"/>
    <col min="5899" max="6142" width="9.140625" style="38" customWidth="1"/>
    <col min="6143" max="6143" width="3.7109375" style="38" customWidth="1"/>
    <col min="6144" max="6144" width="3.57421875" style="38" customWidth="1"/>
    <col min="6145" max="6145" width="3.421875" style="38" customWidth="1"/>
    <col min="6146" max="6146" width="40.28125" style="38" customWidth="1"/>
    <col min="6147" max="6147" width="10.28125" style="38" customWidth="1"/>
    <col min="6148" max="6148" width="9.7109375" style="38" customWidth="1"/>
    <col min="6149" max="6151" width="10.57421875" style="38" customWidth="1"/>
    <col min="6152" max="6152" width="10.00390625" style="38" customWidth="1"/>
    <col min="6153" max="6154" width="9.140625" style="38" hidden="1" customWidth="1"/>
    <col min="6155" max="6398" width="9.140625" style="38" customWidth="1"/>
    <col min="6399" max="6399" width="3.7109375" style="38" customWidth="1"/>
    <col min="6400" max="6400" width="3.57421875" style="38" customWidth="1"/>
    <col min="6401" max="6401" width="3.421875" style="38" customWidth="1"/>
    <col min="6402" max="6402" width="40.28125" style="38" customWidth="1"/>
    <col min="6403" max="6403" width="10.28125" style="38" customWidth="1"/>
    <col min="6404" max="6404" width="9.7109375" style="38" customWidth="1"/>
    <col min="6405" max="6407" width="10.57421875" style="38" customWidth="1"/>
    <col min="6408" max="6408" width="10.00390625" style="38" customWidth="1"/>
    <col min="6409" max="6410" width="9.140625" style="38" hidden="1" customWidth="1"/>
    <col min="6411" max="6654" width="9.140625" style="38" customWidth="1"/>
    <col min="6655" max="6655" width="3.7109375" style="38" customWidth="1"/>
    <col min="6656" max="6656" width="3.57421875" style="38" customWidth="1"/>
    <col min="6657" max="6657" width="3.421875" style="38" customWidth="1"/>
    <col min="6658" max="6658" width="40.28125" style="38" customWidth="1"/>
    <col min="6659" max="6659" width="10.28125" style="38" customWidth="1"/>
    <col min="6660" max="6660" width="9.7109375" style="38" customWidth="1"/>
    <col min="6661" max="6663" width="10.57421875" style="38" customWidth="1"/>
    <col min="6664" max="6664" width="10.00390625" style="38" customWidth="1"/>
    <col min="6665" max="6666" width="9.140625" style="38" hidden="1" customWidth="1"/>
    <col min="6667" max="6910" width="9.140625" style="38" customWidth="1"/>
    <col min="6911" max="6911" width="3.7109375" style="38" customWidth="1"/>
    <col min="6912" max="6912" width="3.57421875" style="38" customWidth="1"/>
    <col min="6913" max="6913" width="3.421875" style="38" customWidth="1"/>
    <col min="6914" max="6914" width="40.28125" style="38" customWidth="1"/>
    <col min="6915" max="6915" width="10.28125" style="38" customWidth="1"/>
    <col min="6916" max="6916" width="9.7109375" style="38" customWidth="1"/>
    <col min="6917" max="6919" width="10.57421875" style="38" customWidth="1"/>
    <col min="6920" max="6920" width="10.00390625" style="38" customWidth="1"/>
    <col min="6921" max="6922" width="9.140625" style="38" hidden="1" customWidth="1"/>
    <col min="6923" max="7166" width="9.140625" style="38" customWidth="1"/>
    <col min="7167" max="7167" width="3.7109375" style="38" customWidth="1"/>
    <col min="7168" max="7168" width="3.57421875" style="38" customWidth="1"/>
    <col min="7169" max="7169" width="3.421875" style="38" customWidth="1"/>
    <col min="7170" max="7170" width="40.28125" style="38" customWidth="1"/>
    <col min="7171" max="7171" width="10.28125" style="38" customWidth="1"/>
    <col min="7172" max="7172" width="9.7109375" style="38" customWidth="1"/>
    <col min="7173" max="7175" width="10.57421875" style="38" customWidth="1"/>
    <col min="7176" max="7176" width="10.00390625" style="38" customWidth="1"/>
    <col min="7177" max="7178" width="9.140625" style="38" hidden="1" customWidth="1"/>
    <col min="7179" max="7422" width="9.140625" style="38" customWidth="1"/>
    <col min="7423" max="7423" width="3.7109375" style="38" customWidth="1"/>
    <col min="7424" max="7424" width="3.57421875" style="38" customWidth="1"/>
    <col min="7425" max="7425" width="3.421875" style="38" customWidth="1"/>
    <col min="7426" max="7426" width="40.28125" style="38" customWidth="1"/>
    <col min="7427" max="7427" width="10.28125" style="38" customWidth="1"/>
    <col min="7428" max="7428" width="9.7109375" style="38" customWidth="1"/>
    <col min="7429" max="7431" width="10.57421875" style="38" customWidth="1"/>
    <col min="7432" max="7432" width="10.00390625" style="38" customWidth="1"/>
    <col min="7433" max="7434" width="9.140625" style="38" hidden="1" customWidth="1"/>
    <col min="7435" max="7678" width="9.140625" style="38" customWidth="1"/>
    <col min="7679" max="7679" width="3.7109375" style="38" customWidth="1"/>
    <col min="7680" max="7680" width="3.57421875" style="38" customWidth="1"/>
    <col min="7681" max="7681" width="3.421875" style="38" customWidth="1"/>
    <col min="7682" max="7682" width="40.28125" style="38" customWidth="1"/>
    <col min="7683" max="7683" width="10.28125" style="38" customWidth="1"/>
    <col min="7684" max="7684" width="9.7109375" style="38" customWidth="1"/>
    <col min="7685" max="7687" width="10.57421875" style="38" customWidth="1"/>
    <col min="7688" max="7688" width="10.00390625" style="38" customWidth="1"/>
    <col min="7689" max="7690" width="9.140625" style="38" hidden="1" customWidth="1"/>
    <col min="7691" max="7934" width="9.140625" style="38" customWidth="1"/>
    <col min="7935" max="7935" width="3.7109375" style="38" customWidth="1"/>
    <col min="7936" max="7936" width="3.57421875" style="38" customWidth="1"/>
    <col min="7937" max="7937" width="3.421875" style="38" customWidth="1"/>
    <col min="7938" max="7938" width="40.28125" style="38" customWidth="1"/>
    <col min="7939" max="7939" width="10.28125" style="38" customWidth="1"/>
    <col min="7940" max="7940" width="9.7109375" style="38" customWidth="1"/>
    <col min="7941" max="7943" width="10.57421875" style="38" customWidth="1"/>
    <col min="7944" max="7944" width="10.00390625" style="38" customWidth="1"/>
    <col min="7945" max="7946" width="9.140625" style="38" hidden="1" customWidth="1"/>
    <col min="7947" max="8190" width="9.140625" style="38" customWidth="1"/>
    <col min="8191" max="8191" width="3.7109375" style="38" customWidth="1"/>
    <col min="8192" max="8192" width="3.57421875" style="38" customWidth="1"/>
    <col min="8193" max="8193" width="3.421875" style="38" customWidth="1"/>
    <col min="8194" max="8194" width="40.28125" style="38" customWidth="1"/>
    <col min="8195" max="8195" width="10.28125" style="38" customWidth="1"/>
    <col min="8196" max="8196" width="9.7109375" style="38" customWidth="1"/>
    <col min="8197" max="8199" width="10.57421875" style="38" customWidth="1"/>
    <col min="8200" max="8200" width="10.00390625" style="38" customWidth="1"/>
    <col min="8201" max="8202" width="9.140625" style="38" hidden="1" customWidth="1"/>
    <col min="8203" max="8446" width="9.140625" style="38" customWidth="1"/>
    <col min="8447" max="8447" width="3.7109375" style="38" customWidth="1"/>
    <col min="8448" max="8448" width="3.57421875" style="38" customWidth="1"/>
    <col min="8449" max="8449" width="3.421875" style="38" customWidth="1"/>
    <col min="8450" max="8450" width="40.28125" style="38" customWidth="1"/>
    <col min="8451" max="8451" width="10.28125" style="38" customWidth="1"/>
    <col min="8452" max="8452" width="9.7109375" style="38" customWidth="1"/>
    <col min="8453" max="8455" width="10.57421875" style="38" customWidth="1"/>
    <col min="8456" max="8456" width="10.00390625" style="38" customWidth="1"/>
    <col min="8457" max="8458" width="9.140625" style="38" hidden="1" customWidth="1"/>
    <col min="8459" max="8702" width="9.140625" style="38" customWidth="1"/>
    <col min="8703" max="8703" width="3.7109375" style="38" customWidth="1"/>
    <col min="8704" max="8704" width="3.57421875" style="38" customWidth="1"/>
    <col min="8705" max="8705" width="3.421875" style="38" customWidth="1"/>
    <col min="8706" max="8706" width="40.28125" style="38" customWidth="1"/>
    <col min="8707" max="8707" width="10.28125" style="38" customWidth="1"/>
    <col min="8708" max="8708" width="9.7109375" style="38" customWidth="1"/>
    <col min="8709" max="8711" width="10.57421875" style="38" customWidth="1"/>
    <col min="8712" max="8712" width="10.00390625" style="38" customWidth="1"/>
    <col min="8713" max="8714" width="9.140625" style="38" hidden="1" customWidth="1"/>
    <col min="8715" max="8958" width="9.140625" style="38" customWidth="1"/>
    <col min="8959" max="8959" width="3.7109375" style="38" customWidth="1"/>
    <col min="8960" max="8960" width="3.57421875" style="38" customWidth="1"/>
    <col min="8961" max="8961" width="3.421875" style="38" customWidth="1"/>
    <col min="8962" max="8962" width="40.28125" style="38" customWidth="1"/>
    <col min="8963" max="8963" width="10.28125" style="38" customWidth="1"/>
    <col min="8964" max="8964" width="9.7109375" style="38" customWidth="1"/>
    <col min="8965" max="8967" width="10.57421875" style="38" customWidth="1"/>
    <col min="8968" max="8968" width="10.00390625" style="38" customWidth="1"/>
    <col min="8969" max="8970" width="9.140625" style="38" hidden="1" customWidth="1"/>
    <col min="8971" max="9214" width="9.140625" style="38" customWidth="1"/>
    <col min="9215" max="9215" width="3.7109375" style="38" customWidth="1"/>
    <col min="9216" max="9216" width="3.57421875" style="38" customWidth="1"/>
    <col min="9217" max="9217" width="3.421875" style="38" customWidth="1"/>
    <col min="9218" max="9218" width="40.28125" style="38" customWidth="1"/>
    <col min="9219" max="9219" width="10.28125" style="38" customWidth="1"/>
    <col min="9220" max="9220" width="9.7109375" style="38" customWidth="1"/>
    <col min="9221" max="9223" width="10.57421875" style="38" customWidth="1"/>
    <col min="9224" max="9224" width="10.00390625" style="38" customWidth="1"/>
    <col min="9225" max="9226" width="9.140625" style="38" hidden="1" customWidth="1"/>
    <col min="9227" max="9470" width="9.140625" style="38" customWidth="1"/>
    <col min="9471" max="9471" width="3.7109375" style="38" customWidth="1"/>
    <col min="9472" max="9472" width="3.57421875" style="38" customWidth="1"/>
    <col min="9473" max="9473" width="3.421875" style="38" customWidth="1"/>
    <col min="9474" max="9474" width="40.28125" style="38" customWidth="1"/>
    <col min="9475" max="9475" width="10.28125" style="38" customWidth="1"/>
    <col min="9476" max="9476" width="9.7109375" style="38" customWidth="1"/>
    <col min="9477" max="9479" width="10.57421875" style="38" customWidth="1"/>
    <col min="9480" max="9480" width="10.00390625" style="38" customWidth="1"/>
    <col min="9481" max="9482" width="9.140625" style="38" hidden="1" customWidth="1"/>
    <col min="9483" max="9726" width="9.140625" style="38" customWidth="1"/>
    <col min="9727" max="9727" width="3.7109375" style="38" customWidth="1"/>
    <col min="9728" max="9728" width="3.57421875" style="38" customWidth="1"/>
    <col min="9729" max="9729" width="3.421875" style="38" customWidth="1"/>
    <col min="9730" max="9730" width="40.28125" style="38" customWidth="1"/>
    <col min="9731" max="9731" width="10.28125" style="38" customWidth="1"/>
    <col min="9732" max="9732" width="9.7109375" style="38" customWidth="1"/>
    <col min="9733" max="9735" width="10.57421875" style="38" customWidth="1"/>
    <col min="9736" max="9736" width="10.00390625" style="38" customWidth="1"/>
    <col min="9737" max="9738" width="9.140625" style="38" hidden="1" customWidth="1"/>
    <col min="9739" max="9982" width="9.140625" style="38" customWidth="1"/>
    <col min="9983" max="9983" width="3.7109375" style="38" customWidth="1"/>
    <col min="9984" max="9984" width="3.57421875" style="38" customWidth="1"/>
    <col min="9985" max="9985" width="3.421875" style="38" customWidth="1"/>
    <col min="9986" max="9986" width="40.28125" style="38" customWidth="1"/>
    <col min="9987" max="9987" width="10.28125" style="38" customWidth="1"/>
    <col min="9988" max="9988" width="9.7109375" style="38" customWidth="1"/>
    <col min="9989" max="9991" width="10.57421875" style="38" customWidth="1"/>
    <col min="9992" max="9992" width="10.00390625" style="38" customWidth="1"/>
    <col min="9993" max="9994" width="9.140625" style="38" hidden="1" customWidth="1"/>
    <col min="9995" max="10238" width="9.140625" style="38" customWidth="1"/>
    <col min="10239" max="10239" width="3.7109375" style="38" customWidth="1"/>
    <col min="10240" max="10240" width="3.57421875" style="38" customWidth="1"/>
    <col min="10241" max="10241" width="3.421875" style="38" customWidth="1"/>
    <col min="10242" max="10242" width="40.28125" style="38" customWidth="1"/>
    <col min="10243" max="10243" width="10.28125" style="38" customWidth="1"/>
    <col min="10244" max="10244" width="9.7109375" style="38" customWidth="1"/>
    <col min="10245" max="10247" width="10.57421875" style="38" customWidth="1"/>
    <col min="10248" max="10248" width="10.00390625" style="38" customWidth="1"/>
    <col min="10249" max="10250" width="9.140625" style="38" hidden="1" customWidth="1"/>
    <col min="10251" max="10494" width="9.140625" style="38" customWidth="1"/>
    <col min="10495" max="10495" width="3.7109375" style="38" customWidth="1"/>
    <col min="10496" max="10496" width="3.57421875" style="38" customWidth="1"/>
    <col min="10497" max="10497" width="3.421875" style="38" customWidth="1"/>
    <col min="10498" max="10498" width="40.28125" style="38" customWidth="1"/>
    <col min="10499" max="10499" width="10.28125" style="38" customWidth="1"/>
    <col min="10500" max="10500" width="9.7109375" style="38" customWidth="1"/>
    <col min="10501" max="10503" width="10.57421875" style="38" customWidth="1"/>
    <col min="10504" max="10504" width="10.00390625" style="38" customWidth="1"/>
    <col min="10505" max="10506" width="9.140625" style="38" hidden="1" customWidth="1"/>
    <col min="10507" max="10750" width="9.140625" style="38" customWidth="1"/>
    <col min="10751" max="10751" width="3.7109375" style="38" customWidth="1"/>
    <col min="10752" max="10752" width="3.57421875" style="38" customWidth="1"/>
    <col min="10753" max="10753" width="3.421875" style="38" customWidth="1"/>
    <col min="10754" max="10754" width="40.28125" style="38" customWidth="1"/>
    <col min="10755" max="10755" width="10.28125" style="38" customWidth="1"/>
    <col min="10756" max="10756" width="9.7109375" style="38" customWidth="1"/>
    <col min="10757" max="10759" width="10.57421875" style="38" customWidth="1"/>
    <col min="10760" max="10760" width="10.00390625" style="38" customWidth="1"/>
    <col min="10761" max="10762" width="9.140625" style="38" hidden="1" customWidth="1"/>
    <col min="10763" max="11006" width="9.140625" style="38" customWidth="1"/>
    <col min="11007" max="11007" width="3.7109375" style="38" customWidth="1"/>
    <col min="11008" max="11008" width="3.57421875" style="38" customWidth="1"/>
    <col min="11009" max="11009" width="3.421875" style="38" customWidth="1"/>
    <col min="11010" max="11010" width="40.28125" style="38" customWidth="1"/>
    <col min="11011" max="11011" width="10.28125" style="38" customWidth="1"/>
    <col min="11012" max="11012" width="9.7109375" style="38" customWidth="1"/>
    <col min="11013" max="11015" width="10.57421875" style="38" customWidth="1"/>
    <col min="11016" max="11016" width="10.00390625" style="38" customWidth="1"/>
    <col min="11017" max="11018" width="9.140625" style="38" hidden="1" customWidth="1"/>
    <col min="11019" max="11262" width="9.140625" style="38" customWidth="1"/>
    <col min="11263" max="11263" width="3.7109375" style="38" customWidth="1"/>
    <col min="11264" max="11264" width="3.57421875" style="38" customWidth="1"/>
    <col min="11265" max="11265" width="3.421875" style="38" customWidth="1"/>
    <col min="11266" max="11266" width="40.28125" style="38" customWidth="1"/>
    <col min="11267" max="11267" width="10.28125" style="38" customWidth="1"/>
    <col min="11268" max="11268" width="9.7109375" style="38" customWidth="1"/>
    <col min="11269" max="11271" width="10.57421875" style="38" customWidth="1"/>
    <col min="11272" max="11272" width="10.00390625" style="38" customWidth="1"/>
    <col min="11273" max="11274" width="9.140625" style="38" hidden="1" customWidth="1"/>
    <col min="11275" max="11518" width="9.140625" style="38" customWidth="1"/>
    <col min="11519" max="11519" width="3.7109375" style="38" customWidth="1"/>
    <col min="11520" max="11520" width="3.57421875" style="38" customWidth="1"/>
    <col min="11521" max="11521" width="3.421875" style="38" customWidth="1"/>
    <col min="11522" max="11522" width="40.28125" style="38" customWidth="1"/>
    <col min="11523" max="11523" width="10.28125" style="38" customWidth="1"/>
    <col min="11524" max="11524" width="9.7109375" style="38" customWidth="1"/>
    <col min="11525" max="11527" width="10.57421875" style="38" customWidth="1"/>
    <col min="11528" max="11528" width="10.00390625" style="38" customWidth="1"/>
    <col min="11529" max="11530" width="9.140625" style="38" hidden="1" customWidth="1"/>
    <col min="11531" max="11774" width="9.140625" style="38" customWidth="1"/>
    <col min="11775" max="11775" width="3.7109375" style="38" customWidth="1"/>
    <col min="11776" max="11776" width="3.57421875" style="38" customWidth="1"/>
    <col min="11777" max="11777" width="3.421875" style="38" customWidth="1"/>
    <col min="11778" max="11778" width="40.28125" style="38" customWidth="1"/>
    <col min="11779" max="11779" width="10.28125" style="38" customWidth="1"/>
    <col min="11780" max="11780" width="9.7109375" style="38" customWidth="1"/>
    <col min="11781" max="11783" width="10.57421875" style="38" customWidth="1"/>
    <col min="11784" max="11784" width="10.00390625" style="38" customWidth="1"/>
    <col min="11785" max="11786" width="9.140625" style="38" hidden="1" customWidth="1"/>
    <col min="11787" max="12030" width="9.140625" style="38" customWidth="1"/>
    <col min="12031" max="12031" width="3.7109375" style="38" customWidth="1"/>
    <col min="12032" max="12032" width="3.57421875" style="38" customWidth="1"/>
    <col min="12033" max="12033" width="3.421875" style="38" customWidth="1"/>
    <col min="12034" max="12034" width="40.28125" style="38" customWidth="1"/>
    <col min="12035" max="12035" width="10.28125" style="38" customWidth="1"/>
    <col min="12036" max="12036" width="9.7109375" style="38" customWidth="1"/>
    <col min="12037" max="12039" width="10.57421875" style="38" customWidth="1"/>
    <col min="12040" max="12040" width="10.00390625" style="38" customWidth="1"/>
    <col min="12041" max="12042" width="9.140625" style="38" hidden="1" customWidth="1"/>
    <col min="12043" max="12286" width="9.140625" style="38" customWidth="1"/>
    <col min="12287" max="12287" width="3.7109375" style="38" customWidth="1"/>
    <col min="12288" max="12288" width="3.57421875" style="38" customWidth="1"/>
    <col min="12289" max="12289" width="3.421875" style="38" customWidth="1"/>
    <col min="12290" max="12290" width="40.28125" style="38" customWidth="1"/>
    <col min="12291" max="12291" width="10.28125" style="38" customWidth="1"/>
    <col min="12292" max="12292" width="9.7109375" style="38" customWidth="1"/>
    <col min="12293" max="12295" width="10.57421875" style="38" customWidth="1"/>
    <col min="12296" max="12296" width="10.00390625" style="38" customWidth="1"/>
    <col min="12297" max="12298" width="9.140625" style="38" hidden="1" customWidth="1"/>
    <col min="12299" max="12542" width="9.140625" style="38" customWidth="1"/>
    <col min="12543" max="12543" width="3.7109375" style="38" customWidth="1"/>
    <col min="12544" max="12544" width="3.57421875" style="38" customWidth="1"/>
    <col min="12545" max="12545" width="3.421875" style="38" customWidth="1"/>
    <col min="12546" max="12546" width="40.28125" style="38" customWidth="1"/>
    <col min="12547" max="12547" width="10.28125" style="38" customWidth="1"/>
    <col min="12548" max="12548" width="9.7109375" style="38" customWidth="1"/>
    <col min="12549" max="12551" width="10.57421875" style="38" customWidth="1"/>
    <col min="12552" max="12552" width="10.00390625" style="38" customWidth="1"/>
    <col min="12553" max="12554" width="9.140625" style="38" hidden="1" customWidth="1"/>
    <col min="12555" max="12798" width="9.140625" style="38" customWidth="1"/>
    <col min="12799" max="12799" width="3.7109375" style="38" customWidth="1"/>
    <col min="12800" max="12800" width="3.57421875" style="38" customWidth="1"/>
    <col min="12801" max="12801" width="3.421875" style="38" customWidth="1"/>
    <col min="12802" max="12802" width="40.28125" style="38" customWidth="1"/>
    <col min="12803" max="12803" width="10.28125" style="38" customWidth="1"/>
    <col min="12804" max="12804" width="9.7109375" style="38" customWidth="1"/>
    <col min="12805" max="12807" width="10.57421875" style="38" customWidth="1"/>
    <col min="12808" max="12808" width="10.00390625" style="38" customWidth="1"/>
    <col min="12809" max="12810" width="9.140625" style="38" hidden="1" customWidth="1"/>
    <col min="12811" max="13054" width="9.140625" style="38" customWidth="1"/>
    <col min="13055" max="13055" width="3.7109375" style="38" customWidth="1"/>
    <col min="13056" max="13056" width="3.57421875" style="38" customWidth="1"/>
    <col min="13057" max="13057" width="3.421875" style="38" customWidth="1"/>
    <col min="13058" max="13058" width="40.28125" style="38" customWidth="1"/>
    <col min="13059" max="13059" width="10.28125" style="38" customWidth="1"/>
    <col min="13060" max="13060" width="9.7109375" style="38" customWidth="1"/>
    <col min="13061" max="13063" width="10.57421875" style="38" customWidth="1"/>
    <col min="13064" max="13064" width="10.00390625" style="38" customWidth="1"/>
    <col min="13065" max="13066" width="9.140625" style="38" hidden="1" customWidth="1"/>
    <col min="13067" max="13310" width="9.140625" style="38" customWidth="1"/>
    <col min="13311" max="13311" width="3.7109375" style="38" customWidth="1"/>
    <col min="13312" max="13312" width="3.57421875" style="38" customWidth="1"/>
    <col min="13313" max="13313" width="3.421875" style="38" customWidth="1"/>
    <col min="13314" max="13314" width="40.28125" style="38" customWidth="1"/>
    <col min="13315" max="13315" width="10.28125" style="38" customWidth="1"/>
    <col min="13316" max="13316" width="9.7109375" style="38" customWidth="1"/>
    <col min="13317" max="13319" width="10.57421875" style="38" customWidth="1"/>
    <col min="13320" max="13320" width="10.00390625" style="38" customWidth="1"/>
    <col min="13321" max="13322" width="9.140625" style="38" hidden="1" customWidth="1"/>
    <col min="13323" max="13566" width="9.140625" style="38" customWidth="1"/>
    <col min="13567" max="13567" width="3.7109375" style="38" customWidth="1"/>
    <col min="13568" max="13568" width="3.57421875" style="38" customWidth="1"/>
    <col min="13569" max="13569" width="3.421875" style="38" customWidth="1"/>
    <col min="13570" max="13570" width="40.28125" style="38" customWidth="1"/>
    <col min="13571" max="13571" width="10.28125" style="38" customWidth="1"/>
    <col min="13572" max="13572" width="9.7109375" style="38" customWidth="1"/>
    <col min="13573" max="13575" width="10.57421875" style="38" customWidth="1"/>
    <col min="13576" max="13576" width="10.00390625" style="38" customWidth="1"/>
    <col min="13577" max="13578" width="9.140625" style="38" hidden="1" customWidth="1"/>
    <col min="13579" max="13822" width="9.140625" style="38" customWidth="1"/>
    <col min="13823" max="13823" width="3.7109375" style="38" customWidth="1"/>
    <col min="13824" max="13824" width="3.57421875" style="38" customWidth="1"/>
    <col min="13825" max="13825" width="3.421875" style="38" customWidth="1"/>
    <col min="13826" max="13826" width="40.28125" style="38" customWidth="1"/>
    <col min="13827" max="13827" width="10.28125" style="38" customWidth="1"/>
    <col min="13828" max="13828" width="9.7109375" style="38" customWidth="1"/>
    <col min="13829" max="13831" width="10.57421875" style="38" customWidth="1"/>
    <col min="13832" max="13832" width="10.00390625" style="38" customWidth="1"/>
    <col min="13833" max="13834" width="9.140625" style="38" hidden="1" customWidth="1"/>
    <col min="13835" max="14078" width="9.140625" style="38" customWidth="1"/>
    <col min="14079" max="14079" width="3.7109375" style="38" customWidth="1"/>
    <col min="14080" max="14080" width="3.57421875" style="38" customWidth="1"/>
    <col min="14081" max="14081" width="3.421875" style="38" customWidth="1"/>
    <col min="14082" max="14082" width="40.28125" style="38" customWidth="1"/>
    <col min="14083" max="14083" width="10.28125" style="38" customWidth="1"/>
    <col min="14084" max="14084" width="9.7109375" style="38" customWidth="1"/>
    <col min="14085" max="14087" width="10.57421875" style="38" customWidth="1"/>
    <col min="14088" max="14088" width="10.00390625" style="38" customWidth="1"/>
    <col min="14089" max="14090" width="9.140625" style="38" hidden="1" customWidth="1"/>
    <col min="14091" max="14334" width="9.140625" style="38" customWidth="1"/>
    <col min="14335" max="14335" width="3.7109375" style="38" customWidth="1"/>
    <col min="14336" max="14336" width="3.57421875" style="38" customWidth="1"/>
    <col min="14337" max="14337" width="3.421875" style="38" customWidth="1"/>
    <col min="14338" max="14338" width="40.28125" style="38" customWidth="1"/>
    <col min="14339" max="14339" width="10.28125" style="38" customWidth="1"/>
    <col min="14340" max="14340" width="9.7109375" style="38" customWidth="1"/>
    <col min="14341" max="14343" width="10.57421875" style="38" customWidth="1"/>
    <col min="14344" max="14344" width="10.00390625" style="38" customWidth="1"/>
    <col min="14345" max="14346" width="9.140625" style="38" hidden="1" customWidth="1"/>
    <col min="14347" max="14590" width="9.140625" style="38" customWidth="1"/>
    <col min="14591" max="14591" width="3.7109375" style="38" customWidth="1"/>
    <col min="14592" max="14592" width="3.57421875" style="38" customWidth="1"/>
    <col min="14593" max="14593" width="3.421875" style="38" customWidth="1"/>
    <col min="14594" max="14594" width="40.28125" style="38" customWidth="1"/>
    <col min="14595" max="14595" width="10.28125" style="38" customWidth="1"/>
    <col min="14596" max="14596" width="9.7109375" style="38" customWidth="1"/>
    <col min="14597" max="14599" width="10.57421875" style="38" customWidth="1"/>
    <col min="14600" max="14600" width="10.00390625" style="38" customWidth="1"/>
    <col min="14601" max="14602" width="9.140625" style="38" hidden="1" customWidth="1"/>
    <col min="14603" max="14846" width="9.140625" style="38" customWidth="1"/>
    <col min="14847" max="14847" width="3.7109375" style="38" customWidth="1"/>
    <col min="14848" max="14848" width="3.57421875" style="38" customWidth="1"/>
    <col min="14849" max="14849" width="3.421875" style="38" customWidth="1"/>
    <col min="14850" max="14850" width="40.28125" style="38" customWidth="1"/>
    <col min="14851" max="14851" width="10.28125" style="38" customWidth="1"/>
    <col min="14852" max="14852" width="9.7109375" style="38" customWidth="1"/>
    <col min="14853" max="14855" width="10.57421875" style="38" customWidth="1"/>
    <col min="14856" max="14856" width="10.00390625" style="38" customWidth="1"/>
    <col min="14857" max="14858" width="9.140625" style="38" hidden="1" customWidth="1"/>
    <col min="14859" max="15102" width="9.140625" style="38" customWidth="1"/>
    <col min="15103" max="15103" width="3.7109375" style="38" customWidth="1"/>
    <col min="15104" max="15104" width="3.57421875" style="38" customWidth="1"/>
    <col min="15105" max="15105" width="3.421875" style="38" customWidth="1"/>
    <col min="15106" max="15106" width="40.28125" style="38" customWidth="1"/>
    <col min="15107" max="15107" width="10.28125" style="38" customWidth="1"/>
    <col min="15108" max="15108" width="9.7109375" style="38" customWidth="1"/>
    <col min="15109" max="15111" width="10.57421875" style="38" customWidth="1"/>
    <col min="15112" max="15112" width="10.00390625" style="38" customWidth="1"/>
    <col min="15113" max="15114" width="9.140625" style="38" hidden="1" customWidth="1"/>
    <col min="15115" max="15358" width="9.140625" style="38" customWidth="1"/>
    <col min="15359" max="15359" width="3.7109375" style="38" customWidth="1"/>
    <col min="15360" max="15360" width="3.57421875" style="38" customWidth="1"/>
    <col min="15361" max="15361" width="3.421875" style="38" customWidth="1"/>
    <col min="15362" max="15362" width="40.28125" style="38" customWidth="1"/>
    <col min="15363" max="15363" width="10.28125" style="38" customWidth="1"/>
    <col min="15364" max="15364" width="9.7109375" style="38" customWidth="1"/>
    <col min="15365" max="15367" width="10.57421875" style="38" customWidth="1"/>
    <col min="15368" max="15368" width="10.00390625" style="38" customWidth="1"/>
    <col min="15369" max="15370" width="9.140625" style="38" hidden="1" customWidth="1"/>
    <col min="15371" max="15614" width="9.140625" style="38" customWidth="1"/>
    <col min="15615" max="15615" width="3.7109375" style="38" customWidth="1"/>
    <col min="15616" max="15616" width="3.57421875" style="38" customWidth="1"/>
    <col min="15617" max="15617" width="3.421875" style="38" customWidth="1"/>
    <col min="15618" max="15618" width="40.28125" style="38" customWidth="1"/>
    <col min="15619" max="15619" width="10.28125" style="38" customWidth="1"/>
    <col min="15620" max="15620" width="9.7109375" style="38" customWidth="1"/>
    <col min="15621" max="15623" width="10.57421875" style="38" customWidth="1"/>
    <col min="15624" max="15624" width="10.00390625" style="38" customWidth="1"/>
    <col min="15625" max="15626" width="9.140625" style="38" hidden="1" customWidth="1"/>
    <col min="15627" max="15870" width="9.140625" style="38" customWidth="1"/>
    <col min="15871" max="15871" width="3.7109375" style="38" customWidth="1"/>
    <col min="15872" max="15872" width="3.57421875" style="38" customWidth="1"/>
    <col min="15873" max="15873" width="3.421875" style="38" customWidth="1"/>
    <col min="15874" max="15874" width="40.28125" style="38" customWidth="1"/>
    <col min="15875" max="15875" width="10.28125" style="38" customWidth="1"/>
    <col min="15876" max="15876" width="9.7109375" style="38" customWidth="1"/>
    <col min="15877" max="15879" width="10.57421875" style="38" customWidth="1"/>
    <col min="15880" max="15880" width="10.00390625" style="38" customWidth="1"/>
    <col min="15881" max="15882" width="9.140625" style="38" hidden="1" customWidth="1"/>
    <col min="15883" max="16126" width="9.140625" style="38" customWidth="1"/>
    <col min="16127" max="16127" width="3.7109375" style="38" customWidth="1"/>
    <col min="16128" max="16128" width="3.57421875" style="38" customWidth="1"/>
    <col min="16129" max="16129" width="3.421875" style="38" customWidth="1"/>
    <col min="16130" max="16130" width="40.28125" style="38" customWidth="1"/>
    <col min="16131" max="16131" width="10.28125" style="38" customWidth="1"/>
    <col min="16132" max="16132" width="9.7109375" style="38" customWidth="1"/>
    <col min="16133" max="16135" width="10.57421875" style="38" customWidth="1"/>
    <col min="16136" max="16136" width="10.00390625" style="38" customWidth="1"/>
    <col min="16137" max="16138" width="9.140625" style="38" hidden="1" customWidth="1"/>
    <col min="16139" max="16384" width="9.140625" style="38" customWidth="1"/>
  </cols>
  <sheetData>
    <row r="1" spans="1:18" ht="12.75">
      <c r="A1" s="405" t="s">
        <v>497</v>
      </c>
      <c r="B1" s="405"/>
      <c r="C1" s="405"/>
      <c r="D1" s="405"/>
      <c r="E1" s="405"/>
      <c r="F1" s="405"/>
      <c r="G1" s="405"/>
      <c r="H1" s="405"/>
      <c r="I1" s="405"/>
      <c r="J1" s="405"/>
      <c r="K1" s="405"/>
      <c r="L1" s="405"/>
      <c r="M1" s="405"/>
      <c r="N1" s="405"/>
      <c r="O1" s="405"/>
      <c r="P1" s="405"/>
      <c r="Q1" s="405"/>
      <c r="R1" s="405"/>
    </row>
    <row r="2" spans="1:18" ht="12.75">
      <c r="A2" s="405" t="s">
        <v>498</v>
      </c>
      <c r="B2" s="405"/>
      <c r="C2" s="405"/>
      <c r="D2" s="405"/>
      <c r="E2" s="405"/>
      <c r="F2" s="405"/>
      <c r="G2" s="405"/>
      <c r="H2" s="405"/>
      <c r="I2" s="405"/>
      <c r="J2" s="405"/>
      <c r="K2" s="405"/>
      <c r="L2" s="405"/>
      <c r="M2" s="405"/>
      <c r="N2" s="405"/>
      <c r="O2" s="405"/>
      <c r="P2" s="405"/>
      <c r="Q2" s="405"/>
      <c r="R2" s="405"/>
    </row>
    <row r="3" spans="1:20" ht="12.75">
      <c r="A3" s="406" t="s">
        <v>437</v>
      </c>
      <c r="B3" s="406"/>
      <c r="C3" s="406"/>
      <c r="D3" s="406"/>
      <c r="E3" s="406"/>
      <c r="F3" s="406"/>
      <c r="G3" s="406"/>
      <c r="H3" s="406"/>
      <c r="I3" s="406"/>
      <c r="J3" s="406"/>
      <c r="K3" s="406"/>
      <c r="L3" s="406"/>
      <c r="M3" s="406"/>
      <c r="N3" s="406"/>
      <c r="O3" s="406"/>
      <c r="P3" s="406"/>
      <c r="Q3" s="406"/>
      <c r="R3" s="406"/>
      <c r="T3" s="252"/>
    </row>
    <row r="4" spans="1:20" ht="12.75">
      <c r="A4" s="364"/>
      <c r="B4" s="364"/>
      <c r="C4" s="364"/>
      <c r="D4" s="364"/>
      <c r="E4" s="364"/>
      <c r="F4" s="364"/>
      <c r="G4" s="364"/>
      <c r="H4" s="364"/>
      <c r="I4" s="364"/>
      <c r="J4" s="364"/>
      <c r="K4" s="364"/>
      <c r="L4" s="364"/>
      <c r="M4" s="364"/>
      <c r="N4" s="364"/>
      <c r="O4" s="364"/>
      <c r="P4" s="364"/>
      <c r="Q4" s="364"/>
      <c r="R4" s="364"/>
      <c r="T4" s="252"/>
    </row>
    <row r="5" spans="6:20" ht="12.75">
      <c r="F5" s="373"/>
      <c r="G5" s="404" t="s">
        <v>529</v>
      </c>
      <c r="H5" s="404"/>
      <c r="I5" s="404"/>
      <c r="J5" s="404"/>
      <c r="K5" s="404"/>
      <c r="L5" s="278" t="s">
        <v>530</v>
      </c>
      <c r="M5" s="404" t="s">
        <v>526</v>
      </c>
      <c r="N5" s="404"/>
      <c r="O5" s="278"/>
      <c r="P5" s="363"/>
      <c r="Q5" s="194"/>
      <c r="R5" s="194"/>
      <c r="T5" s="252"/>
    </row>
    <row r="6" spans="7:20" ht="12.75">
      <c r="G6" s="363" t="s">
        <v>162</v>
      </c>
      <c r="H6" s="363" t="s">
        <v>163</v>
      </c>
      <c r="I6" s="363" t="s">
        <v>164</v>
      </c>
      <c r="J6" s="363" t="s">
        <v>165</v>
      </c>
      <c r="K6" s="264" t="s">
        <v>166</v>
      </c>
      <c r="L6" s="363" t="s">
        <v>167</v>
      </c>
      <c r="M6" s="363" t="s">
        <v>255</v>
      </c>
      <c r="N6" s="363" t="s">
        <v>256</v>
      </c>
      <c r="O6" s="363"/>
      <c r="P6" s="277" t="s">
        <v>257</v>
      </c>
      <c r="Q6" s="277"/>
      <c r="R6" s="279" t="s">
        <v>258</v>
      </c>
      <c r="T6" s="252"/>
    </row>
    <row r="7" spans="1:20" ht="12.75">
      <c r="A7" s="193"/>
      <c r="B7" s="193"/>
      <c r="C7" s="193"/>
      <c r="D7" s="193"/>
      <c r="E7" s="277">
        <v>2012</v>
      </c>
      <c r="F7" s="277">
        <v>2013</v>
      </c>
      <c r="G7" s="277">
        <v>2014</v>
      </c>
      <c r="H7" s="277">
        <v>2015</v>
      </c>
      <c r="I7" s="280">
        <v>2016</v>
      </c>
      <c r="J7" s="280">
        <v>2017</v>
      </c>
      <c r="K7" s="280">
        <v>2018</v>
      </c>
      <c r="L7" s="277">
        <v>2019</v>
      </c>
      <c r="M7" s="277">
        <v>2020</v>
      </c>
      <c r="N7" s="277">
        <v>2021</v>
      </c>
      <c r="O7" s="277"/>
      <c r="P7" s="277" t="s">
        <v>496</v>
      </c>
      <c r="Q7" s="277"/>
      <c r="R7" s="277" t="s">
        <v>528</v>
      </c>
      <c r="T7" s="252"/>
    </row>
    <row r="8" spans="1:20" ht="12.75">
      <c r="A8" s="193">
        <v>1</v>
      </c>
      <c r="B8" s="193" t="s">
        <v>499</v>
      </c>
      <c r="C8" s="193"/>
      <c r="D8" s="193"/>
      <c r="E8" s="365">
        <v>203712</v>
      </c>
      <c r="F8" s="27">
        <v>201933.01797999998</v>
      </c>
      <c r="G8" s="27">
        <v>201344.82979999998</v>
      </c>
      <c r="H8" s="27">
        <v>200265.31733000002</v>
      </c>
      <c r="I8" s="366">
        <v>218716.583</v>
      </c>
      <c r="J8" s="366">
        <v>219265.31097</v>
      </c>
      <c r="K8" s="366">
        <v>241464</v>
      </c>
      <c r="L8" s="366">
        <v>241378.38299</v>
      </c>
      <c r="M8" s="366">
        <f>+'Modeling results'!B8</f>
        <v>249767.00051788118</v>
      </c>
      <c r="N8" s="366">
        <f>+'Modeling results'!C8</f>
        <v>249746.61916842868</v>
      </c>
      <c r="O8" s="193"/>
      <c r="P8" s="193"/>
      <c r="Q8" s="193"/>
      <c r="R8" s="179"/>
      <c r="T8" s="252"/>
    </row>
    <row r="9" spans="1:18" ht="12.75">
      <c r="A9" s="193">
        <v>2</v>
      </c>
      <c r="B9" s="193" t="s">
        <v>500</v>
      </c>
      <c r="C9" s="193"/>
      <c r="D9" s="193"/>
      <c r="F9" s="27"/>
      <c r="G9" s="27"/>
      <c r="H9" s="365"/>
      <c r="I9" s="366"/>
      <c r="J9" s="366"/>
      <c r="K9" s="366"/>
      <c r="L9" s="367"/>
      <c r="M9" s="367"/>
      <c r="N9" s="367"/>
      <c r="O9" s="368"/>
      <c r="P9" s="193"/>
      <c r="Q9" s="193"/>
      <c r="R9" s="179"/>
    </row>
    <row r="10" spans="1:18" ht="12.75">
      <c r="A10" s="193">
        <v>3</v>
      </c>
      <c r="B10" s="193"/>
      <c r="C10" s="193" t="s">
        <v>501</v>
      </c>
      <c r="D10" s="193"/>
      <c r="E10" s="27">
        <v>1611</v>
      </c>
      <c r="F10" s="27">
        <v>-26484.51888</v>
      </c>
      <c r="G10" s="27">
        <v>971.95</v>
      </c>
      <c r="H10" s="27">
        <v>716.35005</v>
      </c>
      <c r="I10" s="366">
        <v>733.69998</v>
      </c>
      <c r="J10" s="366">
        <v>279.50199</v>
      </c>
      <c r="K10" s="366">
        <v>-36</v>
      </c>
      <c r="L10" s="366">
        <v>277.74798</v>
      </c>
      <c r="M10" s="366">
        <f>+'cost table'!D14</f>
        <v>1200</v>
      </c>
      <c r="N10" s="366">
        <f>+'cost table'!E14</f>
        <v>1200</v>
      </c>
      <c r="P10" s="193"/>
      <c r="Q10" s="193"/>
      <c r="R10" s="179"/>
    </row>
    <row r="11" spans="1:18" ht="12.75">
      <c r="A11" s="193">
        <v>4</v>
      </c>
      <c r="B11" s="193"/>
      <c r="C11" s="193" t="s">
        <v>199</v>
      </c>
      <c r="D11" s="193"/>
      <c r="E11" s="27">
        <v>285465</v>
      </c>
      <c r="F11" s="27">
        <v>235453.72478</v>
      </c>
      <c r="G11" s="27">
        <v>-20167.831439999998</v>
      </c>
      <c r="H11" s="365">
        <v>40552.9718</v>
      </c>
      <c r="I11" s="366">
        <v>43733.05539</v>
      </c>
      <c r="J11" s="366">
        <v>34496.59218</v>
      </c>
      <c r="K11" s="366">
        <v>40599</v>
      </c>
      <c r="L11" s="367">
        <v>41427.60852</v>
      </c>
      <c r="M11" s="367">
        <f>+'cost table'!D15</f>
        <v>431</v>
      </c>
      <c r="N11" s="367">
        <f>+'cost table'!E15</f>
        <v>331</v>
      </c>
      <c r="O11" s="63" t="s">
        <v>235</v>
      </c>
      <c r="P11" s="193"/>
      <c r="Q11" s="193"/>
      <c r="R11" s="179"/>
    </row>
    <row r="12" spans="1:18" ht="12.75">
      <c r="A12" s="193">
        <v>5</v>
      </c>
      <c r="B12" s="193"/>
      <c r="C12" s="193" t="s">
        <v>502</v>
      </c>
      <c r="D12" s="193"/>
      <c r="E12" s="27">
        <v>394155</v>
      </c>
      <c r="F12" s="27">
        <v>427000.78177000006</v>
      </c>
      <c r="G12" s="27">
        <v>387812.71608</v>
      </c>
      <c r="H12" s="365">
        <v>396842.37854</v>
      </c>
      <c r="I12" s="366">
        <v>354613.51085</v>
      </c>
      <c r="J12" s="366">
        <v>434583.73673</v>
      </c>
      <c r="K12" s="366">
        <v>413829</v>
      </c>
      <c r="L12" s="366">
        <v>450904.24759</v>
      </c>
      <c r="M12" s="367">
        <f>+'cost table'!D5</f>
        <v>262470.836</v>
      </c>
      <c r="N12" s="367">
        <f>+'cost table'!E5</f>
        <v>319461.597</v>
      </c>
      <c r="O12" s="63" t="s">
        <v>235</v>
      </c>
      <c r="P12" s="369">
        <f>AVERAGE(M12:N12)</f>
        <v>290966.2165</v>
      </c>
      <c r="Q12" s="63" t="s">
        <v>333</v>
      </c>
      <c r="R12" s="179">
        <f>+P12-N12</f>
        <v>-28495.38050000003</v>
      </c>
    </row>
    <row r="13" spans="1:18" ht="12.75">
      <c r="A13" s="193">
        <v>6</v>
      </c>
      <c r="B13" s="193"/>
      <c r="C13" s="193" t="s">
        <v>203</v>
      </c>
      <c r="D13" s="193"/>
      <c r="E13" s="27">
        <v>158713</v>
      </c>
      <c r="F13" s="27">
        <v>170736.60737</v>
      </c>
      <c r="G13" s="27">
        <v>58394.67768</v>
      </c>
      <c r="H13" s="27">
        <v>59863.00639</v>
      </c>
      <c r="I13" s="366">
        <v>69102.49541</v>
      </c>
      <c r="J13" s="366">
        <v>58832.13481</v>
      </c>
      <c r="K13" s="366">
        <v>55816</v>
      </c>
      <c r="L13" s="366">
        <v>42816.65154</v>
      </c>
      <c r="M13" s="366">
        <v>0</v>
      </c>
      <c r="N13" s="366">
        <v>0</v>
      </c>
      <c r="O13" s="63" t="s">
        <v>235</v>
      </c>
      <c r="P13" s="193"/>
      <c r="Q13" s="193"/>
      <c r="R13" s="179"/>
    </row>
    <row r="14" spans="1:21" ht="12.75">
      <c r="A14" s="193">
        <v>7</v>
      </c>
      <c r="B14" s="193"/>
      <c r="C14" s="193" t="s">
        <v>503</v>
      </c>
      <c r="D14" s="193"/>
      <c r="E14" s="27">
        <v>194065</v>
      </c>
      <c r="F14" s="27">
        <v>194200.87425</v>
      </c>
      <c r="G14" s="27">
        <v>229824.78925</v>
      </c>
      <c r="H14" s="27">
        <v>93230.18662000001</v>
      </c>
      <c r="I14" s="366">
        <v>109539.58863</v>
      </c>
      <c r="J14" s="366">
        <v>139036.83688</v>
      </c>
      <c r="K14" s="366">
        <v>147860</v>
      </c>
      <c r="L14" s="366">
        <v>277115.56201</v>
      </c>
      <c r="M14" s="366">
        <f>+'Modeling results'!B12+'Modeling results'!B13</f>
        <v>69917.11230993233</v>
      </c>
      <c r="N14" s="366">
        <f>+'Modeling results'!C12+'Modeling results'!C13</f>
        <v>53998.16375235271</v>
      </c>
      <c r="O14" s="193"/>
      <c r="P14" s="193"/>
      <c r="Q14" s="193"/>
      <c r="R14" s="179"/>
      <c r="T14" s="179"/>
      <c r="U14" s="179"/>
    </row>
    <row r="15" spans="1:21" ht="12.75">
      <c r="A15" s="193">
        <v>8</v>
      </c>
      <c r="B15" s="193"/>
      <c r="C15" s="193" t="s">
        <v>77</v>
      </c>
      <c r="D15" s="193"/>
      <c r="E15" s="27">
        <v>2935</v>
      </c>
      <c r="F15" s="27">
        <v>3403.74734</v>
      </c>
      <c r="G15" s="27">
        <v>2749.89941</v>
      </c>
      <c r="H15" s="27">
        <v>3088.845</v>
      </c>
      <c r="I15" s="366">
        <v>2296.555</v>
      </c>
      <c r="J15" s="366">
        <v>3427.254</v>
      </c>
      <c r="K15" s="366">
        <v>2970</v>
      </c>
      <c r="L15" s="366">
        <v>2966.00002</v>
      </c>
      <c r="M15" s="366">
        <f>+'cost table'!D16</f>
        <v>3100</v>
      </c>
      <c r="N15" s="366">
        <f>+'cost table'!E16</f>
        <v>3100</v>
      </c>
      <c r="O15" s="193"/>
      <c r="P15" s="193"/>
      <c r="Q15" s="193"/>
      <c r="R15" s="179"/>
      <c r="T15" s="179"/>
      <c r="U15" s="179"/>
    </row>
    <row r="16" spans="1:21" ht="12.75">
      <c r="A16" s="193">
        <v>9</v>
      </c>
      <c r="B16" s="193"/>
      <c r="C16" s="191" t="s">
        <v>504</v>
      </c>
      <c r="D16" s="193"/>
      <c r="E16" s="27">
        <v>8456</v>
      </c>
      <c r="F16" s="27">
        <v>23382.409</v>
      </c>
      <c r="G16" s="27">
        <v>4925.139</v>
      </c>
      <c r="H16" s="27">
        <v>24648.486</v>
      </c>
      <c r="I16" s="366">
        <v>22056.7594</v>
      </c>
      <c r="J16" s="366">
        <v>26580.4696</v>
      </c>
      <c r="K16" s="366">
        <v>29909</v>
      </c>
      <c r="L16" s="366">
        <v>41128.397</v>
      </c>
      <c r="M16" s="366">
        <f>+'Modeling results'!B14</f>
        <v>12992.7684687405</v>
      </c>
      <c r="N16" s="366">
        <f>+'Modeling results'!C14</f>
        <v>16878.759281383962</v>
      </c>
      <c r="O16" s="193"/>
      <c r="P16" s="193"/>
      <c r="Q16" s="193"/>
      <c r="R16" s="179"/>
      <c r="T16" s="179"/>
      <c r="U16" s="179"/>
    </row>
    <row r="17" spans="1:21" ht="12.75">
      <c r="A17" s="193">
        <v>10</v>
      </c>
      <c r="C17" s="193" t="s">
        <v>505</v>
      </c>
      <c r="D17" s="193"/>
      <c r="E17" s="27">
        <v>-107</v>
      </c>
      <c r="F17" s="27">
        <v>0</v>
      </c>
      <c r="G17" s="27">
        <v>0</v>
      </c>
      <c r="H17" s="27">
        <v>0</v>
      </c>
      <c r="I17" s="366">
        <v>0</v>
      </c>
      <c r="J17" s="366">
        <v>0</v>
      </c>
      <c r="K17" s="366">
        <v>0</v>
      </c>
      <c r="L17" s="366">
        <v>0</v>
      </c>
      <c r="M17" s="366">
        <f>+'Modeling results'!B11</f>
        <v>0</v>
      </c>
      <c r="N17" s="366">
        <f>+'Modeling results'!C11</f>
        <v>0</v>
      </c>
      <c r="O17" s="193"/>
      <c r="P17" s="369">
        <f>AVERAGE(M17:N17)</f>
        <v>0</v>
      </c>
      <c r="Q17" s="63" t="s">
        <v>333</v>
      </c>
      <c r="R17" s="179">
        <f>+P17-N17</f>
        <v>0</v>
      </c>
      <c r="T17" s="179"/>
      <c r="U17" s="179"/>
    </row>
    <row r="18" spans="1:21" ht="12.75">
      <c r="A18" s="193">
        <v>11</v>
      </c>
      <c r="C18" s="193" t="s">
        <v>506</v>
      </c>
      <c r="D18" s="193"/>
      <c r="E18" s="27">
        <v>39335</v>
      </c>
      <c r="F18" s="27">
        <v>38535.77657</v>
      </c>
      <c r="G18" s="27">
        <v>32708.844390000002</v>
      </c>
      <c r="H18" s="27">
        <v>35614.496810000004</v>
      </c>
      <c r="I18" s="366">
        <v>29685.49164</v>
      </c>
      <c r="J18" s="366">
        <v>20461.38584</v>
      </c>
      <c r="K18" s="366">
        <v>20072</v>
      </c>
      <c r="L18" s="366">
        <v>11406.567819999998</v>
      </c>
      <c r="M18" s="370">
        <f>SUM('cost table'!D8:D12)</f>
        <v>12708.602</v>
      </c>
      <c r="N18" s="370">
        <f>SUM('cost table'!E8:E12)</f>
        <v>13250</v>
      </c>
      <c r="O18" s="193"/>
      <c r="P18" s="193"/>
      <c r="Q18" s="193"/>
      <c r="R18" s="179"/>
      <c r="T18" s="179"/>
      <c r="U18" s="179"/>
    </row>
    <row r="19" spans="1:21" ht="12.75">
      <c r="A19" s="193">
        <v>12</v>
      </c>
      <c r="C19" s="193" t="s">
        <v>84</v>
      </c>
      <c r="D19" s="193"/>
      <c r="E19" s="27">
        <v>34036</v>
      </c>
      <c r="F19" s="27">
        <v>30462.67687</v>
      </c>
      <c r="G19" s="27">
        <v>35843.179200000006</v>
      </c>
      <c r="H19" s="27">
        <v>31464.18692</v>
      </c>
      <c r="I19" s="366">
        <v>36283.75352</v>
      </c>
      <c r="J19" s="366">
        <v>32279.924260000003</v>
      </c>
      <c r="K19" s="366">
        <v>34692</v>
      </c>
      <c r="L19" s="366">
        <v>35332.1166</v>
      </c>
      <c r="M19" s="366">
        <f>'IPR Data'!C24/1000</f>
        <v>36523</v>
      </c>
      <c r="N19" s="366">
        <f>'IPR Data'!D24/1000</f>
        <v>34869</v>
      </c>
      <c r="O19" s="63"/>
      <c r="P19" s="193"/>
      <c r="Q19" s="193"/>
      <c r="R19" s="179"/>
      <c r="T19" s="179"/>
      <c r="U19" s="179"/>
    </row>
    <row r="20" spans="1:21" ht="12.75">
      <c r="A20" s="193">
        <v>13</v>
      </c>
      <c r="C20" s="193" t="s">
        <v>507</v>
      </c>
      <c r="D20" s="193"/>
      <c r="E20" s="27">
        <v>0</v>
      </c>
      <c r="F20" s="27">
        <v>0</v>
      </c>
      <c r="G20" s="27">
        <v>0</v>
      </c>
      <c r="H20" s="27">
        <v>0</v>
      </c>
      <c r="I20" s="366">
        <v>0</v>
      </c>
      <c r="J20" s="366">
        <v>0</v>
      </c>
      <c r="K20" s="366">
        <v>0</v>
      </c>
      <c r="L20" s="366">
        <v>0</v>
      </c>
      <c r="M20" s="366">
        <v>0</v>
      </c>
      <c r="N20" s="366">
        <v>0</v>
      </c>
      <c r="O20" s="193"/>
      <c r="P20" s="193"/>
      <c r="Q20" s="193"/>
      <c r="R20" s="179"/>
      <c r="T20" s="179"/>
      <c r="U20" s="179"/>
    </row>
    <row r="21" spans="1:21" ht="12.75">
      <c r="A21" s="193">
        <v>14</v>
      </c>
      <c r="C21" s="191" t="s">
        <v>508</v>
      </c>
      <c r="D21" s="193"/>
      <c r="E21" s="24">
        <v>-61972</v>
      </c>
      <c r="F21" s="24">
        <v>-66587.3726</v>
      </c>
      <c r="G21" s="24">
        <v>-38280.91085</v>
      </c>
      <c r="H21" s="24">
        <v>-44503.79903</v>
      </c>
      <c r="I21" s="371">
        <v>-22063.685269999998</v>
      </c>
      <c r="J21" s="371">
        <v>-21453.05561</v>
      </c>
      <c r="K21" s="371">
        <v>-20380</v>
      </c>
      <c r="L21" s="371">
        <v>-15038.875970000001</v>
      </c>
      <c r="M21" s="371">
        <v>0</v>
      </c>
      <c r="N21" s="371">
        <v>0</v>
      </c>
      <c r="O21" s="63" t="s">
        <v>334</v>
      </c>
      <c r="P21" s="193"/>
      <c r="Q21" s="193"/>
      <c r="R21" s="179"/>
      <c r="T21" s="179"/>
      <c r="U21" s="179"/>
    </row>
    <row r="22" spans="1:21" ht="12.75">
      <c r="A22" s="193">
        <v>15</v>
      </c>
      <c r="B22" s="193" t="s">
        <v>509</v>
      </c>
      <c r="C22" s="193"/>
      <c r="D22" s="193"/>
      <c r="E22" s="24">
        <v>1056692</v>
      </c>
      <c r="F22" s="24">
        <v>1030104.7064700002</v>
      </c>
      <c r="G22" s="24">
        <v>694782.45272</v>
      </c>
      <c r="H22" s="24">
        <v>641517.1091000001</v>
      </c>
      <c r="I22" s="371">
        <f aca="true" t="shared" si="0" ref="I22:N22">SUM(I10:I21)</f>
        <v>645981.22455</v>
      </c>
      <c r="J22" s="371">
        <f t="shared" si="0"/>
        <v>728524.7806799999</v>
      </c>
      <c r="K22" s="371">
        <f t="shared" si="0"/>
        <v>725331</v>
      </c>
      <c r="L22" s="371">
        <f t="shared" si="0"/>
        <v>888336.02311</v>
      </c>
      <c r="M22" s="371">
        <f t="shared" si="0"/>
        <v>399343.3187786729</v>
      </c>
      <c r="N22" s="371">
        <f t="shared" si="0"/>
        <v>443088.52003373666</v>
      </c>
      <c r="O22" s="193"/>
      <c r="P22" s="27"/>
      <c r="Q22" s="193"/>
      <c r="R22" s="179"/>
      <c r="T22" s="179"/>
      <c r="U22" s="179"/>
    </row>
    <row r="23" spans="1:21" ht="12.75">
      <c r="A23" s="193">
        <v>16</v>
      </c>
      <c r="B23" s="193" t="s">
        <v>510</v>
      </c>
      <c r="C23" s="193"/>
      <c r="D23" s="193"/>
      <c r="E23" s="27">
        <v>1260404</v>
      </c>
      <c r="F23" s="27">
        <v>1232037.72445</v>
      </c>
      <c r="G23" s="27">
        <v>896127.2825199999</v>
      </c>
      <c r="H23" s="27">
        <v>841782.4264300001</v>
      </c>
      <c r="I23" s="366">
        <f aca="true" t="shared" si="1" ref="I23:N23">I22+I8</f>
        <v>864697.80755</v>
      </c>
      <c r="J23" s="366">
        <f t="shared" si="1"/>
        <v>947790.0916499998</v>
      </c>
      <c r="K23" s="366">
        <f t="shared" si="1"/>
        <v>966795</v>
      </c>
      <c r="L23" s="366">
        <f t="shared" si="1"/>
        <v>1129714.4061</v>
      </c>
      <c r="M23" s="366">
        <f t="shared" si="1"/>
        <v>649110.3192965541</v>
      </c>
      <c r="N23" s="366">
        <f t="shared" si="1"/>
        <v>692835.1392021653</v>
      </c>
      <c r="O23" s="193"/>
      <c r="P23" s="369">
        <f>+P17+P12</f>
        <v>290966.2165</v>
      </c>
      <c r="Q23" s="63" t="s">
        <v>333</v>
      </c>
      <c r="R23" s="269">
        <f>+R17+R12</f>
        <v>-28495.38050000003</v>
      </c>
      <c r="T23" s="179"/>
      <c r="U23" s="179"/>
    </row>
    <row r="24" spans="2:21" ht="12.75">
      <c r="B24" s="193"/>
      <c r="D24" s="193"/>
      <c r="E24" s="27"/>
      <c r="F24" s="27"/>
      <c r="G24" s="27"/>
      <c r="H24" s="27"/>
      <c r="I24" s="366"/>
      <c r="J24" s="366"/>
      <c r="K24" s="366"/>
      <c r="L24" s="366"/>
      <c r="M24" s="366"/>
      <c r="N24" s="366"/>
      <c r="O24" s="193"/>
      <c r="P24" s="193"/>
      <c r="Q24" s="193"/>
      <c r="R24" s="193"/>
      <c r="T24" s="179"/>
      <c r="U24" s="179"/>
    </row>
    <row r="25" spans="1:21" ht="12.75">
      <c r="A25" s="193">
        <v>17</v>
      </c>
      <c r="B25" s="193" t="s">
        <v>511</v>
      </c>
      <c r="C25" s="193"/>
      <c r="D25" s="193"/>
      <c r="E25" s="27"/>
      <c r="F25" s="27"/>
      <c r="G25" s="27"/>
      <c r="H25" s="27"/>
      <c r="I25" s="366"/>
      <c r="J25" s="366"/>
      <c r="K25" s="366"/>
      <c r="L25" s="366"/>
      <c r="M25" s="366"/>
      <c r="N25" s="366"/>
      <c r="O25" s="193"/>
      <c r="P25" s="193"/>
      <c r="Q25" s="193"/>
      <c r="R25" s="193"/>
      <c r="T25" s="179"/>
      <c r="U25" s="179"/>
    </row>
    <row r="26" spans="1:21" ht="12.75">
      <c r="A26" s="193">
        <v>18</v>
      </c>
      <c r="B26" s="193"/>
      <c r="C26" s="193" t="s">
        <v>512</v>
      </c>
      <c r="D26" s="193"/>
      <c r="E26" s="27">
        <v>17243</v>
      </c>
      <c r="F26" s="27">
        <v>17820.267640000002</v>
      </c>
      <c r="G26" s="27">
        <v>18501.029329999998</v>
      </c>
      <c r="H26" s="27">
        <v>18819</v>
      </c>
      <c r="I26" s="366">
        <v>17743.314</v>
      </c>
      <c r="J26" s="366">
        <v>13106.33579</v>
      </c>
      <c r="K26" s="366">
        <v>20601</v>
      </c>
      <c r="L26" s="366">
        <v>20289.52298</v>
      </c>
      <c r="M26" s="366">
        <f>+'IPR Data'!C58/1000</f>
        <v>19576.718</v>
      </c>
      <c r="N26" s="366">
        <f>+'IPR Data'!D58/1000</f>
        <v>20830.898</v>
      </c>
      <c r="O26" s="193"/>
      <c r="P26" s="193"/>
      <c r="Q26" s="193"/>
      <c r="R26" s="193"/>
      <c r="T26" s="179"/>
      <c r="U26" s="179"/>
    </row>
    <row r="27" spans="1:21" ht="12.75">
      <c r="A27" s="193">
        <v>19</v>
      </c>
      <c r="B27" s="193"/>
      <c r="C27" s="192" t="s">
        <v>513</v>
      </c>
      <c r="D27" s="193"/>
      <c r="E27" s="27">
        <v>50417</v>
      </c>
      <c r="F27" s="27">
        <v>50273.07198</v>
      </c>
      <c r="G27" s="27">
        <v>49247.10736</v>
      </c>
      <c r="H27" s="27">
        <v>49966.1219</v>
      </c>
      <c r="I27" s="366">
        <v>50697.727040000005</v>
      </c>
      <c r="J27" s="366">
        <v>49777.36263000001</v>
      </c>
      <c r="K27" s="366">
        <v>48009</v>
      </c>
      <c r="L27" s="366">
        <v>49319.75078</v>
      </c>
      <c r="M27" s="366">
        <f>('IPR Data'!C40+'IPR Data'!C50+'IPR Data'!C51+'IPR Data'!C52+'IPR Data'!C45+'IPR Data'!C46+'IPR Data'!C47+'IPR Data'!C49)/1000</f>
        <v>55038.05</v>
      </c>
      <c r="N27" s="366">
        <f>('IPR Data'!D40+'IPR Data'!D50+'IPR Data'!D51+'IPR Data'!D52+'IPR Data'!D45+'IPR Data'!D46+'IPR Data'!D47+'IPR Data'!D49)/1000</f>
        <v>56379.988</v>
      </c>
      <c r="O27" s="193"/>
      <c r="P27" s="193"/>
      <c r="Q27" s="193"/>
      <c r="R27" s="193"/>
      <c r="T27" s="179"/>
      <c r="U27" s="179"/>
    </row>
    <row r="28" spans="1:21" ht="12.75">
      <c r="A28" s="193">
        <v>20</v>
      </c>
      <c r="B28" s="193"/>
      <c r="C28" s="192" t="s">
        <v>514</v>
      </c>
      <c r="D28" s="193"/>
      <c r="E28" s="27">
        <v>13711</v>
      </c>
      <c r="F28" s="27">
        <v>14158.278839999999</v>
      </c>
      <c r="G28" s="27">
        <v>11545.30338</v>
      </c>
      <c r="H28" s="27">
        <v>12043.522509999999</v>
      </c>
      <c r="I28" s="366">
        <v>12608.210070000001</v>
      </c>
      <c r="J28" s="366">
        <v>12406.53909</v>
      </c>
      <c r="K28" s="366">
        <v>8173</v>
      </c>
      <c r="L28" s="366">
        <v>14156.784109999999</v>
      </c>
      <c r="M28" s="366">
        <f>+('IPR Data'!C44+'IPR Data'!C41+'IPR Data'!C48)/1000</f>
        <v>13328.56</v>
      </c>
      <c r="N28" s="366">
        <f>+('IPR Data'!D44+'IPR Data'!D41+'IPR Data'!D48)/1000</f>
        <v>13555.068</v>
      </c>
      <c r="O28" s="193"/>
      <c r="P28" s="193"/>
      <c r="Q28" s="193"/>
      <c r="R28" s="193"/>
      <c r="T28" s="179"/>
      <c r="U28" s="179"/>
    </row>
    <row r="29" spans="1:18" ht="12.75">
      <c r="A29" s="193">
        <v>21</v>
      </c>
      <c r="B29" s="193"/>
      <c r="C29" s="191" t="s">
        <v>515</v>
      </c>
      <c r="D29" s="193"/>
      <c r="E29" s="27">
        <v>15791</v>
      </c>
      <c r="F29" s="27">
        <v>14870.78415</v>
      </c>
      <c r="G29" s="27">
        <v>14861.301800000001</v>
      </c>
      <c r="H29" s="27">
        <v>15144.814199999999</v>
      </c>
      <c r="I29" s="366">
        <v>15357.525830000002</v>
      </c>
      <c r="J29" s="366">
        <v>14991.73039</v>
      </c>
      <c r="K29" s="366">
        <v>14012</v>
      </c>
      <c r="L29" s="366">
        <v>16352.984829999998</v>
      </c>
      <c r="M29" s="366">
        <f>+'IPR Data'!C42/1000+'IPR Data'!C43/1000</f>
        <v>14448.954999999998</v>
      </c>
      <c r="N29" s="366">
        <f>+'IPR Data'!D42/1000+'IPR Data'!D43/1000</f>
        <v>14987.378</v>
      </c>
      <c r="O29" s="193"/>
      <c r="P29" s="193"/>
      <c r="Q29" s="193"/>
      <c r="R29" s="193"/>
    </row>
    <row r="30" spans="1:18" ht="12.75">
      <c r="A30" s="193">
        <v>22</v>
      </c>
      <c r="B30" s="193"/>
      <c r="C30" s="191" t="s">
        <v>516</v>
      </c>
      <c r="D30" s="193"/>
      <c r="E30" s="27">
        <v>40209</v>
      </c>
      <c r="F30" s="27">
        <v>36078.47946</v>
      </c>
      <c r="G30" s="27">
        <v>37531.45584999999</v>
      </c>
      <c r="H30" s="27">
        <v>43432.47587</v>
      </c>
      <c r="I30" s="366">
        <v>123484.23318</v>
      </c>
      <c r="J30" s="366">
        <v>117412.79469000001</v>
      </c>
      <c r="K30" s="366">
        <v>128166</v>
      </c>
      <c r="L30" s="366">
        <v>115434.94574999998</v>
      </c>
      <c r="M30" s="366">
        <f>SUM('IPR Data'!C34/1000)</f>
        <v>121529.703</v>
      </c>
      <c r="N30" s="366">
        <f>SUM('IPR Data'!D34/1000)</f>
        <v>121643.703</v>
      </c>
      <c r="O30" s="193"/>
      <c r="P30" s="193"/>
      <c r="Q30" s="193"/>
      <c r="R30" s="193"/>
    </row>
    <row r="31" spans="1:18" ht="12.75">
      <c r="A31" s="193">
        <v>23</v>
      </c>
      <c r="B31" s="193"/>
      <c r="C31" s="191" t="s">
        <v>38</v>
      </c>
      <c r="D31" s="193"/>
      <c r="E31" s="27">
        <v>9240</v>
      </c>
      <c r="F31" s="27">
        <v>10118.3311</v>
      </c>
      <c r="G31" s="27">
        <v>9726.6689</v>
      </c>
      <c r="H31" s="27">
        <v>9870.195</v>
      </c>
      <c r="I31" s="366">
        <v>10720</v>
      </c>
      <c r="J31" s="366">
        <v>10765.593369999999</v>
      </c>
      <c r="K31" s="366">
        <v>10969</v>
      </c>
      <c r="L31" s="366">
        <v>11708.00002</v>
      </c>
      <c r="M31" s="366">
        <f>+'cost table'!D61</f>
        <v>11725</v>
      </c>
      <c r="N31" s="366">
        <f>+'cost table'!E61</f>
        <v>11956</v>
      </c>
      <c r="O31" s="193"/>
      <c r="P31" s="193"/>
      <c r="Q31" s="193"/>
      <c r="R31" s="193"/>
    </row>
    <row r="32" spans="1:18" ht="12.75">
      <c r="A32" s="193">
        <v>24</v>
      </c>
      <c r="B32" s="193"/>
      <c r="C32" s="191" t="s">
        <v>517</v>
      </c>
      <c r="D32" s="193"/>
      <c r="E32" s="27">
        <v>248957</v>
      </c>
      <c r="F32" s="27">
        <v>238983.52649000008</v>
      </c>
      <c r="G32" s="27">
        <v>231780.7613400001</v>
      </c>
      <c r="H32" s="27">
        <v>258177.21183</v>
      </c>
      <c r="I32" s="366">
        <v>258142.18993000005</v>
      </c>
      <c r="J32" s="366">
        <v>254555.61657000007</v>
      </c>
      <c r="K32" s="366">
        <v>248031</v>
      </c>
      <c r="L32" s="366">
        <v>242999.99993000002</v>
      </c>
      <c r="M32" s="366">
        <f>+'cost table'!D59</f>
        <v>249602.988</v>
      </c>
      <c r="N32" s="366">
        <f>+'cost table'!E59</f>
        <v>250031.22</v>
      </c>
      <c r="O32" s="193"/>
      <c r="P32" s="193"/>
      <c r="Q32" s="193"/>
      <c r="R32" s="193"/>
    </row>
    <row r="33" spans="1:18" ht="12.75">
      <c r="A33" s="193">
        <v>25</v>
      </c>
      <c r="B33" s="193"/>
      <c r="C33" s="191" t="s">
        <v>518</v>
      </c>
      <c r="D33" s="193"/>
      <c r="E33" s="27">
        <v>175873</v>
      </c>
      <c r="F33" s="27">
        <v>162351.353</v>
      </c>
      <c r="G33" s="27">
        <v>175477.26619</v>
      </c>
      <c r="H33" s="27">
        <v>160065.3945</v>
      </c>
      <c r="I33" s="366">
        <v>174913.14923999997</v>
      </c>
      <c r="J33" s="366">
        <v>206163.58388000002</v>
      </c>
      <c r="K33" s="366">
        <v>201595</v>
      </c>
      <c r="L33" s="366">
        <v>179461.50194999998</v>
      </c>
      <c r="M33" s="366">
        <f>'Revised Revenue Test'!E20</f>
        <v>221642.731759574</v>
      </c>
      <c r="N33" s="366">
        <f>'Revised Revenue Test'!F20</f>
        <v>217308.3754877001</v>
      </c>
      <c r="O33" s="193"/>
      <c r="P33" s="193"/>
      <c r="Q33" s="193"/>
      <c r="R33" s="193"/>
    </row>
    <row r="34" spans="1:18" ht="12.75">
      <c r="A34" s="193">
        <v>26</v>
      </c>
      <c r="B34" s="193"/>
      <c r="C34" s="191" t="s">
        <v>519</v>
      </c>
      <c r="D34" s="193"/>
      <c r="E34" s="27">
        <v>52789</v>
      </c>
      <c r="F34" s="27">
        <v>52107.9129</v>
      </c>
      <c r="G34" s="27">
        <v>58266.71016</v>
      </c>
      <c r="H34" s="27">
        <v>55693.26227000001</v>
      </c>
      <c r="I34" s="366">
        <v>60230.25401</v>
      </c>
      <c r="J34" s="366">
        <v>55002.82694</v>
      </c>
      <c r="K34" s="366">
        <v>59978</v>
      </c>
      <c r="L34" s="366">
        <v>69226.75422999999</v>
      </c>
      <c r="M34" s="366">
        <f>+'IPR Data'!C61/1000</f>
        <v>57859.026</v>
      </c>
      <c r="N34" s="366">
        <f>+'IPR Data'!D61/1000</f>
        <v>57644.004</v>
      </c>
      <c r="O34" s="193"/>
      <c r="P34" s="193"/>
      <c r="Q34" s="193"/>
      <c r="R34" s="193"/>
    </row>
    <row r="35" spans="1:18" ht="12.75">
      <c r="A35" s="193">
        <v>27</v>
      </c>
      <c r="B35" s="193"/>
      <c r="C35" s="191" t="s">
        <v>4</v>
      </c>
      <c r="D35" s="193"/>
      <c r="E35" s="27">
        <v>206967</v>
      </c>
      <c r="F35" s="27">
        <v>208095.567</v>
      </c>
      <c r="G35" s="27">
        <v>223451.219</v>
      </c>
      <c r="H35" s="27">
        <v>230741.66176</v>
      </c>
      <c r="I35" s="366">
        <v>237966.18000000008</v>
      </c>
      <c r="J35" s="366">
        <v>247048.29553999993</v>
      </c>
      <c r="K35" s="366">
        <v>245100</v>
      </c>
      <c r="L35" s="366">
        <v>244545.99998</v>
      </c>
      <c r="M35" s="366">
        <f>+'cost table'!D7</f>
        <v>252557</v>
      </c>
      <c r="N35" s="366">
        <f>+'cost table'!E7</f>
        <v>252557</v>
      </c>
      <c r="O35" s="193"/>
      <c r="P35" s="193"/>
      <c r="Q35" s="193"/>
      <c r="R35" s="193"/>
    </row>
    <row r="36" spans="1:18" ht="12.75">
      <c r="A36" s="193">
        <v>28</v>
      </c>
      <c r="B36" s="193"/>
      <c r="C36" s="191" t="s">
        <v>520</v>
      </c>
      <c r="D36" s="193"/>
      <c r="E36" s="27">
        <v>22000</v>
      </c>
      <c r="F36" s="27">
        <v>28700.061</v>
      </c>
      <c r="G36" s="27">
        <v>30960.022</v>
      </c>
      <c r="H36" s="27">
        <v>30930.388</v>
      </c>
      <c r="I36" s="366">
        <v>28645.34832</v>
      </c>
      <c r="J36" s="366">
        <v>26040.003510000002</v>
      </c>
      <c r="K36" s="366">
        <v>31392</v>
      </c>
      <c r="L36" s="366">
        <v>30482.999989999997</v>
      </c>
      <c r="M36" s="366">
        <f>+'IPR Data'!C54/1000</f>
        <v>30483.249</v>
      </c>
      <c r="N36" s="366">
        <f>+'IPR Data'!D54/1000</f>
        <v>30483.249</v>
      </c>
      <c r="O36" s="193"/>
      <c r="P36" s="193"/>
      <c r="Q36" s="193"/>
      <c r="R36" s="193"/>
    </row>
    <row r="37" spans="1:18" ht="12.75">
      <c r="A37" s="193">
        <v>29</v>
      </c>
      <c r="B37" s="193"/>
      <c r="C37" s="191" t="s">
        <v>3</v>
      </c>
      <c r="D37" s="193"/>
      <c r="E37" s="27">
        <v>89005</v>
      </c>
      <c r="F37" s="27">
        <v>127115.961</v>
      </c>
      <c r="G37" s="27">
        <v>137694.856</v>
      </c>
      <c r="H37" s="27">
        <v>134283.964</v>
      </c>
      <c r="I37" s="366">
        <v>132756.286</v>
      </c>
      <c r="J37" s="366">
        <v>148389.965</v>
      </c>
      <c r="K37" s="366">
        <v>152613</v>
      </c>
      <c r="L37" s="366">
        <v>164000</v>
      </c>
      <c r="M37" s="366">
        <f>+'cost table'!D6</f>
        <v>153609</v>
      </c>
      <c r="N37" s="366">
        <f>+'cost table'!E6</f>
        <v>151623</v>
      </c>
      <c r="O37" s="193"/>
      <c r="P37" s="193"/>
      <c r="Q37" s="193"/>
      <c r="R37" s="193"/>
    </row>
    <row r="38" spans="1:18" ht="12.75">
      <c r="A38" s="193">
        <v>30</v>
      </c>
      <c r="B38" s="193"/>
      <c r="C38" s="191" t="s">
        <v>521</v>
      </c>
      <c r="D38" s="193"/>
      <c r="E38" s="27">
        <v>20437</v>
      </c>
      <c r="F38" s="27">
        <v>22121.618</v>
      </c>
      <c r="G38" s="27">
        <v>19224.612</v>
      </c>
      <c r="H38" s="27">
        <v>18555.10604</v>
      </c>
      <c r="I38" s="366">
        <v>17495.51796</v>
      </c>
      <c r="J38" s="366">
        <v>16666.778</v>
      </c>
      <c r="K38" s="366">
        <v>20219</v>
      </c>
      <c r="L38" s="366">
        <v>19642.91996</v>
      </c>
      <c r="M38" s="366">
        <f>+'cost table'!D13</f>
        <v>22997</v>
      </c>
      <c r="N38" s="366">
        <f>+'cost table'!E13</f>
        <v>22997</v>
      </c>
      <c r="O38" s="193"/>
      <c r="P38" s="193"/>
      <c r="Q38" s="193"/>
      <c r="R38" s="193"/>
    </row>
    <row r="39" spans="1:18" ht="12.75">
      <c r="A39" s="193">
        <v>31</v>
      </c>
      <c r="B39" s="193"/>
      <c r="C39" s="191" t="s">
        <v>522</v>
      </c>
      <c r="D39" s="193"/>
      <c r="E39" s="27">
        <v>1757</v>
      </c>
      <c r="F39" s="27">
        <v>11.75533</v>
      </c>
      <c r="G39" s="27">
        <v>-1.6161</v>
      </c>
      <c r="H39" s="27">
        <v>5.68831</v>
      </c>
      <c r="I39" s="366">
        <v>4.00234</v>
      </c>
      <c r="J39" s="366">
        <v>1.50374</v>
      </c>
      <c r="K39" s="366">
        <v>-1</v>
      </c>
      <c r="L39" s="366">
        <v>0</v>
      </c>
      <c r="M39" s="366">
        <v>0</v>
      </c>
      <c r="N39" s="366">
        <v>0</v>
      </c>
      <c r="O39" s="193"/>
      <c r="P39" s="193"/>
      <c r="Q39" s="193"/>
      <c r="R39" s="193"/>
    </row>
    <row r="40" spans="1:18" ht="12.75">
      <c r="A40" s="193">
        <v>32</v>
      </c>
      <c r="B40" s="193"/>
      <c r="C40" s="191" t="s">
        <v>523</v>
      </c>
      <c r="D40" s="193"/>
      <c r="E40" s="24">
        <v>-1650</v>
      </c>
      <c r="F40" s="24">
        <v>-138.52768</v>
      </c>
      <c r="G40" s="24">
        <v>-997.67474</v>
      </c>
      <c r="H40" s="24">
        <v>-27804.35689</v>
      </c>
      <c r="I40" s="371">
        <v>-390.33713</v>
      </c>
      <c r="J40" s="371">
        <v>-662.60626</v>
      </c>
      <c r="K40" s="371">
        <v>-416</v>
      </c>
      <c r="L40" s="371">
        <v>0</v>
      </c>
      <c r="M40" s="371">
        <f>+'cost table'!D69</f>
        <v>0</v>
      </c>
      <c r="N40" s="371">
        <f>+'cost table'!E69</f>
        <v>-20000</v>
      </c>
      <c r="O40" s="63"/>
      <c r="P40" s="193"/>
      <c r="Q40" s="193"/>
      <c r="R40" s="193"/>
    </row>
    <row r="41" spans="1:18" ht="12.75">
      <c r="A41" s="193">
        <v>33</v>
      </c>
      <c r="B41" s="193" t="s">
        <v>524</v>
      </c>
      <c r="C41" s="193"/>
      <c r="D41" s="193"/>
      <c r="E41" s="27">
        <v>962711</v>
      </c>
      <c r="F41" s="27">
        <v>982668.44021</v>
      </c>
      <c r="G41" s="27">
        <v>1017269.0224700001</v>
      </c>
      <c r="H41" s="27">
        <v>1009924.4493000001</v>
      </c>
      <c r="I41" s="366">
        <v>1140373.60079</v>
      </c>
      <c r="J41" s="366">
        <f>SUM(J26:J40)</f>
        <v>1171666.3228799999</v>
      </c>
      <c r="K41" s="366">
        <f>SUM(K26:K40)</f>
        <v>1188441</v>
      </c>
      <c r="L41" s="366">
        <f>SUM(L26:L40)</f>
        <v>1177622.16451</v>
      </c>
      <c r="M41" s="366">
        <f>SUM(M26:M40)</f>
        <v>1224397.980759574</v>
      </c>
      <c r="N41" s="366">
        <f>SUM(N26:N40)</f>
        <v>1201996.8834877</v>
      </c>
      <c r="O41" s="193"/>
      <c r="P41" s="27"/>
      <c r="Q41" s="193"/>
      <c r="R41" s="193"/>
    </row>
    <row r="42" spans="2:18" ht="12.75">
      <c r="B42" s="193"/>
      <c r="C42" s="193"/>
      <c r="D42" s="193"/>
      <c r="E42" s="27"/>
      <c r="F42" s="27"/>
      <c r="G42" s="27"/>
      <c r="H42" s="27"/>
      <c r="I42" s="366"/>
      <c r="J42" s="366"/>
      <c r="K42" s="366"/>
      <c r="L42" s="366"/>
      <c r="M42" s="27"/>
      <c r="N42" s="27"/>
      <c r="O42" s="193"/>
      <c r="P42" s="27"/>
      <c r="Q42" s="193"/>
      <c r="R42" s="193"/>
    </row>
    <row r="43" spans="1:18" ht="12.75">
      <c r="A43" s="193">
        <f>+A41+1</f>
        <v>34</v>
      </c>
      <c r="B43" s="193" t="s">
        <v>525</v>
      </c>
      <c r="C43" s="193"/>
      <c r="D43" s="193"/>
      <c r="E43" s="27">
        <f aca="true" t="shared" si="2" ref="E43:N43">E23+E41</f>
        <v>2223115</v>
      </c>
      <c r="F43" s="27">
        <f t="shared" si="2"/>
        <v>2214706.1646600002</v>
      </c>
      <c r="G43" s="27">
        <f t="shared" si="2"/>
        <v>1913396.30499</v>
      </c>
      <c r="H43" s="27">
        <f t="shared" si="2"/>
        <v>1851706.8757300002</v>
      </c>
      <c r="I43" s="27">
        <f t="shared" si="2"/>
        <v>2005071.40834</v>
      </c>
      <c r="J43" s="27">
        <f t="shared" si="2"/>
        <v>2119456.4145299997</v>
      </c>
      <c r="K43" s="27">
        <f t="shared" si="2"/>
        <v>2155236</v>
      </c>
      <c r="L43" s="27">
        <f t="shared" si="2"/>
        <v>2307336.57061</v>
      </c>
      <c r="M43" s="27">
        <f t="shared" si="2"/>
        <v>1873508.3000561283</v>
      </c>
      <c r="N43" s="27">
        <f t="shared" si="2"/>
        <v>1894832.0226898654</v>
      </c>
      <c r="O43" s="193"/>
      <c r="P43" s="27"/>
      <c r="Q43" s="193"/>
      <c r="R43" s="193"/>
    </row>
    <row r="44" spans="1:11" ht="12.75" hidden="1">
      <c r="A44" s="193"/>
      <c r="F44" s="27"/>
      <c r="G44" s="27"/>
      <c r="H44" s="27"/>
      <c r="I44" s="366"/>
      <c r="J44" s="366"/>
      <c r="K44" s="366"/>
    </row>
    <row r="45" spans="1:11" ht="12.75" hidden="1">
      <c r="A45" s="193"/>
      <c r="F45" s="27"/>
      <c r="G45" s="27"/>
      <c r="H45" s="27"/>
      <c r="I45" s="366"/>
      <c r="J45" s="366"/>
      <c r="K45" s="366"/>
    </row>
    <row r="46" spans="1:11" ht="12.75">
      <c r="A46" s="193"/>
      <c r="E46" s="27"/>
      <c r="F46" s="27"/>
      <c r="G46" s="27"/>
      <c r="H46" s="27"/>
      <c r="I46" s="366"/>
      <c r="J46" s="366"/>
      <c r="K46" s="366"/>
    </row>
    <row r="47" spans="1:14" ht="42.75" customHeight="1">
      <c r="A47" s="374" t="s">
        <v>235</v>
      </c>
      <c r="B47" s="403" t="s">
        <v>735</v>
      </c>
      <c r="C47" s="403"/>
      <c r="D47" s="403"/>
      <c r="E47" s="403"/>
      <c r="F47" s="403"/>
      <c r="G47" s="403"/>
      <c r="H47" s="403"/>
      <c r="I47" s="403"/>
      <c r="J47" s="403"/>
      <c r="K47" s="403"/>
      <c r="L47" s="403"/>
      <c r="M47" s="403"/>
      <c r="N47" s="403"/>
    </row>
    <row r="48" spans="1:14" ht="42.75" customHeight="1">
      <c r="A48" s="374" t="s">
        <v>333</v>
      </c>
      <c r="B48" s="403" t="s">
        <v>734</v>
      </c>
      <c r="C48" s="403"/>
      <c r="D48" s="403"/>
      <c r="E48" s="403"/>
      <c r="F48" s="403"/>
      <c r="G48" s="403"/>
      <c r="H48" s="403"/>
      <c r="I48" s="403"/>
      <c r="J48" s="403"/>
      <c r="K48" s="403"/>
      <c r="L48" s="403"/>
      <c r="M48" s="403"/>
      <c r="N48" s="403"/>
    </row>
    <row r="49" spans="1:2" ht="12.75">
      <c r="A49" s="374" t="s">
        <v>334</v>
      </c>
      <c r="B49" s="38" t="s">
        <v>527</v>
      </c>
    </row>
    <row r="50" ht="12.75">
      <c r="A50" s="372"/>
    </row>
    <row r="51" ht="12.75">
      <c r="A51" s="372"/>
    </row>
  </sheetData>
  <mergeCells count="7">
    <mergeCell ref="B47:N47"/>
    <mergeCell ref="B48:N48"/>
    <mergeCell ref="M5:N5"/>
    <mergeCell ref="A1:R1"/>
    <mergeCell ref="A2:R2"/>
    <mergeCell ref="A3:R3"/>
    <mergeCell ref="G5:K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AD52"/>
  <sheetViews>
    <sheetView zoomScale="75" zoomScaleNormal="75" workbookViewId="0" topLeftCell="A22">
      <selection activeCell="E33" sqref="E33"/>
    </sheetView>
  </sheetViews>
  <sheetFormatPr defaultColWidth="9.140625" defaultRowHeight="12.75"/>
  <cols>
    <col min="1" max="1" width="9.140625" style="319" customWidth="1"/>
    <col min="2" max="2" width="43.57421875" style="319" customWidth="1"/>
    <col min="3" max="20" width="15.28125" style="319" bestFit="1" customWidth="1"/>
    <col min="21" max="30" width="16.00390625" style="319" bestFit="1" customWidth="1"/>
    <col min="31" max="16384" width="9.140625" style="319" customWidth="1"/>
  </cols>
  <sheetData>
    <row r="2" spans="2:21" s="311" customFormat="1" ht="12.75">
      <c r="B2" s="310"/>
      <c r="D2" s="312"/>
      <c r="E2" s="312"/>
      <c r="F2" s="312"/>
      <c r="G2" s="312"/>
      <c r="H2" s="312"/>
      <c r="I2" s="312"/>
      <c r="J2" s="312"/>
      <c r="K2" s="312"/>
      <c r="L2" s="312"/>
      <c r="M2" s="312"/>
      <c r="N2" s="312"/>
      <c r="O2" s="312"/>
      <c r="P2" s="312"/>
      <c r="Q2" s="312"/>
      <c r="R2" s="312"/>
      <c r="S2" s="312"/>
      <c r="T2" s="312"/>
      <c r="U2" s="312"/>
    </row>
    <row r="3" spans="2:21" s="311" customFormat="1" ht="12.75">
      <c r="B3" s="310"/>
      <c r="C3" s="313" t="s">
        <v>162</v>
      </c>
      <c r="D3" s="338" t="s">
        <v>163</v>
      </c>
      <c r="E3" s="338" t="s">
        <v>164</v>
      </c>
      <c r="F3" s="338" t="s">
        <v>165</v>
      </c>
      <c r="G3" s="338" t="s">
        <v>166</v>
      </c>
      <c r="H3" s="312"/>
      <c r="I3" s="312"/>
      <c r="J3" s="312"/>
      <c r="K3" s="312"/>
      <c r="L3" s="312"/>
      <c r="M3" s="312"/>
      <c r="N3" s="312"/>
      <c r="O3" s="312"/>
      <c r="P3" s="312"/>
      <c r="Q3" s="312"/>
      <c r="R3" s="312"/>
      <c r="S3" s="312"/>
      <c r="T3" s="312"/>
      <c r="U3" s="312"/>
    </row>
    <row r="4" spans="2:21" s="311" customFormat="1" ht="12.75">
      <c r="B4" s="310"/>
      <c r="C4" s="313" t="s">
        <v>644</v>
      </c>
      <c r="D4" s="313" t="s">
        <v>644</v>
      </c>
      <c r="E4" s="312"/>
      <c r="F4" s="312"/>
      <c r="G4" s="312"/>
      <c r="H4" s="312"/>
      <c r="I4" s="312"/>
      <c r="J4" s="312"/>
      <c r="K4" s="312"/>
      <c r="L4" s="312"/>
      <c r="M4" s="312"/>
      <c r="N4" s="312"/>
      <c r="O4" s="312"/>
      <c r="P4" s="312"/>
      <c r="Q4" s="312"/>
      <c r="R4" s="312"/>
      <c r="S4" s="312"/>
      <c r="T4" s="312"/>
      <c r="U4" s="312"/>
    </row>
    <row r="5" spans="2:30" s="315" customFormat="1" ht="15.75">
      <c r="B5" s="314" t="s">
        <v>646</v>
      </c>
      <c r="C5" s="315">
        <v>2017</v>
      </c>
      <c r="D5" s="315">
        <v>2018</v>
      </c>
      <c r="E5" s="315">
        <v>2019</v>
      </c>
      <c r="F5" s="315">
        <v>2020</v>
      </c>
      <c r="G5" s="315">
        <v>2021</v>
      </c>
      <c r="H5" s="315">
        <v>2022</v>
      </c>
      <c r="I5" s="315">
        <v>2023</v>
      </c>
      <c r="J5" s="315">
        <v>2024</v>
      </c>
      <c r="K5" s="315">
        <v>2025</v>
      </c>
      <c r="L5" s="315">
        <v>2026</v>
      </c>
      <c r="M5" s="315">
        <v>2027</v>
      </c>
      <c r="N5" s="347">
        <v>2028</v>
      </c>
      <c r="O5" s="315">
        <v>2029</v>
      </c>
      <c r="P5" s="315">
        <v>2030</v>
      </c>
      <c r="Q5" s="315">
        <v>2031</v>
      </c>
      <c r="R5" s="315">
        <v>2032</v>
      </c>
      <c r="S5" s="315">
        <v>2033</v>
      </c>
      <c r="T5" s="315">
        <v>2034</v>
      </c>
      <c r="U5" s="315">
        <v>2035</v>
      </c>
      <c r="V5" s="315">
        <v>2036</v>
      </c>
      <c r="W5" s="315">
        <v>2037</v>
      </c>
      <c r="X5" s="315">
        <v>2038</v>
      </c>
      <c r="Y5" s="315">
        <v>2039</v>
      </c>
      <c r="Z5" s="315">
        <v>2040</v>
      </c>
      <c r="AA5" s="315">
        <v>2041</v>
      </c>
      <c r="AB5" s="315">
        <v>2042</v>
      </c>
      <c r="AC5" s="315">
        <v>2043</v>
      </c>
      <c r="AD5" s="315">
        <v>2044</v>
      </c>
    </row>
    <row r="6" spans="1:30" s="317" customFormat="1" ht="12.75">
      <c r="A6" s="317">
        <v>1</v>
      </c>
      <c r="B6" s="316" t="s">
        <v>647</v>
      </c>
      <c r="E6" s="317">
        <f>+D10</f>
        <v>4026824</v>
      </c>
      <c r="F6" s="317">
        <f aca="true" t="shared" si="0" ref="F6:AD6">+E10</f>
        <v>3793564.9168999996</v>
      </c>
      <c r="G6" s="317">
        <f t="shared" si="0"/>
        <v>3964927.9764999994</v>
      </c>
      <c r="H6" s="317">
        <f t="shared" si="0"/>
        <v>3831558.1692999993</v>
      </c>
      <c r="I6" s="317">
        <f t="shared" si="0"/>
        <v>3879846.6357999993</v>
      </c>
      <c r="J6" s="317">
        <f t="shared" si="0"/>
        <v>4155812.8013999993</v>
      </c>
      <c r="K6" s="317">
        <f t="shared" si="0"/>
        <v>4460996.5166</v>
      </c>
      <c r="L6" s="317">
        <f t="shared" si="0"/>
        <v>4796857.3964</v>
      </c>
      <c r="M6" s="317">
        <f t="shared" si="0"/>
        <v>5102123.5139</v>
      </c>
      <c r="N6" s="344">
        <f t="shared" si="0"/>
        <v>5387750.6307</v>
      </c>
      <c r="O6" s="317">
        <f t="shared" si="0"/>
        <v>5738534.7347</v>
      </c>
      <c r="P6" s="317">
        <f t="shared" si="0"/>
        <v>5708574.1082</v>
      </c>
      <c r="Q6" s="317">
        <f t="shared" si="0"/>
        <v>5796771.847583099</v>
      </c>
      <c r="R6" s="317">
        <f t="shared" si="0"/>
        <v>5855730.191569243</v>
      </c>
      <c r="S6" s="317">
        <f t="shared" si="0"/>
        <v>5856366.384071398</v>
      </c>
      <c r="T6" s="317">
        <f t="shared" si="0"/>
        <v>5855162.049613604</v>
      </c>
      <c r="U6" s="317">
        <f t="shared" si="0"/>
        <v>5831754.375250512</v>
      </c>
      <c r="V6" s="317">
        <f t="shared" si="0"/>
        <v>5773550.499267363</v>
      </c>
      <c r="W6" s="317">
        <f t="shared" si="0"/>
        <v>5753896.017172333</v>
      </c>
      <c r="X6" s="317">
        <f t="shared" si="0"/>
        <v>5713690.909042269</v>
      </c>
      <c r="Y6" s="317">
        <f t="shared" si="0"/>
        <v>5622606.270676472</v>
      </c>
      <c r="Z6" s="317">
        <f t="shared" si="0"/>
        <v>5452558.264196955</v>
      </c>
      <c r="AA6" s="317">
        <f t="shared" si="0"/>
        <v>5255318.646578076</v>
      </c>
      <c r="AB6" s="317">
        <f t="shared" si="0"/>
        <v>5114395.650288503</v>
      </c>
      <c r="AC6" s="317">
        <f t="shared" si="0"/>
        <v>5106506.186068652</v>
      </c>
      <c r="AD6" s="317">
        <f t="shared" si="0"/>
        <v>5422473.134315776</v>
      </c>
    </row>
    <row r="7" spans="1:30" s="317" customFormat="1" ht="12.75">
      <c r="A7" s="317">
        <v>2</v>
      </c>
      <c r="B7" s="316" t="s">
        <v>643</v>
      </c>
      <c r="E7" s="317">
        <f>+'Fed Projections'!D14</f>
        <v>265073.9169</v>
      </c>
      <c r="F7" s="317">
        <f>+'Fed Projections'!E14</f>
        <v>344435.0595999999</v>
      </c>
      <c r="G7" s="317">
        <f>+'Fed Projections'!F14</f>
        <v>384695.19279999996</v>
      </c>
      <c r="H7" s="317">
        <f>+'Fed Projections'!G14</f>
        <v>372390.46650000004</v>
      </c>
      <c r="I7" s="317">
        <f>+'Fed Projections'!H14</f>
        <v>380593.16560000007</v>
      </c>
      <c r="J7" s="317">
        <f>+'Fed Projections'!I14</f>
        <v>407991.7152</v>
      </c>
      <c r="K7" s="317">
        <f>+'Fed Projections'!J14</f>
        <v>435925.87979999994</v>
      </c>
      <c r="L7" s="317">
        <f>+'Fed Projections'!K14</f>
        <v>398022.11750000005</v>
      </c>
      <c r="M7" s="317">
        <f>+'Fed Projections'!L14</f>
        <v>394082.1168</v>
      </c>
      <c r="N7" s="344">
        <f>+'Fed Projections'!M14</f>
        <v>457791.104</v>
      </c>
      <c r="O7" s="317">
        <f>+'Fed Projections'!N14</f>
        <v>404087.3735</v>
      </c>
      <c r="P7" s="317">
        <f>+'Fed Projections'!O14</f>
        <v>432412.7393831</v>
      </c>
      <c r="Q7" s="317">
        <f>+'Fed Projections'!P14</f>
        <v>416138.3439861429</v>
      </c>
      <c r="R7" s="317">
        <f>+'Fed Projections'!Q14</f>
        <v>424352.1925021549</v>
      </c>
      <c r="S7" s="317">
        <f>+'Fed Projections'!R14</f>
        <v>432762.6655422072</v>
      </c>
      <c r="T7" s="317">
        <f>+'Fed Projections'!S14</f>
        <v>441423.3256369078</v>
      </c>
      <c r="U7" s="317">
        <f>+'Fed Projections'!T14</f>
        <v>450343.12401685095</v>
      </c>
      <c r="V7" s="317">
        <f>+'Fed Projections'!U14</f>
        <v>459489.5179049694</v>
      </c>
      <c r="W7" s="317">
        <f>+'Fed Projections'!V14</f>
        <v>468827.89186993596</v>
      </c>
      <c r="X7" s="317">
        <f>+'Fed Projections'!W14</f>
        <v>478319.36163420364</v>
      </c>
      <c r="Y7" s="317">
        <f>+'Fed Projections'!X14</f>
        <v>487965.99352048256</v>
      </c>
      <c r="Z7" s="317">
        <f>+'Fed Projections'!Y14</f>
        <v>497856.3823811216</v>
      </c>
      <c r="AA7" s="317">
        <f>+'Fed Projections'!Z14</f>
        <v>508000.0037104261</v>
      </c>
      <c r="AB7" s="317">
        <f>+'Fed Projections'!AA14</f>
        <v>518401.5357801497</v>
      </c>
      <c r="AC7" s="317">
        <f>+'Fed Projections'!AB14</f>
        <v>529116.948247123</v>
      </c>
      <c r="AD7" s="317">
        <f>+'Fed Projections'!AC14</f>
        <v>540108.2421960764</v>
      </c>
    </row>
    <row r="8" spans="1:30" s="317" customFormat="1" ht="12.75">
      <c r="A8" s="317">
        <v>3</v>
      </c>
      <c r="B8" s="316" t="s">
        <v>660</v>
      </c>
      <c r="E8" s="317">
        <v>-271250</v>
      </c>
      <c r="F8" s="317">
        <f>-'Federal Capital Costs'!D14</f>
        <v>-173072</v>
      </c>
      <c r="G8" s="317">
        <f>-'Federal Capital Costs'!E14</f>
        <v>-518065</v>
      </c>
      <c r="H8" s="317">
        <f>-'Federal Capital Costs'!F14</f>
        <v>-322663</v>
      </c>
      <c r="I8" s="317">
        <f>-'Federal Capital Costs'!G14</f>
        <v>-102000</v>
      </c>
      <c r="J8" s="317">
        <f>-'Federal Capital Costs'!H14</f>
        <v>-74200</v>
      </c>
      <c r="K8" s="317">
        <f>-'Federal Capital Costs'!I14</f>
        <v>-74000</v>
      </c>
      <c r="L8" s="317">
        <f>-'Federal Capital Costs'!J14</f>
        <v>-86000</v>
      </c>
      <c r="M8" s="317">
        <f>-'Federal Capital Costs'!K14</f>
        <v>-91000</v>
      </c>
      <c r="N8" s="344">
        <f>-'Federal Capital Costs'!L14</f>
        <v>-51000</v>
      </c>
      <c r="O8" s="317">
        <f>-'Federal Capital Costs'!M14</f>
        <v>-227000</v>
      </c>
      <c r="P8" s="317">
        <f>-'Federal Capital Costs'!N14</f>
        <v>-251486</v>
      </c>
      <c r="Q8" s="317">
        <f>-'Federal Capital Costs'!O14</f>
        <v>-301514</v>
      </c>
      <c r="R8" s="317">
        <f>-'Federal Capital Costs'!P14</f>
        <v>-185321</v>
      </c>
      <c r="S8" s="317">
        <f>-'Federal Capital Costs'!Q14</f>
        <v>-176779</v>
      </c>
      <c r="T8" s="317">
        <f>-'Federal Capital Costs'!R14</f>
        <v>-209649</v>
      </c>
      <c r="U8" s="317">
        <f>-'Federal Capital Costs'!S14</f>
        <v>-446643</v>
      </c>
      <c r="V8" s="317">
        <f>-'Federal Capital Costs'!T14</f>
        <v>-479144</v>
      </c>
      <c r="W8" s="317">
        <f>-'Federal Capital Costs'!U14</f>
        <v>-509033</v>
      </c>
      <c r="X8" s="317">
        <f>-'Federal Capital Costs'!V14</f>
        <v>-569404</v>
      </c>
      <c r="Y8" s="317">
        <f>-'Federal Capital Costs'!W14</f>
        <v>-658014</v>
      </c>
      <c r="Z8" s="317">
        <f>-'Federal Capital Costs'!X14</f>
        <v>-695096</v>
      </c>
      <c r="AA8" s="317">
        <f>-'Federal Capital Costs'!Y14</f>
        <v>-648923</v>
      </c>
      <c r="AB8" s="317">
        <f>-'Federal Capital Costs'!Z14</f>
        <v>-526291</v>
      </c>
      <c r="AC8" s="317">
        <f>-'Federal Capital Costs'!AA14</f>
        <v>-213150</v>
      </c>
      <c r="AD8" s="317">
        <f>-'Federal Capital Costs'!AB14</f>
        <v>-213150</v>
      </c>
    </row>
    <row r="9" spans="1:30" s="317" customFormat="1" ht="17.25">
      <c r="A9" s="317">
        <v>4</v>
      </c>
      <c r="B9" s="316" t="s">
        <v>661</v>
      </c>
      <c r="C9" s="325"/>
      <c r="D9" s="325"/>
      <c r="E9" s="325">
        <f>-'Federal Capital Costs'!C13</f>
        <v>-227083</v>
      </c>
      <c r="F9" s="325">
        <f>-'Federal Capital Costs'!D13</f>
        <v>0</v>
      </c>
      <c r="G9" s="325">
        <f>-'Federal Capital Costs'!E13</f>
        <v>0</v>
      </c>
      <c r="H9" s="325">
        <f>-'Federal Capital Costs'!F13</f>
        <v>-1439</v>
      </c>
      <c r="I9" s="325">
        <f>-'Federal Capital Costs'!G13</f>
        <v>-2627</v>
      </c>
      <c r="J9" s="325">
        <f>-'Federal Capital Costs'!H13</f>
        <v>-28608</v>
      </c>
      <c r="K9" s="325">
        <f>-'Federal Capital Costs'!I13</f>
        <v>-26065</v>
      </c>
      <c r="L9" s="325">
        <f>-'Federal Capital Costs'!J13</f>
        <v>-6756</v>
      </c>
      <c r="M9" s="325">
        <f>-'Federal Capital Costs'!K13</f>
        <v>-17455</v>
      </c>
      <c r="N9" s="345">
        <f>-'Federal Capital Costs'!L13</f>
        <v>-56007</v>
      </c>
      <c r="O9" s="325">
        <f>-'Federal Capital Costs'!M13</f>
        <v>-207048</v>
      </c>
      <c r="P9" s="325">
        <f>-'Federal Capital Costs'!N13</f>
        <v>-92729</v>
      </c>
      <c r="Q9" s="325">
        <f>-'Federal Capital Costs'!O13</f>
        <v>-55666</v>
      </c>
      <c r="R9" s="325">
        <f>-'Federal Capital Costs'!P13</f>
        <v>-238395</v>
      </c>
      <c r="S9" s="325">
        <f>-'Federal Capital Costs'!Q13</f>
        <v>-257188</v>
      </c>
      <c r="T9" s="325">
        <f>-'Federal Capital Costs'!R13</f>
        <v>-255182</v>
      </c>
      <c r="U9" s="325">
        <f>-'Federal Capital Costs'!S13</f>
        <v>-61904</v>
      </c>
      <c r="V9" s="325">
        <f>-'Federal Capital Costs'!T13</f>
        <v>0</v>
      </c>
      <c r="W9" s="325">
        <f>-'Federal Capital Costs'!U13</f>
        <v>0</v>
      </c>
      <c r="X9" s="325">
        <f>-'Federal Capital Costs'!V13</f>
        <v>0</v>
      </c>
      <c r="Y9" s="325">
        <f>-'Federal Capital Costs'!W13</f>
        <v>0</v>
      </c>
      <c r="Z9" s="325">
        <f>-'Federal Capital Costs'!X13</f>
        <v>0</v>
      </c>
      <c r="AA9" s="325">
        <f>-'Federal Capital Costs'!Y13</f>
        <v>0</v>
      </c>
      <c r="AB9" s="325">
        <f>-'Federal Capital Costs'!Z13</f>
        <v>0</v>
      </c>
      <c r="AC9" s="325">
        <f>-'Federal Capital Costs'!AA13</f>
        <v>0</v>
      </c>
      <c r="AD9" s="325">
        <f>-'Federal Capital Costs'!AB13</f>
        <v>0</v>
      </c>
    </row>
    <row r="10" spans="1:30" s="317" customFormat="1" ht="12.75">
      <c r="A10" s="317">
        <v>5</v>
      </c>
      <c r="B10" s="316" t="s">
        <v>664</v>
      </c>
      <c r="C10" s="317">
        <v>3962241</v>
      </c>
      <c r="D10" s="317">
        <v>4026824</v>
      </c>
      <c r="E10" s="317">
        <f aca="true" t="shared" si="1" ref="E10:AD10">SUM(E6:E9)</f>
        <v>3793564.9168999996</v>
      </c>
      <c r="F10" s="317">
        <f t="shared" si="1"/>
        <v>3964927.9764999994</v>
      </c>
      <c r="G10" s="317">
        <f t="shared" si="1"/>
        <v>3831558.1692999993</v>
      </c>
      <c r="H10" s="317">
        <f t="shared" si="1"/>
        <v>3879846.6357999993</v>
      </c>
      <c r="I10" s="317">
        <f t="shared" si="1"/>
        <v>4155812.8013999993</v>
      </c>
      <c r="J10" s="317">
        <f t="shared" si="1"/>
        <v>4460996.5166</v>
      </c>
      <c r="K10" s="317">
        <f t="shared" si="1"/>
        <v>4796857.3964</v>
      </c>
      <c r="L10" s="317">
        <f t="shared" si="1"/>
        <v>5102123.5139</v>
      </c>
      <c r="M10" s="317">
        <f t="shared" si="1"/>
        <v>5387750.6307</v>
      </c>
      <c r="N10" s="344">
        <f t="shared" si="1"/>
        <v>5738534.7347</v>
      </c>
      <c r="O10" s="317">
        <f t="shared" si="1"/>
        <v>5708574.1082</v>
      </c>
      <c r="P10" s="317">
        <f t="shared" si="1"/>
        <v>5796771.847583099</v>
      </c>
      <c r="Q10" s="317">
        <f t="shared" si="1"/>
        <v>5855730.191569243</v>
      </c>
      <c r="R10" s="317">
        <f t="shared" si="1"/>
        <v>5856366.384071398</v>
      </c>
      <c r="S10" s="317">
        <f t="shared" si="1"/>
        <v>5855162.049613604</v>
      </c>
      <c r="T10" s="317">
        <f t="shared" si="1"/>
        <v>5831754.375250512</v>
      </c>
      <c r="U10" s="317">
        <f t="shared" si="1"/>
        <v>5773550.499267363</v>
      </c>
      <c r="V10" s="317">
        <f t="shared" si="1"/>
        <v>5753896.017172333</v>
      </c>
      <c r="W10" s="317">
        <f t="shared" si="1"/>
        <v>5713690.909042269</v>
      </c>
      <c r="X10" s="317">
        <f t="shared" si="1"/>
        <v>5622606.270676472</v>
      </c>
      <c r="Y10" s="317">
        <f t="shared" si="1"/>
        <v>5452558.264196955</v>
      </c>
      <c r="Z10" s="317">
        <f t="shared" si="1"/>
        <v>5255318.646578076</v>
      </c>
      <c r="AA10" s="317">
        <f t="shared" si="1"/>
        <v>5114395.650288503</v>
      </c>
      <c r="AB10" s="317">
        <f t="shared" si="1"/>
        <v>5106506.186068652</v>
      </c>
      <c r="AC10" s="317">
        <f t="shared" si="1"/>
        <v>5422473.134315776</v>
      </c>
      <c r="AD10" s="317">
        <f t="shared" si="1"/>
        <v>5749431.376511852</v>
      </c>
    </row>
    <row r="11" spans="1:14" s="317" customFormat="1" ht="12.75">
      <c r="A11" s="317">
        <v>6</v>
      </c>
      <c r="B11" s="316"/>
      <c r="N11" s="344"/>
    </row>
    <row r="12" spans="1:30" s="317" customFormat="1" ht="12.75">
      <c r="A12" s="317">
        <v>7</v>
      </c>
      <c r="B12" s="316" t="s">
        <v>659</v>
      </c>
      <c r="E12" s="317">
        <f>+D19</f>
        <v>5426014</v>
      </c>
      <c r="F12" s="317">
        <f aca="true" t="shared" si="2" ref="F12:AD12">+E19</f>
        <v>5136608.467946842</v>
      </c>
      <c r="G12" s="317">
        <f t="shared" si="2"/>
        <v>4872784.842311378</v>
      </c>
      <c r="H12" s="317">
        <f t="shared" si="2"/>
        <v>4808461.30282507</v>
      </c>
      <c r="I12" s="317">
        <f t="shared" si="2"/>
        <v>4781611.961395678</v>
      </c>
      <c r="J12" s="317">
        <f t="shared" si="2"/>
        <v>4489836.396018778</v>
      </c>
      <c r="K12" s="317">
        <f t="shared" si="2"/>
        <v>4208620.53441394</v>
      </c>
      <c r="L12" s="317">
        <f t="shared" si="2"/>
        <v>3889209.032187061</v>
      </c>
      <c r="M12" s="317">
        <f t="shared" si="2"/>
        <v>3556580.7773111067</v>
      </c>
      <c r="N12" s="344">
        <f t="shared" si="2"/>
        <v>3261288.1177078933</v>
      </c>
      <c r="O12" s="317">
        <f t="shared" si="2"/>
        <v>2847770.7547034216</v>
      </c>
      <c r="P12" s="317">
        <f t="shared" si="2"/>
        <v>2878341.6947034216</v>
      </c>
      <c r="Q12" s="317">
        <f t="shared" si="2"/>
        <v>2824551.4127034214</v>
      </c>
      <c r="R12" s="317">
        <f t="shared" si="2"/>
        <v>2747874.2157034213</v>
      </c>
      <c r="S12" s="317">
        <f t="shared" si="2"/>
        <v>2752409.1247034213</v>
      </c>
      <c r="T12" s="317">
        <f t="shared" si="2"/>
        <v>2731089.7967034215</v>
      </c>
      <c r="U12" s="317">
        <f t="shared" si="2"/>
        <v>2685531.4127034214</v>
      </c>
      <c r="V12" s="317">
        <f t="shared" si="2"/>
        <v>2650295.2907034215</v>
      </c>
      <c r="W12" s="317">
        <f t="shared" si="2"/>
        <v>2613491.4247034215</v>
      </c>
      <c r="X12" s="317">
        <f t="shared" si="2"/>
        <v>2585994.4437034214</v>
      </c>
      <c r="Y12" s="317">
        <f t="shared" si="2"/>
        <v>2510394.9727034215</v>
      </c>
      <c r="Z12" s="317">
        <f t="shared" si="2"/>
        <v>2523574.8007034217</v>
      </c>
      <c r="AA12" s="317">
        <f t="shared" si="2"/>
        <v>2518538.472703422</v>
      </c>
      <c r="AB12" s="317">
        <f t="shared" si="2"/>
        <v>2503540.475703422</v>
      </c>
      <c r="AC12" s="317">
        <f t="shared" si="2"/>
        <v>2468074.341703422</v>
      </c>
      <c r="AD12" s="317">
        <f t="shared" si="2"/>
        <v>2411514.1077034217</v>
      </c>
    </row>
    <row r="13" spans="1:30" s="317" customFormat="1" ht="12.75">
      <c r="A13" s="317">
        <v>8</v>
      </c>
      <c r="B13" s="318" t="s">
        <v>672</v>
      </c>
      <c r="E13" s="317">
        <f>+E33+'Non-Federal DS'!H51-594766</f>
        <v>294717</v>
      </c>
      <c r="F13" s="317">
        <f aca="true" t="shared" si="3" ref="F13:AD13">+F33</f>
        <v>99320</v>
      </c>
      <c r="G13" s="317">
        <f t="shared" si="3"/>
        <v>66983.923</v>
      </c>
      <c r="H13" s="317">
        <f t="shared" si="3"/>
        <v>81936.685</v>
      </c>
      <c r="I13" s="317">
        <f t="shared" si="3"/>
        <v>90965.82800000001</v>
      </c>
      <c r="J13" s="317">
        <f t="shared" si="3"/>
        <v>113774.874</v>
      </c>
      <c r="K13" s="317">
        <f t="shared" si="3"/>
        <v>87364.824</v>
      </c>
      <c r="L13" s="317">
        <f t="shared" si="3"/>
        <v>106257.289</v>
      </c>
      <c r="M13" s="317">
        <f t="shared" si="3"/>
        <v>107243.218</v>
      </c>
      <c r="N13" s="344">
        <f t="shared" si="3"/>
        <v>155042.569</v>
      </c>
      <c r="O13" s="317">
        <f t="shared" si="3"/>
        <v>120835.93999999999</v>
      </c>
      <c r="P13" s="317">
        <f t="shared" si="3"/>
        <v>177442.391</v>
      </c>
      <c r="Q13" s="317">
        <f t="shared" si="3"/>
        <v>160062.31</v>
      </c>
      <c r="R13" s="317">
        <f t="shared" si="3"/>
        <v>200957.07700000005</v>
      </c>
      <c r="S13" s="317">
        <f t="shared" si="3"/>
        <v>160245.734</v>
      </c>
      <c r="T13" s="317">
        <f t="shared" si="3"/>
        <v>149555.56</v>
      </c>
      <c r="U13" s="317">
        <f t="shared" si="3"/>
        <v>139443.48700000002</v>
      </c>
      <c r="V13" s="317">
        <f t="shared" si="3"/>
        <v>126534.02900000001</v>
      </c>
      <c r="W13" s="317">
        <f t="shared" si="3"/>
        <v>137542.707</v>
      </c>
      <c r="X13" s="317">
        <f t="shared" si="3"/>
        <v>93346.45099999999</v>
      </c>
      <c r="Y13" s="317">
        <f t="shared" si="3"/>
        <v>75942.41</v>
      </c>
      <c r="Z13" s="317">
        <f t="shared" si="3"/>
        <v>58744.38399999999</v>
      </c>
      <c r="AA13" s="317">
        <f t="shared" si="3"/>
        <v>40543.414000000004</v>
      </c>
      <c r="AB13" s="317">
        <f t="shared" si="3"/>
        <v>20849.708</v>
      </c>
      <c r="AC13" s="317">
        <f t="shared" si="3"/>
        <v>0</v>
      </c>
      <c r="AD13" s="317">
        <f t="shared" si="3"/>
        <v>0</v>
      </c>
    </row>
    <row r="14" spans="1:30" s="317" customFormat="1" ht="12.75">
      <c r="A14" s="317">
        <v>9</v>
      </c>
      <c r="B14" s="318" t="s">
        <v>654</v>
      </c>
      <c r="E14" s="317">
        <f>-'Non-Federal DS'!G71-'Non-Federal DS'!G72-'Non-Federal DS'!G75</f>
        <v>-418335</v>
      </c>
      <c r="F14" s="317">
        <f>-'Non-Federal DS'!H71-'Non-Federal DS'!H72-'Non-Federal DS'!H75</f>
        <v>-110230</v>
      </c>
      <c r="G14" s="317">
        <f>-'Non-Federal DS'!I71-'Non-Federal DS'!I72-'Non-Federal DS'!I75</f>
        <v>-104205</v>
      </c>
      <c r="H14" s="317">
        <f>-'Non-Federal DS'!J71-'Non-Federal DS'!J72-'Non-Federal DS'!J75</f>
        <v>-80415</v>
      </c>
      <c r="I14" s="317">
        <f>-'Non-Federal DS'!K71-'Non-Federal DS'!K72-'Non-Federal DS'!K75</f>
        <v>-353035</v>
      </c>
      <c r="J14" s="317">
        <f>-'Non-Federal DS'!L71-'Non-Federal DS'!L72-'Non-Federal DS'!L75</f>
        <v>-363885</v>
      </c>
      <c r="K14" s="317">
        <f>-'Non-Federal DS'!M71-'Non-Federal DS'!M72-'Non-Federal DS'!M75</f>
        <v>-374205</v>
      </c>
      <c r="L14" s="317">
        <f>-'Non-Federal DS'!N71-'Non-Federal DS'!N72-'Non-Federal DS'!N75</f>
        <v>-406715</v>
      </c>
      <c r="M14" s="317">
        <f>-'Non-Federal DS'!O71-'Non-Federal DS'!O72-'Non-Federal DS'!O75</f>
        <v>-368845</v>
      </c>
      <c r="N14" s="344">
        <f>-'Non-Federal DS'!P71-'Non-Federal DS'!P72-'Non-Federal DS'!P75</f>
        <v>-533270</v>
      </c>
      <c r="O14" s="317">
        <f>-'Non-Federal DS'!Q71-'Non-Federal DS'!Q72-'Non-Federal DS'!Q75</f>
        <v>-84555</v>
      </c>
      <c r="P14" s="317">
        <f>-'Non-Federal DS'!R71-'Non-Federal DS'!R72-'Non-Federal DS'!R75</f>
        <v>-225222.673</v>
      </c>
      <c r="Q14" s="317">
        <f>-'Non-Federal DS'!S71-'Non-Federal DS'!S72-'Non-Federal DS'!S75</f>
        <v>-230409.507</v>
      </c>
      <c r="R14" s="317">
        <f>-'Non-Federal DS'!T71-'Non-Federal DS'!T72-'Non-Federal DS'!T75</f>
        <v>-182647.168</v>
      </c>
      <c r="S14" s="317">
        <f>-'Non-Federal DS'!U71-'Non-Federal DS'!U72-'Non-Federal DS'!U75</f>
        <v>-181565.062</v>
      </c>
      <c r="T14" s="317">
        <f>-'Non-Federal DS'!V71-'Non-Federal DS'!V72-'Non-Federal DS'!V75</f>
        <v>-195113.94400000002</v>
      </c>
      <c r="U14" s="317">
        <f>-'Non-Federal DS'!W71-'Non-Federal DS'!W72-'Non-Federal DS'!W75</f>
        <v>-174679.609</v>
      </c>
      <c r="V14" s="317">
        <f>-'Non-Federal DS'!X71-'Non-Federal DS'!X72-'Non-Federal DS'!X75</f>
        <v>-163337.895</v>
      </c>
      <c r="W14" s="317">
        <f>-'Non-Federal DS'!Y71-'Non-Federal DS'!Y72-'Non-Federal DS'!Y75</f>
        <v>-165039.688</v>
      </c>
      <c r="X14" s="317">
        <f>-'Non-Federal DS'!Z71-'Non-Federal DS'!Z72-'Non-Federal DS'!Z75</f>
        <v>-168945.922</v>
      </c>
      <c r="Y14" s="317">
        <f>-'Non-Federal DS'!AA71-'Non-Federal DS'!AA72-'Non-Federal DS'!AA75</f>
        <v>-62762.581999999995</v>
      </c>
      <c r="Z14" s="317">
        <f>-'Non-Federal DS'!AB71-'Non-Federal DS'!AB72-'Non-Federal DS'!AB75</f>
        <v>-63780.71199999999</v>
      </c>
      <c r="AA14" s="317">
        <f>-'Non-Federal DS'!AC71-'Non-Federal DS'!AC72-'Non-Federal DS'!AC75</f>
        <v>-55541.41099999999</v>
      </c>
      <c r="AB14" s="317">
        <f>-'Non-Federal DS'!AD71-'Non-Federal DS'!AD72-'Non-Federal DS'!AD75</f>
        <v>-56315.842</v>
      </c>
      <c r="AC14" s="317">
        <f>-'Non-Federal DS'!AE71-'Non-Federal DS'!AE72-'Non-Federal DS'!AE75</f>
        <v>-56560.234</v>
      </c>
      <c r="AD14" s="317">
        <f>-'Non-Federal DS'!AF71-'Non-Federal DS'!AF72-'Non-Federal DS'!AF75</f>
        <v>-58505.886999999995</v>
      </c>
    </row>
    <row r="15" spans="1:30" s="317" customFormat="1" ht="12.75">
      <c r="A15" s="317">
        <v>10</v>
      </c>
      <c r="B15" s="318" t="s">
        <v>655</v>
      </c>
      <c r="E15" s="317">
        <f>-'Non-Federal DS'!G78</f>
        <v>-141000</v>
      </c>
      <c r="F15" s="317">
        <f>-'Non-Federal DS'!H78</f>
        <v>-227000</v>
      </c>
      <c r="G15" s="317">
        <f>-'Non-Federal DS'!I78</f>
        <v>0</v>
      </c>
      <c r="H15" s="317">
        <f>-'Non-Federal DS'!J78</f>
        <v>0</v>
      </c>
      <c r="I15" s="317">
        <f>-'Non-Federal DS'!K78</f>
        <v>0</v>
      </c>
      <c r="J15" s="317">
        <f>-'Non-Federal DS'!L78</f>
        <v>0</v>
      </c>
      <c r="K15" s="317">
        <f>-'Non-Federal DS'!M78</f>
        <v>0</v>
      </c>
      <c r="L15" s="317">
        <f>-'Non-Federal DS'!N78</f>
        <v>0</v>
      </c>
      <c r="M15" s="317">
        <f>-'Non-Federal DS'!O78</f>
        <v>0</v>
      </c>
      <c r="N15" s="344">
        <f>-'Non-Federal DS'!P78</f>
        <v>0</v>
      </c>
      <c r="O15" s="317">
        <f>-'Non-Federal DS'!Q78</f>
        <v>0</v>
      </c>
      <c r="P15" s="317">
        <f>-'Non-Federal DS'!R78</f>
        <v>0</v>
      </c>
      <c r="Q15" s="317">
        <f>-'Non-Federal DS'!S78</f>
        <v>0</v>
      </c>
      <c r="R15" s="317">
        <f>-'Non-Federal DS'!T78</f>
        <v>0</v>
      </c>
      <c r="S15" s="317">
        <f>-'Non-Federal DS'!U78</f>
        <v>0</v>
      </c>
      <c r="T15" s="317">
        <f>-'Non-Federal DS'!V78</f>
        <v>0</v>
      </c>
      <c r="U15" s="317">
        <f>-'Non-Federal DS'!W78</f>
        <v>0</v>
      </c>
      <c r="V15" s="317">
        <f>-'Non-Federal DS'!X78</f>
        <v>0</v>
      </c>
      <c r="W15" s="317">
        <f>-'Non-Federal DS'!Y78</f>
        <v>0</v>
      </c>
      <c r="X15" s="317">
        <f>-'Non-Federal DS'!Z78</f>
        <v>0</v>
      </c>
      <c r="Y15" s="317">
        <f>-'Non-Federal DS'!AA78</f>
        <v>0</v>
      </c>
      <c r="Z15" s="317">
        <f>-'Non-Federal DS'!AB78</f>
        <v>0</v>
      </c>
      <c r="AA15" s="317">
        <f>-'Non-Federal DS'!AC78</f>
        <v>0</v>
      </c>
      <c r="AB15" s="317">
        <f>-'Non-Federal DS'!AD78</f>
        <v>0</v>
      </c>
      <c r="AC15" s="317">
        <f>-'Non-Federal DS'!AE78</f>
        <v>0</v>
      </c>
      <c r="AD15" s="317">
        <f>-'Non-Federal DS'!AF78</f>
        <v>0</v>
      </c>
    </row>
    <row r="16" spans="1:30" s="317" customFormat="1" ht="12.75">
      <c r="A16" s="317">
        <v>11</v>
      </c>
      <c r="B16" s="318" t="s">
        <v>657</v>
      </c>
      <c r="E16" s="317">
        <f>-'Non-Federal DS'!G76</f>
        <v>-1460</v>
      </c>
      <c r="F16" s="317">
        <f>-'Non-Federal DS'!H76</f>
        <v>-1490</v>
      </c>
      <c r="G16" s="317">
        <f>-'Non-Federal DS'!I76</f>
        <v>-1535</v>
      </c>
      <c r="H16" s="317">
        <f>-'Non-Federal DS'!J76</f>
        <v>-1605</v>
      </c>
      <c r="I16" s="317">
        <f>-'Non-Federal DS'!K76</f>
        <v>-1685</v>
      </c>
      <c r="J16" s="317">
        <f>-'Non-Federal DS'!L76</f>
        <v>-1765</v>
      </c>
      <c r="K16" s="317">
        <f>-'Non-Federal DS'!M76</f>
        <v>-1855</v>
      </c>
      <c r="L16" s="317">
        <f>-'Non-Federal DS'!N76</f>
        <v>0</v>
      </c>
      <c r="M16" s="317">
        <f>-'Non-Federal DS'!O76</f>
        <v>0</v>
      </c>
      <c r="N16" s="344">
        <f>-'Non-Federal DS'!P76</f>
        <v>0</v>
      </c>
      <c r="O16" s="317">
        <f>-'Non-Federal DS'!Q76</f>
        <v>0</v>
      </c>
      <c r="P16" s="317">
        <f>-'Non-Federal DS'!R76</f>
        <v>0</v>
      </c>
      <c r="Q16" s="317">
        <f>-'Non-Federal DS'!S76</f>
        <v>0</v>
      </c>
      <c r="R16" s="317">
        <f>-'Non-Federal DS'!T76</f>
        <v>0</v>
      </c>
      <c r="S16" s="317">
        <f>-'Non-Federal DS'!U76</f>
        <v>0</v>
      </c>
      <c r="T16" s="317">
        <f>-'Non-Federal DS'!V76</f>
        <v>0</v>
      </c>
      <c r="U16" s="317">
        <f>-'Non-Federal DS'!W76</f>
        <v>0</v>
      </c>
      <c r="V16" s="317">
        <f>-'Non-Federal DS'!X76</f>
        <v>0</v>
      </c>
      <c r="W16" s="317">
        <f>-'Non-Federal DS'!Y76</f>
        <v>0</v>
      </c>
      <c r="X16" s="317">
        <f>-'Non-Federal DS'!Z76</f>
        <v>0</v>
      </c>
      <c r="Y16" s="317">
        <f>-'Non-Federal DS'!AA76</f>
        <v>0</v>
      </c>
      <c r="Z16" s="317">
        <f>-'Non-Federal DS'!AB76</f>
        <v>0</v>
      </c>
      <c r="AA16" s="317">
        <f>-'Non-Federal DS'!AC76</f>
        <v>0</v>
      </c>
      <c r="AB16" s="317">
        <f>-'Non-Federal DS'!AD76</f>
        <v>0</v>
      </c>
      <c r="AC16" s="317">
        <f>-'Non-Federal DS'!AE76</f>
        <v>0</v>
      </c>
      <c r="AD16" s="317">
        <f>-'Non-Federal DS'!AF76</f>
        <v>0</v>
      </c>
    </row>
    <row r="17" spans="1:30" s="317" customFormat="1" ht="12.75">
      <c r="A17" s="317">
        <v>12</v>
      </c>
      <c r="B17" s="318" t="s">
        <v>658</v>
      </c>
      <c r="E17" s="317">
        <f>-'Non-Federal DS'!G77</f>
        <v>-3475</v>
      </c>
      <c r="F17" s="317">
        <f>-'Non-Federal DS'!H77</f>
        <v>-3650</v>
      </c>
      <c r="G17" s="317">
        <f>-'Non-Federal DS'!I77</f>
        <v>-3830</v>
      </c>
      <c r="H17" s="317">
        <f>-'Non-Federal DS'!J77</f>
        <v>-4020</v>
      </c>
      <c r="I17" s="317">
        <f>-'Non-Federal DS'!K77</f>
        <v>-4220</v>
      </c>
      <c r="J17" s="317">
        <f>-'Non-Federal DS'!L77</f>
        <v>-4435</v>
      </c>
      <c r="K17" s="317">
        <f>-'Non-Federal DS'!M77</f>
        <v>-4655</v>
      </c>
      <c r="L17" s="317">
        <f>-'Non-Federal DS'!N77</f>
        <v>-4900</v>
      </c>
      <c r="M17" s="317">
        <f>-'Non-Federal DS'!O77</f>
        <v>-5155</v>
      </c>
      <c r="N17" s="344">
        <f>-'Non-Federal DS'!P77</f>
        <v>-5430</v>
      </c>
      <c r="O17" s="317">
        <f>-'Non-Federal DS'!Q77</f>
        <v>-5710</v>
      </c>
      <c r="P17" s="317">
        <f>-'Non-Federal DS'!R77</f>
        <v>-6010</v>
      </c>
      <c r="Q17" s="317">
        <f>-'Non-Federal DS'!S77</f>
        <v>-6330</v>
      </c>
      <c r="R17" s="317">
        <f>-'Non-Federal DS'!T77</f>
        <v>-13775</v>
      </c>
      <c r="S17" s="317">
        <f>-'Non-Federal DS'!U77</f>
        <v>0</v>
      </c>
      <c r="T17" s="317">
        <f>-'Non-Federal DS'!V77</f>
        <v>0</v>
      </c>
      <c r="U17" s="317">
        <f>-'Non-Federal DS'!W77</f>
        <v>0</v>
      </c>
      <c r="V17" s="317">
        <f>-'Non-Federal DS'!X77</f>
        <v>0</v>
      </c>
      <c r="W17" s="317">
        <f>-'Non-Federal DS'!Y77</f>
        <v>0</v>
      </c>
      <c r="X17" s="317">
        <f>-'Non-Federal DS'!Z77</f>
        <v>0</v>
      </c>
      <c r="Y17" s="317">
        <f>-'Non-Federal DS'!AA77</f>
        <v>0</v>
      </c>
      <c r="Z17" s="317">
        <f>-'Non-Federal DS'!AB77</f>
        <v>0</v>
      </c>
      <c r="AA17" s="317">
        <f>-'Non-Federal DS'!AC77</f>
        <v>0</v>
      </c>
      <c r="AB17" s="317">
        <f>-'Non-Federal DS'!AD77</f>
        <v>0</v>
      </c>
      <c r="AC17" s="317">
        <f>-'Non-Federal DS'!AE77</f>
        <v>0</v>
      </c>
      <c r="AD17" s="317">
        <f>-'Non-Federal DS'!AF77</f>
        <v>0</v>
      </c>
    </row>
    <row r="18" spans="1:30" s="317" customFormat="1" ht="17.25">
      <c r="A18" s="317">
        <v>13</v>
      </c>
      <c r="B18" s="318" t="s">
        <v>669</v>
      </c>
      <c r="C18" s="325"/>
      <c r="D18" s="325"/>
      <c r="E18" s="325">
        <f>-'Federal Capital Costs'!C16+'Federal Capital Costs'!C6</f>
        <v>-19852.53205315788</v>
      </c>
      <c r="F18" s="325">
        <f>-'Federal Capital Costs'!D16+'Federal Capital Costs'!D6</f>
        <v>-20773.62563546466</v>
      </c>
      <c r="G18" s="325">
        <f>-'Federal Capital Costs'!E16+'Federal Capital Costs'!E6</f>
        <v>-21737.46248630842</v>
      </c>
      <c r="H18" s="325">
        <f>-'Federal Capital Costs'!F16+'Federal Capital Costs'!F6</f>
        <v>-22746.02642939172</v>
      </c>
      <c r="I18" s="325">
        <f>-'Federal Capital Costs'!G16+'Federal Capital Costs'!G6</f>
        <v>-23801.39337690005</v>
      </c>
      <c r="J18" s="325">
        <f>-'Federal Capital Costs'!H16+'Federal Capital Costs'!H6</f>
        <v>-24905.73560483774</v>
      </c>
      <c r="K18" s="325">
        <f>-'Federal Capital Costs'!I16+'Federal Capital Costs'!I6</f>
        <v>-26061.32622687918</v>
      </c>
      <c r="L18" s="325">
        <f>-'Federal Capital Costs'!J16+'Federal Capital Costs'!J6</f>
        <v>-27270.543875954016</v>
      </c>
      <c r="M18" s="325">
        <f>-'Federal Capital Costs'!K16+'Federal Capital Costs'!K6</f>
        <v>-28535.877603213306</v>
      </c>
      <c r="N18" s="345">
        <f>-'Federal Capital Costs'!L16+'Federal Capital Costs'!L6</f>
        <v>-29859.93200447159</v>
      </c>
      <c r="O18" s="325">
        <f>-'Federal Capital Costs'!M16+'Federal Capital Costs'!M6</f>
        <v>0</v>
      </c>
      <c r="P18" s="325">
        <f>-'Federal Capital Costs'!N16+'Federal Capital Costs'!N6</f>
        <v>0</v>
      </c>
      <c r="Q18" s="325">
        <f>-'Federal Capital Costs'!O16+'Federal Capital Costs'!O6</f>
        <v>0</v>
      </c>
      <c r="R18" s="325">
        <f>-'Federal Capital Costs'!P16+'Federal Capital Costs'!P6</f>
        <v>0</v>
      </c>
      <c r="S18" s="325">
        <f>-'Federal Capital Costs'!Q16+'Federal Capital Costs'!Q6</f>
        <v>0</v>
      </c>
      <c r="T18" s="325">
        <f>-'Federal Capital Costs'!R16+'Federal Capital Costs'!R6</f>
        <v>0</v>
      </c>
      <c r="U18" s="325">
        <f>-'Federal Capital Costs'!S16+'Federal Capital Costs'!S6</f>
        <v>0</v>
      </c>
      <c r="V18" s="325">
        <f>-'Federal Capital Costs'!T16+'Federal Capital Costs'!T6</f>
        <v>0</v>
      </c>
      <c r="W18" s="325">
        <f>-'Federal Capital Costs'!U16+'Federal Capital Costs'!U6</f>
        <v>0</v>
      </c>
      <c r="X18" s="325">
        <f>-'Federal Capital Costs'!V16+'Federal Capital Costs'!V6</f>
        <v>0</v>
      </c>
      <c r="Y18" s="325">
        <f>-'Federal Capital Costs'!W16+'Federal Capital Costs'!W6</f>
        <v>0</v>
      </c>
      <c r="Z18" s="325">
        <f>-'Federal Capital Costs'!X16+'Federal Capital Costs'!X6</f>
        <v>0</v>
      </c>
      <c r="AA18" s="325">
        <f>-'Federal Capital Costs'!Y16+'Federal Capital Costs'!Y6</f>
        <v>0</v>
      </c>
      <c r="AB18" s="325">
        <f>-'Federal Capital Costs'!Z16+'Federal Capital Costs'!Z6</f>
        <v>0</v>
      </c>
      <c r="AC18" s="325">
        <f>-'Federal Capital Costs'!AA16+'Federal Capital Costs'!AA6</f>
        <v>0</v>
      </c>
      <c r="AD18" s="325">
        <f>-'Federal Capital Costs'!AB16+'Federal Capital Costs'!AB6</f>
        <v>0</v>
      </c>
    </row>
    <row r="19" spans="1:30" s="317" customFormat="1" ht="12.75">
      <c r="A19" s="317">
        <v>14</v>
      </c>
      <c r="B19" s="318" t="s">
        <v>665</v>
      </c>
      <c r="C19" s="317">
        <v>5765584</v>
      </c>
      <c r="D19" s="317">
        <v>5426014</v>
      </c>
      <c r="E19" s="317">
        <f>SUM(E12:E18)</f>
        <v>5136608.467946842</v>
      </c>
      <c r="F19" s="317">
        <f aca="true" t="shared" si="4" ref="F19:AD19">SUM(F12:F18)</f>
        <v>4872784.842311378</v>
      </c>
      <c r="G19" s="317">
        <f t="shared" si="4"/>
        <v>4808461.30282507</v>
      </c>
      <c r="H19" s="317">
        <f t="shared" si="4"/>
        <v>4781611.961395678</v>
      </c>
      <c r="I19" s="317">
        <f t="shared" si="4"/>
        <v>4489836.396018778</v>
      </c>
      <c r="J19" s="317">
        <f t="shared" si="4"/>
        <v>4208620.53441394</v>
      </c>
      <c r="K19" s="317">
        <f t="shared" si="4"/>
        <v>3889209.032187061</v>
      </c>
      <c r="L19" s="317">
        <f t="shared" si="4"/>
        <v>3556580.7773111067</v>
      </c>
      <c r="M19" s="317">
        <f t="shared" si="4"/>
        <v>3261288.1177078933</v>
      </c>
      <c r="N19" s="317">
        <f t="shared" si="4"/>
        <v>2847770.7547034216</v>
      </c>
      <c r="O19" s="317">
        <f t="shared" si="4"/>
        <v>2878341.6947034216</v>
      </c>
      <c r="P19" s="317">
        <f t="shared" si="4"/>
        <v>2824551.4127034214</v>
      </c>
      <c r="Q19" s="317">
        <f t="shared" si="4"/>
        <v>2747874.2157034213</v>
      </c>
      <c r="R19" s="317">
        <f t="shared" si="4"/>
        <v>2752409.1247034213</v>
      </c>
      <c r="S19" s="317">
        <f t="shared" si="4"/>
        <v>2731089.7967034215</v>
      </c>
      <c r="T19" s="317">
        <f t="shared" si="4"/>
        <v>2685531.4127034214</v>
      </c>
      <c r="U19" s="317">
        <f t="shared" si="4"/>
        <v>2650295.2907034215</v>
      </c>
      <c r="V19" s="317">
        <f t="shared" si="4"/>
        <v>2613491.4247034215</v>
      </c>
      <c r="W19" s="317">
        <f t="shared" si="4"/>
        <v>2585994.4437034214</v>
      </c>
      <c r="X19" s="317">
        <f t="shared" si="4"/>
        <v>2510394.9727034215</v>
      </c>
      <c r="Y19" s="317">
        <f t="shared" si="4"/>
        <v>2523574.8007034217</v>
      </c>
      <c r="Z19" s="317">
        <f t="shared" si="4"/>
        <v>2518538.472703422</v>
      </c>
      <c r="AA19" s="317">
        <f t="shared" si="4"/>
        <v>2503540.475703422</v>
      </c>
      <c r="AB19" s="317">
        <f t="shared" si="4"/>
        <v>2468074.341703422</v>
      </c>
      <c r="AC19" s="317">
        <f t="shared" si="4"/>
        <v>2411514.1077034217</v>
      </c>
      <c r="AD19" s="317">
        <f t="shared" si="4"/>
        <v>2353008.2207034216</v>
      </c>
    </row>
    <row r="20" spans="1:14" s="317" customFormat="1" ht="12.75">
      <c r="A20" s="317">
        <v>15</v>
      </c>
      <c r="B20" s="318"/>
      <c r="N20" s="344"/>
    </row>
    <row r="21" spans="1:30" s="317" customFormat="1" ht="15.75">
      <c r="A21" s="317">
        <v>16</v>
      </c>
      <c r="B21" s="337" t="s">
        <v>694</v>
      </c>
      <c r="C21" s="317">
        <f>+C19+C10</f>
        <v>9727825</v>
      </c>
      <c r="D21" s="317">
        <f>+D19+D10</f>
        <v>9452838</v>
      </c>
      <c r="E21" s="317">
        <f aca="true" t="shared" si="5" ref="E21:AD21">+E19+E10</f>
        <v>8930173.384846842</v>
      </c>
      <c r="F21" s="317">
        <f t="shared" si="5"/>
        <v>8837712.818811378</v>
      </c>
      <c r="G21" s="317">
        <f t="shared" si="5"/>
        <v>8640019.472125068</v>
      </c>
      <c r="H21" s="317">
        <f t="shared" si="5"/>
        <v>8661458.597195677</v>
      </c>
      <c r="I21" s="317">
        <f t="shared" si="5"/>
        <v>8645649.197418777</v>
      </c>
      <c r="J21" s="317">
        <f t="shared" si="5"/>
        <v>8669617.05101394</v>
      </c>
      <c r="K21" s="317">
        <f t="shared" si="5"/>
        <v>8686066.42858706</v>
      </c>
      <c r="L21" s="317">
        <f t="shared" si="5"/>
        <v>8658704.291211106</v>
      </c>
      <c r="M21" s="317">
        <f t="shared" si="5"/>
        <v>8649038.748407893</v>
      </c>
      <c r="N21" s="344">
        <f t="shared" si="5"/>
        <v>8586305.489403421</v>
      </c>
      <c r="O21" s="317">
        <f t="shared" si="5"/>
        <v>8586915.802903421</v>
      </c>
      <c r="P21" s="317">
        <f t="shared" si="5"/>
        <v>8621323.260286521</v>
      </c>
      <c r="Q21" s="317">
        <f t="shared" si="5"/>
        <v>8603604.407272663</v>
      </c>
      <c r="R21" s="317">
        <f t="shared" si="5"/>
        <v>8608775.508774819</v>
      </c>
      <c r="S21" s="317">
        <f t="shared" si="5"/>
        <v>8586251.846317027</v>
      </c>
      <c r="T21" s="317">
        <f t="shared" si="5"/>
        <v>8517285.787953934</v>
      </c>
      <c r="U21" s="317">
        <f t="shared" si="5"/>
        <v>8423845.789970785</v>
      </c>
      <c r="V21" s="317">
        <f t="shared" si="5"/>
        <v>8367387.441875754</v>
      </c>
      <c r="W21" s="317">
        <f t="shared" si="5"/>
        <v>8299685.35274569</v>
      </c>
      <c r="X21" s="317">
        <f t="shared" si="5"/>
        <v>8133001.243379894</v>
      </c>
      <c r="Y21" s="317">
        <f t="shared" si="5"/>
        <v>7976133.064900376</v>
      </c>
      <c r="Z21" s="317">
        <f t="shared" si="5"/>
        <v>7773857.119281499</v>
      </c>
      <c r="AA21" s="317">
        <f t="shared" si="5"/>
        <v>7617936.125991925</v>
      </c>
      <c r="AB21" s="317">
        <f t="shared" si="5"/>
        <v>7574580.527772075</v>
      </c>
      <c r="AC21" s="317">
        <f t="shared" si="5"/>
        <v>7833987.242019197</v>
      </c>
      <c r="AD21" s="317">
        <f t="shared" si="5"/>
        <v>8102439.597215274</v>
      </c>
    </row>
    <row r="22" spans="1:21" s="311" customFormat="1" ht="12.75">
      <c r="A22" s="317">
        <v>17</v>
      </c>
      <c r="B22" s="319"/>
      <c r="C22" s="317"/>
      <c r="D22" s="312"/>
      <c r="E22" s="312"/>
      <c r="F22" s="312"/>
      <c r="G22" s="312"/>
      <c r="H22" s="312"/>
      <c r="I22" s="312"/>
      <c r="J22" s="312"/>
      <c r="K22" s="312"/>
      <c r="L22" s="312"/>
      <c r="M22" s="312"/>
      <c r="N22" s="346"/>
      <c r="O22" s="312"/>
      <c r="P22" s="312"/>
      <c r="Q22" s="312"/>
      <c r="R22" s="312"/>
      <c r="S22" s="312"/>
      <c r="T22" s="312"/>
      <c r="U22" s="312"/>
    </row>
    <row r="23" spans="1:21" s="311" customFormat="1" ht="15.75">
      <c r="A23" s="317">
        <v>18</v>
      </c>
      <c r="B23" s="320" t="s">
        <v>645</v>
      </c>
      <c r="C23" s="317"/>
      <c r="D23" s="312"/>
      <c r="E23" s="312"/>
      <c r="F23" s="312"/>
      <c r="G23" s="312"/>
      <c r="H23" s="312"/>
      <c r="I23" s="312"/>
      <c r="J23" s="312"/>
      <c r="K23" s="312"/>
      <c r="L23" s="312"/>
      <c r="M23" s="312"/>
      <c r="N23" s="346"/>
      <c r="O23" s="312"/>
      <c r="P23" s="312"/>
      <c r="Q23" s="312"/>
      <c r="R23" s="312"/>
      <c r="S23" s="312"/>
      <c r="T23" s="312"/>
      <c r="U23" s="312"/>
    </row>
    <row r="24" spans="1:30" s="317" customFormat="1" ht="12.75">
      <c r="A24" s="317">
        <v>19</v>
      </c>
      <c r="B24" s="321" t="s">
        <v>689</v>
      </c>
      <c r="E24" s="317">
        <f aca="true" t="shared" si="6" ref="E24:AD24">+D26</f>
        <v>9351271</v>
      </c>
      <c r="F24" s="317">
        <f t="shared" si="6"/>
        <v>9690536.4201</v>
      </c>
      <c r="G24" s="317">
        <f t="shared" si="6"/>
        <v>10018539.7092</v>
      </c>
      <c r="H24" s="317">
        <f t="shared" si="6"/>
        <v>10388824.126</v>
      </c>
      <c r="I24" s="317">
        <f t="shared" si="6"/>
        <v>10754289.911</v>
      </c>
      <c r="J24" s="317">
        <f t="shared" si="6"/>
        <v>11129930.211000001</v>
      </c>
      <c r="K24" s="317">
        <f t="shared" si="6"/>
        <v>11534154.000000002</v>
      </c>
      <c r="L24" s="317">
        <f t="shared" si="6"/>
        <v>11968986.129000003</v>
      </c>
      <c r="M24" s="317">
        <f t="shared" si="6"/>
        <v>12366195.583200002</v>
      </c>
      <c r="N24" s="344">
        <f t="shared" si="6"/>
        <v>12760070.306700002</v>
      </c>
      <c r="O24" s="317">
        <f t="shared" si="6"/>
        <v>13217861.410700003</v>
      </c>
      <c r="P24" s="317">
        <f t="shared" si="6"/>
        <v>13621948.784200003</v>
      </c>
      <c r="Q24" s="317">
        <f t="shared" si="6"/>
        <v>14013597.502383104</v>
      </c>
      <c r="R24" s="317">
        <f t="shared" si="6"/>
        <v>14429735.846369246</v>
      </c>
      <c r="S24" s="317">
        <f t="shared" si="6"/>
        <v>14854088.0388714</v>
      </c>
      <c r="T24" s="317">
        <f t="shared" si="6"/>
        <v>15286850.704413608</v>
      </c>
      <c r="U24" s="317">
        <f t="shared" si="6"/>
        <v>15728274.030050516</v>
      </c>
      <c r="V24" s="317">
        <f t="shared" si="6"/>
        <v>16178617.154067367</v>
      </c>
      <c r="W24" s="317">
        <f t="shared" si="6"/>
        <v>16638106.671972336</v>
      </c>
      <c r="X24" s="317">
        <f t="shared" si="6"/>
        <v>17106934.56384227</v>
      </c>
      <c r="Y24" s="317">
        <f t="shared" si="6"/>
        <v>17585253.925476473</v>
      </c>
      <c r="Z24" s="317">
        <f t="shared" si="6"/>
        <v>18073219.918996956</v>
      </c>
      <c r="AA24" s="317">
        <f t="shared" si="6"/>
        <v>18571076.30137808</v>
      </c>
      <c r="AB24" s="317">
        <f t="shared" si="6"/>
        <v>19079076.305088505</v>
      </c>
      <c r="AC24" s="317">
        <f t="shared" si="6"/>
        <v>19597477.840868656</v>
      </c>
      <c r="AD24" s="317">
        <f t="shared" si="6"/>
        <v>20126594.78911578</v>
      </c>
    </row>
    <row r="25" spans="1:30" s="317" customFormat="1" ht="17.25">
      <c r="A25" s="317">
        <v>20</v>
      </c>
      <c r="B25" s="321" t="s">
        <v>640</v>
      </c>
      <c r="C25" s="325"/>
      <c r="D25" s="325"/>
      <c r="E25" s="325">
        <f>+'Fed Projections'!D11</f>
        <v>339265.4201</v>
      </c>
      <c r="F25" s="325">
        <f>+'Fed Projections'!E11</f>
        <v>328003.28909999994</v>
      </c>
      <c r="G25" s="325">
        <f>+'Fed Projections'!F11</f>
        <v>370284.41679999995</v>
      </c>
      <c r="H25" s="325">
        <f>+'Fed Projections'!G11</f>
        <v>365465.78500000003</v>
      </c>
      <c r="I25" s="325">
        <f>+'Fed Projections'!H11</f>
        <v>375640.30000000005</v>
      </c>
      <c r="J25" s="325">
        <f>+'Fed Projections'!I11</f>
        <v>404223.789</v>
      </c>
      <c r="K25" s="325">
        <f>+'Fed Projections'!J11</f>
        <v>434832.12899999996</v>
      </c>
      <c r="L25" s="325">
        <f>+'Fed Projections'!K11</f>
        <v>397209.45420000004</v>
      </c>
      <c r="M25" s="325">
        <f>+'Fed Projections'!L11</f>
        <v>393874.7235</v>
      </c>
      <c r="N25" s="345">
        <f>+'Fed Projections'!M11</f>
        <v>457791.104</v>
      </c>
      <c r="O25" s="325">
        <f>+'Fed Projections'!N11</f>
        <v>404087.3735</v>
      </c>
      <c r="P25" s="325">
        <f>+'Fed Projections'!O11</f>
        <v>391648.7181831</v>
      </c>
      <c r="Q25" s="325">
        <f>+'Fed Projections'!P11</f>
        <v>416138.3439861429</v>
      </c>
      <c r="R25" s="325">
        <f>+'Fed Projections'!Q11</f>
        <v>424352.1925021549</v>
      </c>
      <c r="S25" s="325">
        <f>+'Fed Projections'!R11</f>
        <v>432762.6655422072</v>
      </c>
      <c r="T25" s="325">
        <f>+'Fed Projections'!S11</f>
        <v>441423.3256369078</v>
      </c>
      <c r="U25" s="325">
        <f>+'Fed Projections'!T11</f>
        <v>450343.12401685095</v>
      </c>
      <c r="V25" s="325">
        <f>+'Fed Projections'!U11</f>
        <v>459489.5179049694</v>
      </c>
      <c r="W25" s="325">
        <f>+'Fed Projections'!V11</f>
        <v>468827.89186993596</v>
      </c>
      <c r="X25" s="325">
        <f>+'Fed Projections'!W11</f>
        <v>478319.36163420364</v>
      </c>
      <c r="Y25" s="325">
        <f>+'Fed Projections'!X11</f>
        <v>487965.99352048256</v>
      </c>
      <c r="Z25" s="325">
        <f>+'Fed Projections'!Y11</f>
        <v>497856.3823811216</v>
      </c>
      <c r="AA25" s="325">
        <f>+'Fed Projections'!Z11</f>
        <v>508000.0037104261</v>
      </c>
      <c r="AB25" s="325">
        <f>+'Fed Projections'!AA11</f>
        <v>518401.5357801497</v>
      </c>
      <c r="AC25" s="325">
        <f>+'Fed Projections'!AB11</f>
        <v>529116.948247123</v>
      </c>
      <c r="AD25" s="325">
        <f>+'Fed Projections'!AC11</f>
        <v>540108.2421960764</v>
      </c>
    </row>
    <row r="26" spans="1:30" s="317" customFormat="1" ht="12.75">
      <c r="A26" s="317">
        <v>21</v>
      </c>
      <c r="B26" s="321" t="s">
        <v>690</v>
      </c>
      <c r="C26" s="317">
        <v>9203174</v>
      </c>
      <c r="D26" s="317">
        <v>9351271</v>
      </c>
      <c r="E26" s="317">
        <f aca="true" t="shared" si="7" ref="E26">SUM(E24:E25)</f>
        <v>9690536.4201</v>
      </c>
      <c r="F26" s="317">
        <f aca="true" t="shared" si="8" ref="F26">SUM(F24:F25)</f>
        <v>10018539.7092</v>
      </c>
      <c r="G26" s="317">
        <f aca="true" t="shared" si="9" ref="G26">SUM(G24:G25)</f>
        <v>10388824.126</v>
      </c>
      <c r="H26" s="317">
        <f aca="true" t="shared" si="10" ref="H26">SUM(H24:H25)</f>
        <v>10754289.911</v>
      </c>
      <c r="I26" s="317">
        <f aca="true" t="shared" si="11" ref="I26">SUM(I24:I25)</f>
        <v>11129930.211000001</v>
      </c>
      <c r="J26" s="317">
        <f aca="true" t="shared" si="12" ref="J26">SUM(J24:J25)</f>
        <v>11534154.000000002</v>
      </c>
      <c r="K26" s="317">
        <f aca="true" t="shared" si="13" ref="K26">SUM(K24:K25)</f>
        <v>11968986.129000003</v>
      </c>
      <c r="L26" s="317">
        <f aca="true" t="shared" si="14" ref="L26">SUM(L24:L25)</f>
        <v>12366195.583200002</v>
      </c>
      <c r="M26" s="317">
        <f aca="true" t="shared" si="15" ref="M26">SUM(M24:M25)</f>
        <v>12760070.306700002</v>
      </c>
      <c r="N26" s="344">
        <f aca="true" t="shared" si="16" ref="N26">SUM(N24:N25)</f>
        <v>13217861.410700003</v>
      </c>
      <c r="O26" s="317">
        <f aca="true" t="shared" si="17" ref="O26">SUM(O24:O25)</f>
        <v>13621948.784200003</v>
      </c>
      <c r="P26" s="317">
        <f aca="true" t="shared" si="18" ref="P26">SUM(P24:P25)</f>
        <v>14013597.502383104</v>
      </c>
      <c r="Q26" s="317">
        <f aca="true" t="shared" si="19" ref="Q26">SUM(Q24:Q25)</f>
        <v>14429735.846369246</v>
      </c>
      <c r="R26" s="317">
        <f aca="true" t="shared" si="20" ref="R26">SUM(R24:R25)</f>
        <v>14854088.0388714</v>
      </c>
      <c r="S26" s="317">
        <f aca="true" t="shared" si="21" ref="S26">SUM(S24:S25)</f>
        <v>15286850.704413608</v>
      </c>
      <c r="T26" s="317">
        <f aca="true" t="shared" si="22" ref="T26">SUM(T24:T25)</f>
        <v>15728274.030050516</v>
      </c>
      <c r="U26" s="317">
        <f aca="true" t="shared" si="23" ref="U26">SUM(U24:U25)</f>
        <v>16178617.154067367</v>
      </c>
      <c r="V26" s="317">
        <f aca="true" t="shared" si="24" ref="V26">SUM(V24:V25)</f>
        <v>16638106.671972336</v>
      </c>
      <c r="W26" s="317">
        <f aca="true" t="shared" si="25" ref="W26">SUM(W24:W25)</f>
        <v>17106934.56384227</v>
      </c>
      <c r="X26" s="317">
        <f aca="true" t="shared" si="26" ref="X26">SUM(X24:X25)</f>
        <v>17585253.925476473</v>
      </c>
      <c r="Y26" s="317">
        <f aca="true" t="shared" si="27" ref="Y26">SUM(Y24:Y25)</f>
        <v>18073219.918996956</v>
      </c>
      <c r="Z26" s="317">
        <f aca="true" t="shared" si="28" ref="Z26">SUM(Z24:Z25)</f>
        <v>18571076.30137808</v>
      </c>
      <c r="AA26" s="317">
        <f aca="true" t="shared" si="29" ref="AA26">SUM(AA24:AA25)</f>
        <v>19079076.305088505</v>
      </c>
      <c r="AB26" s="317">
        <f aca="true" t="shared" si="30" ref="AB26">SUM(AB24:AB25)</f>
        <v>19597477.840868656</v>
      </c>
      <c r="AC26" s="317">
        <f aca="true" t="shared" si="31" ref="AC26">SUM(AC24:AC25)</f>
        <v>20126594.78911578</v>
      </c>
      <c r="AD26" s="317">
        <f aca="true" t="shared" si="32" ref="AD26">SUM(AD24:AD25)</f>
        <v>20666703.031311855</v>
      </c>
    </row>
    <row r="27" spans="1:14" s="317" customFormat="1" ht="12.75">
      <c r="A27" s="317">
        <v>22</v>
      </c>
      <c r="B27" s="321"/>
      <c r="N27" s="344"/>
    </row>
    <row r="28" spans="1:30" s="322" customFormat="1" ht="12.75">
      <c r="A28" s="317">
        <v>23</v>
      </c>
      <c r="B28" s="321" t="s">
        <v>667</v>
      </c>
      <c r="E28" s="322">
        <f>+D30</f>
        <v>-3518882</v>
      </c>
      <c r="F28" s="322">
        <f aca="true" t="shared" si="33" ref="F28:AD28">+E30</f>
        <v>-3655271.29161172</v>
      </c>
      <c r="G28" s="322">
        <f t="shared" si="33"/>
        <v>-3794238.87937942</v>
      </c>
      <c r="H28" s="322">
        <f t="shared" si="33"/>
        <v>-3935289.01198112</v>
      </c>
      <c r="I28" s="322">
        <f t="shared" si="33"/>
        <v>-4080017.48288592</v>
      </c>
      <c r="J28" s="322">
        <f t="shared" si="33"/>
        <v>-4227091.36010112</v>
      </c>
      <c r="K28" s="322">
        <f t="shared" si="33"/>
        <v>-4377671.64667047</v>
      </c>
      <c r="L28" s="322">
        <f t="shared" si="33"/>
        <v>-4531435.41467047</v>
      </c>
      <c r="M28" s="322">
        <f t="shared" si="33"/>
        <v>-4689846.71199047</v>
      </c>
      <c r="N28" s="344">
        <f t="shared" si="33"/>
        <v>-4852007.82699047</v>
      </c>
      <c r="O28" s="322">
        <f t="shared" si="33"/>
        <v>-5018100.36499047</v>
      </c>
      <c r="P28" s="322">
        <f t="shared" si="33"/>
        <v>-5188996.79999047</v>
      </c>
      <c r="Q28" s="322">
        <f t="shared" si="33"/>
        <v>-5364365.439990469</v>
      </c>
      <c r="R28" s="322">
        <f t="shared" si="33"/>
        <v>-5544443.997613676</v>
      </c>
      <c r="S28" s="322">
        <f t="shared" si="33"/>
        <v>-5729439.387521773</v>
      </c>
      <c r="T28" s="322">
        <f t="shared" si="33"/>
        <v>-5919558.438031688</v>
      </c>
      <c r="U28" s="322">
        <f t="shared" si="33"/>
        <v>-6114980.98134053</v>
      </c>
      <c r="V28" s="322">
        <f t="shared" si="33"/>
        <v>-6315864.57049273</v>
      </c>
      <c r="W28" s="322">
        <f t="shared" si="33"/>
        <v>-6522371.631252866</v>
      </c>
      <c r="X28" s="322">
        <f t="shared" si="33"/>
        <v>-6734669.619053439</v>
      </c>
      <c r="Y28" s="322">
        <f t="shared" si="33"/>
        <v>-6952931.181192827</v>
      </c>
      <c r="Z28" s="322">
        <f t="shared" si="33"/>
        <v>-7177334.3244649265</v>
      </c>
      <c r="AA28" s="322">
        <f t="shared" si="33"/>
        <v>-7408062.58840837</v>
      </c>
      <c r="AB28" s="322">
        <f t="shared" si="33"/>
        <v>-7645305.22436992</v>
      </c>
      <c r="AC28" s="322">
        <f t="shared" si="33"/>
        <v>-7645305.22436992</v>
      </c>
      <c r="AD28" s="322">
        <f t="shared" si="33"/>
        <v>-7645305.22436992</v>
      </c>
    </row>
    <row r="29" spans="1:30" s="322" customFormat="1" ht="17.25">
      <c r="A29" s="317">
        <v>24</v>
      </c>
      <c r="B29" s="321" t="s">
        <v>642</v>
      </c>
      <c r="C29" s="324"/>
      <c r="D29" s="324"/>
      <c r="E29" s="324">
        <f>-Depreciation!D8</f>
        <v>-136389.29161172</v>
      </c>
      <c r="F29" s="324">
        <f>-Depreciation!E8</f>
        <v>-138967.5877677</v>
      </c>
      <c r="G29" s="324">
        <f>-Depreciation!F8</f>
        <v>-141050.1326017</v>
      </c>
      <c r="H29" s="324">
        <f>-Depreciation!G8</f>
        <v>-144728.4709048</v>
      </c>
      <c r="I29" s="324">
        <f>-Depreciation!H8</f>
        <v>-147073.87721520002</v>
      </c>
      <c r="J29" s="324">
        <f>-Depreciation!I8</f>
        <v>-150580.28656935</v>
      </c>
      <c r="K29" s="324">
        <f>-Depreciation!J8</f>
        <v>-153763.76799999998</v>
      </c>
      <c r="L29" s="324">
        <f>-Depreciation!K8</f>
        <v>-158411.29732</v>
      </c>
      <c r="M29" s="324">
        <f>-Depreciation!L8</f>
        <v>-162161.115</v>
      </c>
      <c r="N29" s="345">
        <f>-Depreciation!M8</f>
        <v>-166092.538</v>
      </c>
      <c r="O29" s="324">
        <f>-Depreciation!N8</f>
        <v>-170896.435</v>
      </c>
      <c r="P29" s="324">
        <f>-Depreciation!O8</f>
        <v>-175368.64</v>
      </c>
      <c r="Q29" s="324">
        <f>-Depreciation!P8</f>
        <v>-180078.55762320702</v>
      </c>
      <c r="R29" s="324">
        <f>-Depreciation!Q8</f>
        <v>-184995.38990809646</v>
      </c>
      <c r="S29" s="324">
        <f>-Depreciation!R8</f>
        <v>-190119.0505099154</v>
      </c>
      <c r="T29" s="324">
        <f>-Depreciation!S8</f>
        <v>-195422.54330884197</v>
      </c>
      <c r="U29" s="324">
        <f>-Depreciation!T8</f>
        <v>-200883.5891521992</v>
      </c>
      <c r="V29" s="324">
        <f>-Depreciation!U8</f>
        <v>-206507.06076013704</v>
      </c>
      <c r="W29" s="324">
        <f>-Depreciation!V8</f>
        <v>-212297.98780057282</v>
      </c>
      <c r="X29" s="324">
        <f>-Depreciation!W8</f>
        <v>-218261.56213938812</v>
      </c>
      <c r="Y29" s="324">
        <f>-Depreciation!X8</f>
        <v>-224403.1432720994</v>
      </c>
      <c r="Z29" s="324">
        <f>-Depreciation!Y8</f>
        <v>-230728.26394344325</v>
      </c>
      <c r="AA29" s="324">
        <f>-Depreciation!Z8</f>
        <v>-237242.63596155058</v>
      </c>
      <c r="AB29" s="324">
        <f>-Depreciation!AA8</f>
        <v>0</v>
      </c>
      <c r="AC29" s="324">
        <f>-Depreciation!AB8</f>
        <v>0</v>
      </c>
      <c r="AD29" s="324">
        <f>-Depreciation!AC8</f>
        <v>0</v>
      </c>
    </row>
    <row r="30" spans="1:30" s="322" customFormat="1" ht="12.75">
      <c r="A30" s="317">
        <v>25</v>
      </c>
      <c r="B30" s="321" t="s">
        <v>666</v>
      </c>
      <c r="C30" s="322">
        <v>-3409169</v>
      </c>
      <c r="D30" s="317">
        <v>-3518882</v>
      </c>
      <c r="E30" s="317">
        <f aca="true" t="shared" si="34" ref="E30">SUM(E28:E29)</f>
        <v>-3655271.29161172</v>
      </c>
      <c r="F30" s="317">
        <f aca="true" t="shared" si="35" ref="F30">SUM(F28:F29)</f>
        <v>-3794238.87937942</v>
      </c>
      <c r="G30" s="317">
        <f aca="true" t="shared" si="36" ref="G30">SUM(G28:G29)</f>
        <v>-3935289.01198112</v>
      </c>
      <c r="H30" s="317">
        <f aca="true" t="shared" si="37" ref="H30">SUM(H28:H29)</f>
        <v>-4080017.48288592</v>
      </c>
      <c r="I30" s="317">
        <f aca="true" t="shared" si="38" ref="I30">SUM(I28:I29)</f>
        <v>-4227091.36010112</v>
      </c>
      <c r="J30" s="317">
        <f aca="true" t="shared" si="39" ref="J30">SUM(J28:J29)</f>
        <v>-4377671.64667047</v>
      </c>
      <c r="K30" s="317">
        <f aca="true" t="shared" si="40" ref="K30">SUM(K28:K29)</f>
        <v>-4531435.41467047</v>
      </c>
      <c r="L30" s="317">
        <f aca="true" t="shared" si="41" ref="L30">SUM(L28:L29)</f>
        <v>-4689846.71199047</v>
      </c>
      <c r="M30" s="317">
        <f aca="true" t="shared" si="42" ref="M30">SUM(M28:M29)</f>
        <v>-4852007.82699047</v>
      </c>
      <c r="N30" s="344">
        <f aca="true" t="shared" si="43" ref="N30">SUM(N28:N29)</f>
        <v>-5018100.36499047</v>
      </c>
      <c r="O30" s="317">
        <f aca="true" t="shared" si="44" ref="O30">SUM(O28:O29)</f>
        <v>-5188996.79999047</v>
      </c>
      <c r="P30" s="317">
        <f aca="true" t="shared" si="45" ref="P30">SUM(P28:P29)</f>
        <v>-5364365.439990469</v>
      </c>
      <c r="Q30" s="317">
        <f aca="true" t="shared" si="46" ref="Q30">SUM(Q28:Q29)</f>
        <v>-5544443.997613676</v>
      </c>
      <c r="R30" s="317">
        <f aca="true" t="shared" si="47" ref="R30">SUM(R28:R29)</f>
        <v>-5729439.387521773</v>
      </c>
      <c r="S30" s="317">
        <f aca="true" t="shared" si="48" ref="S30">SUM(S28:S29)</f>
        <v>-5919558.438031688</v>
      </c>
      <c r="T30" s="317">
        <f aca="true" t="shared" si="49" ref="T30">SUM(T28:T29)</f>
        <v>-6114980.98134053</v>
      </c>
      <c r="U30" s="317">
        <f aca="true" t="shared" si="50" ref="U30">SUM(U28:U29)</f>
        <v>-6315864.57049273</v>
      </c>
      <c r="V30" s="317">
        <f aca="true" t="shared" si="51" ref="V30">SUM(V28:V29)</f>
        <v>-6522371.631252866</v>
      </c>
      <c r="W30" s="317">
        <f aca="true" t="shared" si="52" ref="W30">SUM(W28:W29)</f>
        <v>-6734669.619053439</v>
      </c>
      <c r="X30" s="317">
        <f aca="true" t="shared" si="53" ref="X30">SUM(X28:X29)</f>
        <v>-6952931.181192827</v>
      </c>
      <c r="Y30" s="317">
        <f aca="true" t="shared" si="54" ref="Y30">SUM(Y28:Y29)</f>
        <v>-7177334.3244649265</v>
      </c>
      <c r="Z30" s="317">
        <f aca="true" t="shared" si="55" ref="Z30">SUM(Z28:Z29)</f>
        <v>-7408062.58840837</v>
      </c>
      <c r="AA30" s="317">
        <f aca="true" t="shared" si="56" ref="AA30">SUM(AA28:AA29)</f>
        <v>-7645305.22436992</v>
      </c>
      <c r="AB30" s="317">
        <f aca="true" t="shared" si="57" ref="AB30">SUM(AB28:AB29)</f>
        <v>-7645305.22436992</v>
      </c>
      <c r="AC30" s="317">
        <f aca="true" t="shared" si="58" ref="AC30">SUM(AC28:AC29)</f>
        <v>-7645305.22436992</v>
      </c>
      <c r="AD30" s="317">
        <f aca="true" t="shared" si="59" ref="AD30">SUM(AD28:AD29)</f>
        <v>-7645305.22436992</v>
      </c>
    </row>
    <row r="31" spans="1:14" s="322" customFormat="1" ht="12.75">
      <c r="A31" s="317">
        <v>26</v>
      </c>
      <c r="B31" s="321"/>
      <c r="N31" s="344"/>
    </row>
    <row r="32" spans="1:30" s="317" customFormat="1" ht="12.75">
      <c r="A32" s="317">
        <v>27</v>
      </c>
      <c r="B32" s="321" t="s">
        <v>691</v>
      </c>
      <c r="E32" s="317">
        <f>+D34</f>
        <v>3350904</v>
      </c>
      <c r="F32" s="317">
        <f aca="true" t="shared" si="60" ref="F32:AD32">+E34</f>
        <v>4013387</v>
      </c>
      <c r="G32" s="317">
        <f t="shared" si="60"/>
        <v>4112707</v>
      </c>
      <c r="H32" s="317">
        <f t="shared" si="60"/>
        <v>4179690.923</v>
      </c>
      <c r="I32" s="317">
        <f t="shared" si="60"/>
        <v>4261627.608</v>
      </c>
      <c r="J32" s="317">
        <f t="shared" si="60"/>
        <v>4352593.436</v>
      </c>
      <c r="K32" s="317">
        <f t="shared" si="60"/>
        <v>4466368.31</v>
      </c>
      <c r="L32" s="317">
        <f t="shared" si="60"/>
        <v>4553733.134</v>
      </c>
      <c r="M32" s="317">
        <f t="shared" si="60"/>
        <v>4659990.4229999995</v>
      </c>
      <c r="N32" s="344">
        <f t="shared" si="60"/>
        <v>4767233.641</v>
      </c>
      <c r="O32" s="317">
        <f t="shared" si="60"/>
        <v>4922276.21</v>
      </c>
      <c r="P32" s="317">
        <f t="shared" si="60"/>
        <v>5043112.15</v>
      </c>
      <c r="Q32" s="317">
        <f t="shared" si="60"/>
        <v>5220554.541</v>
      </c>
      <c r="R32" s="317">
        <f t="shared" si="60"/>
        <v>5380616.851</v>
      </c>
      <c r="S32" s="317">
        <f t="shared" si="60"/>
        <v>5581573.927999999</v>
      </c>
      <c r="T32" s="317">
        <f t="shared" si="60"/>
        <v>5741819.662</v>
      </c>
      <c r="U32" s="317">
        <f t="shared" si="60"/>
        <v>5891375.221999999</v>
      </c>
      <c r="V32" s="317">
        <f t="shared" si="60"/>
        <v>6030818.708999999</v>
      </c>
      <c r="W32" s="317">
        <f t="shared" si="60"/>
        <v>6157352.737999999</v>
      </c>
      <c r="X32" s="317">
        <f t="shared" si="60"/>
        <v>6294895.444999999</v>
      </c>
      <c r="Y32" s="317">
        <f t="shared" si="60"/>
        <v>6388241.896</v>
      </c>
      <c r="Z32" s="317">
        <f t="shared" si="60"/>
        <v>6464184.306</v>
      </c>
      <c r="AA32" s="317">
        <f t="shared" si="60"/>
        <v>6522928.6899999995</v>
      </c>
      <c r="AB32" s="317">
        <f t="shared" si="60"/>
        <v>6563472.103999999</v>
      </c>
      <c r="AC32" s="317">
        <f t="shared" si="60"/>
        <v>6584321.811999999</v>
      </c>
      <c r="AD32" s="317">
        <f t="shared" si="60"/>
        <v>6584321.811999999</v>
      </c>
    </row>
    <row r="33" spans="1:30" s="322" customFormat="1" ht="17.25">
      <c r="A33" s="317">
        <v>28</v>
      </c>
      <c r="B33" s="321" t="s">
        <v>641</v>
      </c>
      <c r="C33" s="324"/>
      <c r="D33" s="324"/>
      <c r="E33" s="324">
        <f>67717+594766</f>
        <v>662483</v>
      </c>
      <c r="F33" s="324">
        <v>99320</v>
      </c>
      <c r="G33" s="324">
        <v>66983.923</v>
      </c>
      <c r="H33" s="324">
        <v>81936.685</v>
      </c>
      <c r="I33" s="324">
        <v>90965.82800000001</v>
      </c>
      <c r="J33" s="324">
        <v>113774.874</v>
      </c>
      <c r="K33" s="324">
        <v>87364.824</v>
      </c>
      <c r="L33" s="324">
        <v>106257.289</v>
      </c>
      <c r="M33" s="324">
        <v>107243.218</v>
      </c>
      <c r="N33" s="345">
        <v>155042.569</v>
      </c>
      <c r="O33" s="324">
        <v>120835.93999999999</v>
      </c>
      <c r="P33" s="324">
        <v>177442.391</v>
      </c>
      <c r="Q33" s="324">
        <v>160062.31</v>
      </c>
      <c r="R33" s="324">
        <v>200957.07700000005</v>
      </c>
      <c r="S33" s="324">
        <v>160245.734</v>
      </c>
      <c r="T33" s="324">
        <v>149555.56</v>
      </c>
      <c r="U33" s="324">
        <v>139443.48700000002</v>
      </c>
      <c r="V33" s="324">
        <v>126534.02900000001</v>
      </c>
      <c r="W33" s="324">
        <v>137542.707</v>
      </c>
      <c r="X33" s="324">
        <v>93346.45099999999</v>
      </c>
      <c r="Y33" s="324">
        <v>75942.41</v>
      </c>
      <c r="Z33" s="324">
        <v>58744.38399999999</v>
      </c>
      <c r="AA33" s="324">
        <v>40543.414000000004</v>
      </c>
      <c r="AB33" s="324">
        <v>20849.708</v>
      </c>
      <c r="AC33" s="324"/>
      <c r="AD33" s="324"/>
    </row>
    <row r="34" spans="1:30" s="322" customFormat="1" ht="12.75">
      <c r="A34" s="317">
        <v>29</v>
      </c>
      <c r="B34" s="321" t="s">
        <v>692</v>
      </c>
      <c r="C34" s="322">
        <v>3518733</v>
      </c>
      <c r="D34" s="322">
        <v>3350904</v>
      </c>
      <c r="E34" s="322">
        <f aca="true" t="shared" si="61" ref="E34:AD34">SUM(E32:E33)</f>
        <v>4013387</v>
      </c>
      <c r="F34" s="322">
        <f t="shared" si="61"/>
        <v>4112707</v>
      </c>
      <c r="G34" s="322">
        <f t="shared" si="61"/>
        <v>4179690.923</v>
      </c>
      <c r="H34" s="322">
        <f t="shared" si="61"/>
        <v>4261627.608</v>
      </c>
      <c r="I34" s="322">
        <f t="shared" si="61"/>
        <v>4352593.436</v>
      </c>
      <c r="J34" s="322">
        <f t="shared" si="61"/>
        <v>4466368.31</v>
      </c>
      <c r="K34" s="322">
        <f t="shared" si="61"/>
        <v>4553733.134</v>
      </c>
      <c r="L34" s="322">
        <f t="shared" si="61"/>
        <v>4659990.4229999995</v>
      </c>
      <c r="M34" s="322">
        <f t="shared" si="61"/>
        <v>4767233.641</v>
      </c>
      <c r="N34" s="344">
        <f t="shared" si="61"/>
        <v>4922276.21</v>
      </c>
      <c r="O34" s="322">
        <f t="shared" si="61"/>
        <v>5043112.15</v>
      </c>
      <c r="P34" s="322">
        <f t="shared" si="61"/>
        <v>5220554.541</v>
      </c>
      <c r="Q34" s="322">
        <f t="shared" si="61"/>
        <v>5380616.851</v>
      </c>
      <c r="R34" s="322">
        <f t="shared" si="61"/>
        <v>5581573.927999999</v>
      </c>
      <c r="S34" s="322">
        <f t="shared" si="61"/>
        <v>5741819.662</v>
      </c>
      <c r="T34" s="322">
        <f t="shared" si="61"/>
        <v>5891375.221999999</v>
      </c>
      <c r="U34" s="322">
        <f t="shared" si="61"/>
        <v>6030818.708999999</v>
      </c>
      <c r="V34" s="322">
        <f t="shared" si="61"/>
        <v>6157352.737999999</v>
      </c>
      <c r="W34" s="322">
        <f t="shared" si="61"/>
        <v>6294895.444999999</v>
      </c>
      <c r="X34" s="322">
        <f t="shared" si="61"/>
        <v>6388241.896</v>
      </c>
      <c r="Y34" s="322">
        <f t="shared" si="61"/>
        <v>6464184.306</v>
      </c>
      <c r="Z34" s="322">
        <f t="shared" si="61"/>
        <v>6522928.6899999995</v>
      </c>
      <c r="AA34" s="322">
        <f t="shared" si="61"/>
        <v>6563472.103999999</v>
      </c>
      <c r="AB34" s="322">
        <f t="shared" si="61"/>
        <v>6584321.811999999</v>
      </c>
      <c r="AC34" s="322">
        <f t="shared" si="61"/>
        <v>6584321.811999999</v>
      </c>
      <c r="AD34" s="322">
        <f t="shared" si="61"/>
        <v>6584321.811999999</v>
      </c>
    </row>
    <row r="35" spans="1:14" s="322" customFormat="1" ht="12.75">
      <c r="A35" s="317">
        <v>30</v>
      </c>
      <c r="B35" s="321"/>
      <c r="N35" s="344"/>
    </row>
    <row r="36" spans="1:30" s="322" customFormat="1" ht="12.75">
      <c r="A36" s="317">
        <v>31</v>
      </c>
      <c r="B36" s="321" t="s">
        <v>673</v>
      </c>
      <c r="E36" s="322">
        <f aca="true" t="shared" si="62" ref="E36:F36">+D36+D37</f>
        <v>0</v>
      </c>
      <c r="F36" s="322">
        <f t="shared" si="62"/>
        <v>-419180</v>
      </c>
      <c r="G36" s="322">
        <f aca="true" t="shared" si="63" ref="G36:AD36">+F36+F37</f>
        <v>-598300.9863493979</v>
      </c>
      <c r="H36" s="322">
        <f t="shared" si="63"/>
        <v>-778575.5210858926</v>
      </c>
      <c r="I36" s="322">
        <f t="shared" si="63"/>
        <v>-958220.1197774435</v>
      </c>
      <c r="J36" s="322">
        <f t="shared" si="63"/>
        <v>-1139391.1507042884</v>
      </c>
      <c r="K36" s="322">
        <f t="shared" si="63"/>
        <v>-1325054.3212854543</v>
      </c>
      <c r="L36" s="322">
        <f t="shared" si="63"/>
        <v>-1516627.8749315552</v>
      </c>
      <c r="M36" s="322">
        <f t="shared" si="63"/>
        <v>-1712988.542221492</v>
      </c>
      <c r="N36" s="344">
        <f t="shared" si="63"/>
        <v>-1915509.0523520084</v>
      </c>
      <c r="O36" s="322">
        <f t="shared" si="63"/>
        <v>-2124629.1451286785</v>
      </c>
      <c r="P36" s="322">
        <f t="shared" si="63"/>
        <v>-2343915.9637414142</v>
      </c>
      <c r="Q36" s="322">
        <f t="shared" si="63"/>
        <v>-2571682.497441869</v>
      </c>
      <c r="R36" s="322">
        <f t="shared" si="63"/>
        <v>-2812840.909708362</v>
      </c>
      <c r="S36" s="322">
        <f t="shared" si="63"/>
        <v>-3067065.632995263</v>
      </c>
      <c r="T36" s="322">
        <f t="shared" si="63"/>
        <v>-3333886.28449413</v>
      </c>
      <c r="U36" s="322">
        <f t="shared" si="63"/>
        <v>-3616340.666139338</v>
      </c>
      <c r="V36" s="322">
        <f t="shared" si="63"/>
        <v>-3914963.216433195</v>
      </c>
      <c r="W36" s="322">
        <f t="shared" si="63"/>
        <v>-4230488.007575537</v>
      </c>
      <c r="X36" s="322">
        <f t="shared" si="63"/>
        <v>-4563465.76823512</v>
      </c>
      <c r="Y36" s="322">
        <f t="shared" si="63"/>
        <v>-4918450.362014703</v>
      </c>
      <c r="Z36" s="322">
        <f t="shared" si="63"/>
        <v>-5291215.232175239</v>
      </c>
      <c r="AA36" s="322">
        <f t="shared" si="63"/>
        <v>-5681848.904688716</v>
      </c>
      <c r="AB36" s="322">
        <f t="shared" si="63"/>
        <v>-6090557.772279115</v>
      </c>
      <c r="AC36" s="322">
        <f t="shared" si="63"/>
        <v>-6090557.772279115</v>
      </c>
      <c r="AD36" s="322">
        <f t="shared" si="63"/>
        <v>-6090557.772279115</v>
      </c>
    </row>
    <row r="37" spans="1:30" s="322" customFormat="1" ht="17.25">
      <c r="A37" s="317">
        <v>32</v>
      </c>
      <c r="B37" s="321" t="s">
        <v>662</v>
      </c>
      <c r="C37" s="324"/>
      <c r="D37" s="324"/>
      <c r="E37" s="324">
        <f>-'Non-Federal DS'!G72-'Non-Federal DS'!G77</f>
        <v>-419180</v>
      </c>
      <c r="F37" s="324">
        <f>-Depreciation!E23-Depreciation!E26-Depreciation!E28</f>
        <v>-179120.98634939792</v>
      </c>
      <c r="G37" s="324">
        <f>-Depreciation!F23-Depreciation!F26-Depreciation!F28</f>
        <v>-180274.5347364947</v>
      </c>
      <c r="H37" s="324">
        <f>-Depreciation!G23-Depreciation!G26-Depreciation!G28</f>
        <v>-179644.59869155087</v>
      </c>
      <c r="I37" s="324">
        <f>-Depreciation!H23-Depreciation!H26-Depreciation!H28</f>
        <v>-181171.03092684498</v>
      </c>
      <c r="J37" s="324">
        <f>-Depreciation!I23-Depreciation!I26-Depreciation!I28</f>
        <v>-185663.170581166</v>
      </c>
      <c r="K37" s="324">
        <f>-Depreciation!J23-Depreciation!J26-Depreciation!J28</f>
        <v>-191573.55364610103</v>
      </c>
      <c r="L37" s="324">
        <f>-Depreciation!K23-Depreciation!K26-Depreciation!K28</f>
        <v>-196360.66728993665</v>
      </c>
      <c r="M37" s="324">
        <f>-Depreciation!L23-Depreciation!L26-Depreciation!L28</f>
        <v>-202520.51013051637</v>
      </c>
      <c r="N37" s="324">
        <f>-Depreciation!M23-Depreciation!M26-Depreciation!M28</f>
        <v>-209120.0927766702</v>
      </c>
      <c r="O37" s="324">
        <f>-Depreciation!N23-Depreciation!N26-Depreciation!N28</f>
        <v>-219286.81861273578</v>
      </c>
      <c r="P37" s="324">
        <f>-Depreciation!O23-Depreciation!O26-Depreciation!O28</f>
        <v>-227766.5337004551</v>
      </c>
      <c r="Q37" s="324">
        <f>-Depreciation!P23-Depreciation!P26-Depreciation!P28</f>
        <v>-241158.41226649284</v>
      </c>
      <c r="R37" s="324">
        <f>-Depreciation!Q23-Depreciation!Q26-Depreciation!Q28</f>
        <v>-254224.723286901</v>
      </c>
      <c r="S37" s="324">
        <f>-Depreciation!R23-Depreciation!R26-Depreciation!R28</f>
        <v>-266820.65149886685</v>
      </c>
      <c r="T37" s="324">
        <f>-Depreciation!S23-Depreciation!S26-Depreciation!S28</f>
        <v>-282454.3816452083</v>
      </c>
      <c r="U37" s="324">
        <f>-Depreciation!T23-Depreciation!T26-Depreciation!T28</f>
        <v>-298622.55029385694</v>
      </c>
      <c r="V37" s="324">
        <f>-Depreciation!U23-Depreciation!U26-Depreciation!U28</f>
        <v>-315524.7911423418</v>
      </c>
      <c r="W37" s="324">
        <f>-Depreciation!V23-Depreciation!V26-Depreciation!V28</f>
        <v>-332977.76065958315</v>
      </c>
      <c r="X37" s="324">
        <f>-Depreciation!W23-Depreciation!W26-Depreciation!W28</f>
        <v>-354984.59377958317</v>
      </c>
      <c r="Y37" s="324">
        <f>-Depreciation!X23-Depreciation!X26-Depreciation!X28</f>
        <v>-372764.87016053556</v>
      </c>
      <c r="Z37" s="324">
        <f>-Depreciation!Y23-Depreciation!Y26-Depreciation!Y28</f>
        <v>-390633.67251347675</v>
      </c>
      <c r="AA37" s="324">
        <f>-Depreciation!Z23-Depreciation!Z26-Depreciation!Z28</f>
        <v>-408708.8675903998</v>
      </c>
      <c r="AB37" s="324">
        <f>-Depreciation!AA23-Depreciation!AA26-Depreciation!AA28</f>
        <v>0</v>
      </c>
      <c r="AC37" s="324">
        <f>-Depreciation!AB23-Depreciation!AB26-Depreciation!AB28</f>
        <v>0</v>
      </c>
      <c r="AD37" s="324">
        <f>-Depreciation!AC23-Depreciation!AC26-Depreciation!AC28</f>
        <v>0</v>
      </c>
    </row>
    <row r="38" spans="1:30" s="322" customFormat="1" ht="12.75">
      <c r="A38" s="317">
        <v>33</v>
      </c>
      <c r="B38" s="321" t="s">
        <v>668</v>
      </c>
      <c r="C38" s="317">
        <v>0</v>
      </c>
      <c r="E38" s="322">
        <f aca="true" t="shared" si="64" ref="E38:AD38">SUM(E36:E37)</f>
        <v>-419180</v>
      </c>
      <c r="F38" s="322">
        <f t="shared" si="64"/>
        <v>-598300.9863493979</v>
      </c>
      <c r="G38" s="322">
        <f t="shared" si="64"/>
        <v>-778575.5210858926</v>
      </c>
      <c r="H38" s="322">
        <f t="shared" si="64"/>
        <v>-958220.1197774435</v>
      </c>
      <c r="I38" s="322">
        <f t="shared" si="64"/>
        <v>-1139391.1507042884</v>
      </c>
      <c r="J38" s="322">
        <f t="shared" si="64"/>
        <v>-1325054.3212854543</v>
      </c>
      <c r="K38" s="322">
        <f t="shared" si="64"/>
        <v>-1516627.8749315552</v>
      </c>
      <c r="L38" s="322">
        <f t="shared" si="64"/>
        <v>-1712988.542221492</v>
      </c>
      <c r="M38" s="322">
        <f t="shared" si="64"/>
        <v>-1915509.0523520084</v>
      </c>
      <c r="N38" s="344">
        <f t="shared" si="64"/>
        <v>-2124629.1451286785</v>
      </c>
      <c r="O38" s="322">
        <f t="shared" si="64"/>
        <v>-2343915.9637414142</v>
      </c>
      <c r="P38" s="322">
        <f t="shared" si="64"/>
        <v>-2571682.497441869</v>
      </c>
      <c r="Q38" s="322">
        <f t="shared" si="64"/>
        <v>-2812840.909708362</v>
      </c>
      <c r="R38" s="322">
        <f t="shared" si="64"/>
        <v>-3067065.632995263</v>
      </c>
      <c r="S38" s="322">
        <f t="shared" si="64"/>
        <v>-3333886.28449413</v>
      </c>
      <c r="T38" s="322">
        <f t="shared" si="64"/>
        <v>-3616340.666139338</v>
      </c>
      <c r="U38" s="322">
        <f t="shared" si="64"/>
        <v>-3914963.216433195</v>
      </c>
      <c r="V38" s="322">
        <f t="shared" si="64"/>
        <v>-4230488.007575537</v>
      </c>
      <c r="W38" s="322">
        <f t="shared" si="64"/>
        <v>-4563465.76823512</v>
      </c>
      <c r="X38" s="322">
        <f t="shared" si="64"/>
        <v>-4918450.362014703</v>
      </c>
      <c r="Y38" s="322">
        <f t="shared" si="64"/>
        <v>-5291215.232175239</v>
      </c>
      <c r="Z38" s="322">
        <f t="shared" si="64"/>
        <v>-5681848.904688716</v>
      </c>
      <c r="AA38" s="322">
        <f t="shared" si="64"/>
        <v>-6090557.772279115</v>
      </c>
      <c r="AB38" s="322">
        <f t="shared" si="64"/>
        <v>-6090557.772279115</v>
      </c>
      <c r="AC38" s="322">
        <f t="shared" si="64"/>
        <v>-6090557.772279115</v>
      </c>
      <c r="AD38" s="322">
        <f t="shared" si="64"/>
        <v>-6090557.772279115</v>
      </c>
    </row>
    <row r="39" spans="1:14" s="322" customFormat="1" ht="12.75">
      <c r="A39" s="317">
        <v>34</v>
      </c>
      <c r="B39" s="321"/>
      <c r="C39" s="317"/>
      <c r="N39" s="344"/>
    </row>
    <row r="40" spans="1:30" s="322" customFormat="1" ht="17.25">
      <c r="A40" s="317">
        <v>35</v>
      </c>
      <c r="B40" s="321" t="s">
        <v>681</v>
      </c>
      <c r="C40" s="325"/>
      <c r="D40" s="324"/>
      <c r="E40" s="324">
        <v>-189500</v>
      </c>
      <c r="F40" s="324">
        <v>-72500</v>
      </c>
      <c r="G40" s="324">
        <v>-81000</v>
      </c>
      <c r="H40" s="324">
        <v>-49500</v>
      </c>
      <c r="I40" s="324">
        <f>+'Non-Federal DS'!M40</f>
        <v>0</v>
      </c>
      <c r="J40" s="324">
        <f>+'Non-Federal DS'!N40</f>
        <v>0</v>
      </c>
      <c r="K40" s="324">
        <f>+'Non-Federal DS'!O40</f>
        <v>0</v>
      </c>
      <c r="L40" s="324">
        <f>+'Non-Federal DS'!P40</f>
        <v>0</v>
      </c>
      <c r="M40" s="324">
        <f>+'Non-Federal DS'!Q40</f>
        <v>0</v>
      </c>
      <c r="N40" s="345">
        <f>+'Non-Federal DS'!R40</f>
        <v>0</v>
      </c>
      <c r="O40" s="324">
        <f>+'Non-Federal DS'!S40</f>
        <v>0</v>
      </c>
      <c r="P40" s="324">
        <f>+'Non-Federal DS'!T40</f>
        <v>0</v>
      </c>
      <c r="Q40" s="324">
        <f>+'Non-Federal DS'!U40</f>
        <v>0</v>
      </c>
      <c r="R40" s="324">
        <f>+'Non-Federal DS'!V40</f>
        <v>0</v>
      </c>
      <c r="S40" s="324">
        <f>+'Non-Federal DS'!W40</f>
        <v>0</v>
      </c>
      <c r="T40" s="324">
        <f>+'Non-Federal DS'!X40</f>
        <v>0</v>
      </c>
      <c r="U40" s="324">
        <f>+'Non-Federal DS'!Y40</f>
        <v>0</v>
      </c>
      <c r="V40" s="324">
        <f>+'Non-Federal DS'!Z40</f>
        <v>0</v>
      </c>
      <c r="W40" s="324">
        <f>+'Non-Federal DS'!AA40</f>
        <v>0</v>
      </c>
      <c r="X40" s="324">
        <f>+'Non-Federal DS'!AB40</f>
        <v>0</v>
      </c>
      <c r="Y40" s="324">
        <f>+'Non-Federal DS'!AC40</f>
        <v>0</v>
      </c>
      <c r="Z40" s="324">
        <f>+'Non-Federal DS'!AD40</f>
        <v>0</v>
      </c>
      <c r="AA40" s="324">
        <f>+'Non-Federal DS'!AE40</f>
        <v>0</v>
      </c>
      <c r="AB40" s="324">
        <f>+'Non-Federal DS'!AF40</f>
        <v>0</v>
      </c>
      <c r="AC40" s="324">
        <f>+'Non-Federal DS'!AG40</f>
        <v>0</v>
      </c>
      <c r="AD40" s="324">
        <f>+'Non-Federal DS'!AH40</f>
        <v>0</v>
      </c>
    </row>
    <row r="41" spans="1:30" s="322" customFormat="1" ht="12.75">
      <c r="A41" s="317">
        <v>36</v>
      </c>
      <c r="B41" s="321" t="s">
        <v>676</v>
      </c>
      <c r="C41" s="317"/>
      <c r="D41" s="322">
        <f>+D40</f>
        <v>0</v>
      </c>
      <c r="E41" s="322">
        <f>+D41+E40</f>
        <v>-189500</v>
      </c>
      <c r="F41" s="322">
        <f>+E41+F40</f>
        <v>-262000</v>
      </c>
      <c r="G41" s="322">
        <f aca="true" t="shared" si="65" ref="G41:AD41">+F41+G40</f>
        <v>-343000</v>
      </c>
      <c r="H41" s="322">
        <f t="shared" si="65"/>
        <v>-392500</v>
      </c>
      <c r="I41" s="322">
        <f t="shared" si="65"/>
        <v>-392500</v>
      </c>
      <c r="J41" s="322">
        <f t="shared" si="65"/>
        <v>-392500</v>
      </c>
      <c r="K41" s="322">
        <f t="shared" si="65"/>
        <v>-392500</v>
      </c>
      <c r="L41" s="322">
        <f t="shared" si="65"/>
        <v>-392500</v>
      </c>
      <c r="M41" s="322">
        <f t="shared" si="65"/>
        <v>-392500</v>
      </c>
      <c r="N41" s="344">
        <f t="shared" si="65"/>
        <v>-392500</v>
      </c>
      <c r="O41" s="322">
        <f t="shared" si="65"/>
        <v>-392500</v>
      </c>
      <c r="P41" s="322">
        <f t="shared" si="65"/>
        <v>-392500</v>
      </c>
      <c r="Q41" s="322">
        <f t="shared" si="65"/>
        <v>-392500</v>
      </c>
      <c r="R41" s="322">
        <f t="shared" si="65"/>
        <v>-392500</v>
      </c>
      <c r="S41" s="322">
        <f t="shared" si="65"/>
        <v>-392500</v>
      </c>
      <c r="T41" s="322">
        <f t="shared" si="65"/>
        <v>-392500</v>
      </c>
      <c r="U41" s="322">
        <f t="shared" si="65"/>
        <v>-392500</v>
      </c>
      <c r="V41" s="322">
        <f t="shared" si="65"/>
        <v>-392500</v>
      </c>
      <c r="W41" s="322">
        <f t="shared" si="65"/>
        <v>-392500</v>
      </c>
      <c r="X41" s="322">
        <f t="shared" si="65"/>
        <v>-392500</v>
      </c>
      <c r="Y41" s="322">
        <f t="shared" si="65"/>
        <v>-392500</v>
      </c>
      <c r="Z41" s="322">
        <f t="shared" si="65"/>
        <v>-392500</v>
      </c>
      <c r="AA41" s="322">
        <f t="shared" si="65"/>
        <v>-392500</v>
      </c>
      <c r="AB41" s="322">
        <f t="shared" si="65"/>
        <v>-392500</v>
      </c>
      <c r="AC41" s="322">
        <f t="shared" si="65"/>
        <v>-392500</v>
      </c>
      <c r="AD41" s="322">
        <f t="shared" si="65"/>
        <v>-392500</v>
      </c>
    </row>
    <row r="42" spans="1:14" s="322" customFormat="1" ht="12.75">
      <c r="A42" s="317">
        <v>37</v>
      </c>
      <c r="B42" s="321"/>
      <c r="C42" s="317"/>
      <c r="N42" s="344"/>
    </row>
    <row r="43" spans="1:14" s="322" customFormat="1" ht="12.75">
      <c r="A43" s="317">
        <v>38</v>
      </c>
      <c r="B43" s="321"/>
      <c r="D43" s="323"/>
      <c r="E43" s="323"/>
      <c r="N43" s="344"/>
    </row>
    <row r="44" spans="1:30" s="322" customFormat="1" ht="17.25">
      <c r="A44" s="317">
        <v>39</v>
      </c>
      <c r="B44" s="321" t="s">
        <v>624</v>
      </c>
      <c r="C44" s="324">
        <v>583425</v>
      </c>
      <c r="D44" s="324">
        <v>683567</v>
      </c>
      <c r="E44" s="324">
        <f aca="true" t="shared" si="66" ref="E44:AD44">+D44</f>
        <v>683567</v>
      </c>
      <c r="F44" s="324">
        <f t="shared" si="66"/>
        <v>683567</v>
      </c>
      <c r="G44" s="324">
        <f t="shared" si="66"/>
        <v>683567</v>
      </c>
      <c r="H44" s="324">
        <f t="shared" si="66"/>
        <v>683567</v>
      </c>
      <c r="I44" s="324">
        <f t="shared" si="66"/>
        <v>683567</v>
      </c>
      <c r="J44" s="324">
        <f t="shared" si="66"/>
        <v>683567</v>
      </c>
      <c r="K44" s="324">
        <f t="shared" si="66"/>
        <v>683567</v>
      </c>
      <c r="L44" s="324">
        <f t="shared" si="66"/>
        <v>683567</v>
      </c>
      <c r="M44" s="324">
        <f t="shared" si="66"/>
        <v>683567</v>
      </c>
      <c r="N44" s="345">
        <f t="shared" si="66"/>
        <v>683567</v>
      </c>
      <c r="O44" s="324">
        <f t="shared" si="66"/>
        <v>683567</v>
      </c>
      <c r="P44" s="324">
        <f t="shared" si="66"/>
        <v>683567</v>
      </c>
      <c r="Q44" s="324">
        <f t="shared" si="66"/>
        <v>683567</v>
      </c>
      <c r="R44" s="324">
        <f t="shared" si="66"/>
        <v>683567</v>
      </c>
      <c r="S44" s="324">
        <f t="shared" si="66"/>
        <v>683567</v>
      </c>
      <c r="T44" s="324">
        <f t="shared" si="66"/>
        <v>683567</v>
      </c>
      <c r="U44" s="324">
        <f t="shared" si="66"/>
        <v>683567</v>
      </c>
      <c r="V44" s="324">
        <f t="shared" si="66"/>
        <v>683567</v>
      </c>
      <c r="W44" s="324">
        <f t="shared" si="66"/>
        <v>683567</v>
      </c>
      <c r="X44" s="324">
        <f t="shared" si="66"/>
        <v>683567</v>
      </c>
      <c r="Y44" s="324">
        <f t="shared" si="66"/>
        <v>683567</v>
      </c>
      <c r="Z44" s="324">
        <f t="shared" si="66"/>
        <v>683567</v>
      </c>
      <c r="AA44" s="324">
        <f t="shared" si="66"/>
        <v>683567</v>
      </c>
      <c r="AB44" s="324">
        <f t="shared" si="66"/>
        <v>683567</v>
      </c>
      <c r="AC44" s="324">
        <f t="shared" si="66"/>
        <v>683567</v>
      </c>
      <c r="AD44" s="324">
        <f t="shared" si="66"/>
        <v>683567</v>
      </c>
    </row>
    <row r="45" spans="1:30" s="322" customFormat="1" ht="15.75">
      <c r="A45" s="317">
        <v>40</v>
      </c>
      <c r="B45" s="336" t="s">
        <v>656</v>
      </c>
      <c r="C45" s="322">
        <f>+C44+C34+C30+C26</f>
        <v>9896163</v>
      </c>
      <c r="D45" s="322">
        <f>+D44+D34+D30+D26+D38+D41</f>
        <v>9866860</v>
      </c>
      <c r="E45" s="322">
        <f>+E44+E34+E30+E26+E38+E41</f>
        <v>10123539.12848828</v>
      </c>
      <c r="F45" s="322">
        <f aca="true" t="shared" si="67" ref="F45:H45">+F44+F34+F30+F26+F38+F41</f>
        <v>10160273.843471183</v>
      </c>
      <c r="G45" s="322">
        <f t="shared" si="67"/>
        <v>10195217.515932988</v>
      </c>
      <c r="H45" s="322">
        <f t="shared" si="67"/>
        <v>10268746.916336637</v>
      </c>
      <c r="I45" s="322">
        <f aca="true" t="shared" si="68" ref="I45">+I44+I34+I30+I26+I38+I41</f>
        <v>10407108.136194592</v>
      </c>
      <c r="J45" s="322">
        <f aca="true" t="shared" si="69" ref="J45">+J44+J34+J30+J26+J38+J41</f>
        <v>10588863.342044076</v>
      </c>
      <c r="K45" s="322">
        <f aca="true" t="shared" si="70" ref="K45:L45">+K44+K34+K30+K26+K38+K41</f>
        <v>10765722.973397978</v>
      </c>
      <c r="L45" s="322">
        <f t="shared" si="70"/>
        <v>10914417.75198804</v>
      </c>
      <c r="M45" s="322">
        <f aca="true" t="shared" si="71" ref="M45">+M44+M34+M30+M26+M38+M41</f>
        <v>11050854.068357524</v>
      </c>
      <c r="N45" s="344">
        <f aca="true" t="shared" si="72" ref="N45:O45">+N44+N34+N30+N26+N38+N41</f>
        <v>11288475.110580854</v>
      </c>
      <c r="O45" s="322">
        <f t="shared" si="72"/>
        <v>11423215.17046812</v>
      </c>
      <c r="P45" s="322">
        <f aca="true" t="shared" si="73" ref="P45">+P44+P34+P30+P26+P38+P41</f>
        <v>11589171.105950765</v>
      </c>
      <c r="Q45" s="322">
        <f aca="true" t="shared" si="74" ref="Q45">+Q44+Q34+Q30+Q26+Q38+Q41</f>
        <v>11744134.790047208</v>
      </c>
      <c r="R45" s="322">
        <f aca="true" t="shared" si="75" ref="R45">+R44+R34+R30+R26+R38+R41</f>
        <v>11930223.946354363</v>
      </c>
      <c r="S45" s="322">
        <f aca="true" t="shared" si="76" ref="S45">+S44+S34+S30+S26+S38+S41</f>
        <v>12066292.64388779</v>
      </c>
      <c r="T45" s="322">
        <f aca="true" t="shared" si="77" ref="T45">+T44+T34+T30+T26+T38+T41</f>
        <v>12179394.604570646</v>
      </c>
      <c r="U45" s="322">
        <f aca="true" t="shared" si="78" ref="U45">+U44+U34+U30+U26+U38+U41</f>
        <v>12269675.076141441</v>
      </c>
      <c r="V45" s="322">
        <f aca="true" t="shared" si="79" ref="V45">+V44+V34+V30+V26+V38+V41</f>
        <v>12333666.771143932</v>
      </c>
      <c r="W45" s="322">
        <f aca="true" t="shared" si="80" ref="W45">+W44+W34+W30+W26+W38+W41</f>
        <v>12394761.621553708</v>
      </c>
      <c r="X45" s="322">
        <f aca="true" t="shared" si="81" ref="X45">+X44+X34+X30+X26+X38+X41</f>
        <v>12393181.27826894</v>
      </c>
      <c r="Y45" s="322">
        <f aca="true" t="shared" si="82" ref="Y45:Z45">+Y44+Y34+Y30+Y26+Y38+Y41</f>
        <v>12359921.668356791</v>
      </c>
      <c r="Z45" s="322">
        <f t="shared" si="82"/>
        <v>12295160.498280995</v>
      </c>
      <c r="AA45" s="322">
        <f aca="true" t="shared" si="83" ref="AA45">+AA44+AA34+AA30+AA26+AA38+AA41</f>
        <v>12197752.412439471</v>
      </c>
      <c r="AB45" s="322">
        <f aca="true" t="shared" si="84" ref="AB45">+AB44+AB34+AB30+AB26+AB38+AB41</f>
        <v>12737003.656219618</v>
      </c>
      <c r="AC45" s="322">
        <f aca="true" t="shared" si="85" ref="AC45">+AC44+AC34+AC30+AC26+AC38+AC41</f>
        <v>13266120.604466742</v>
      </c>
      <c r="AD45" s="322">
        <f aca="true" t="shared" si="86" ref="AD45">+AD44+AD34+AD30+AD26+AD38+AD41</f>
        <v>13806228.846662818</v>
      </c>
    </row>
    <row r="46" spans="1:14" ht="12.75">
      <c r="A46" s="317">
        <v>41</v>
      </c>
      <c r="N46" s="326"/>
    </row>
    <row r="47" spans="1:30" ht="15.75">
      <c r="A47" s="317">
        <v>42</v>
      </c>
      <c r="B47" s="320" t="s">
        <v>693</v>
      </c>
      <c r="C47" s="327">
        <f aca="true" t="shared" si="87" ref="C47:AD47">+C21/C45</f>
        <v>0.9829895687853969</v>
      </c>
      <c r="D47" s="327">
        <f t="shared" si="87"/>
        <v>0.9580391330169882</v>
      </c>
      <c r="E47" s="339">
        <f t="shared" si="87"/>
        <v>0.8821197084838412</v>
      </c>
      <c r="F47" s="327">
        <f t="shared" si="87"/>
        <v>0.8698301792810772</v>
      </c>
      <c r="G47" s="339">
        <f t="shared" si="87"/>
        <v>0.8474580810681605</v>
      </c>
      <c r="H47" s="327">
        <f t="shared" si="87"/>
        <v>0.8434776577671896</v>
      </c>
      <c r="I47" s="339">
        <f t="shared" si="87"/>
        <v>0.830744629946749</v>
      </c>
      <c r="J47" s="327">
        <f t="shared" si="87"/>
        <v>0.8187486013338571</v>
      </c>
      <c r="K47" s="339">
        <f t="shared" si="87"/>
        <v>0.8068261137733403</v>
      </c>
      <c r="L47" s="327">
        <f t="shared" si="87"/>
        <v>0.7933271831778602</v>
      </c>
      <c r="M47" s="327">
        <f t="shared" si="87"/>
        <v>0.7826579461557753</v>
      </c>
      <c r="N47" s="328">
        <f t="shared" si="87"/>
        <v>0.7606258068776136</v>
      </c>
      <c r="O47" s="327">
        <f t="shared" si="87"/>
        <v>0.7517074374211873</v>
      </c>
      <c r="P47" s="327">
        <f t="shared" si="87"/>
        <v>0.7439119831322255</v>
      </c>
      <c r="Q47" s="327">
        <f t="shared" si="87"/>
        <v>0.7325873349617847</v>
      </c>
      <c r="R47" s="327">
        <f t="shared" si="87"/>
        <v>0.7215937896459594</v>
      </c>
      <c r="S47" s="327">
        <f t="shared" si="87"/>
        <v>0.7115898892661462</v>
      </c>
      <c r="T47" s="327">
        <f t="shared" si="87"/>
        <v>0.699319306458598</v>
      </c>
      <c r="U47" s="327">
        <f t="shared" si="87"/>
        <v>0.686558180041057</v>
      </c>
      <c r="V47" s="327">
        <f t="shared" si="87"/>
        <v>0.67841847823003</v>
      </c>
      <c r="W47" s="327">
        <f t="shared" si="87"/>
        <v>0.6696123415809031</v>
      </c>
      <c r="X47" s="327">
        <f t="shared" si="87"/>
        <v>0.6562480658328511</v>
      </c>
      <c r="Y47" s="327">
        <f t="shared" si="87"/>
        <v>0.6453222988718808</v>
      </c>
      <c r="Z47" s="327">
        <f t="shared" si="87"/>
        <v>0.6322696739394638</v>
      </c>
      <c r="AA47" s="327">
        <f t="shared" si="87"/>
        <v>0.6245360512665453</v>
      </c>
      <c r="AB47" s="327">
        <f t="shared" si="87"/>
        <v>0.5946909282760019</v>
      </c>
      <c r="AC47" s="327">
        <f t="shared" si="87"/>
        <v>0.5905258572262241</v>
      </c>
      <c r="AD47" s="327">
        <f t="shared" si="87"/>
        <v>0.586868411874381</v>
      </c>
    </row>
    <row r="48" spans="3:14" ht="12.75">
      <c r="C48" s="319">
        <v>2017</v>
      </c>
      <c r="D48" s="319">
        <v>2018</v>
      </c>
      <c r="E48" s="319">
        <v>2019</v>
      </c>
      <c r="F48" s="319">
        <v>2020</v>
      </c>
      <c r="G48" s="319">
        <v>2021</v>
      </c>
      <c r="H48" s="319">
        <v>2022</v>
      </c>
      <c r="I48" s="319">
        <v>2023</v>
      </c>
      <c r="J48" s="319">
        <v>2024</v>
      </c>
      <c r="K48" s="319">
        <v>2025</v>
      </c>
      <c r="L48" s="319">
        <v>2026</v>
      </c>
      <c r="M48" s="319">
        <v>2027</v>
      </c>
      <c r="N48" s="319">
        <v>2028</v>
      </c>
    </row>
    <row r="50" spans="1:2" ht="12.75">
      <c r="A50" s="329" t="s">
        <v>409</v>
      </c>
      <c r="B50" s="319" t="s">
        <v>675</v>
      </c>
    </row>
    <row r="51" spans="1:2" ht="12.75">
      <c r="A51" s="329" t="s">
        <v>670</v>
      </c>
      <c r="B51" s="319" t="s">
        <v>671</v>
      </c>
    </row>
    <row r="52" spans="1:2" ht="12.75">
      <c r="A52" s="329" t="s">
        <v>674</v>
      </c>
      <c r="B52" s="330" t="s">
        <v>663</v>
      </c>
    </row>
  </sheetData>
  <printOptions/>
  <pageMargins left="0.7" right="0.7" top="0.75" bottom="0.75" header="0.3" footer="0.3"/>
  <pageSetup fitToHeight="1" fitToWidth="1" horizontalDpi="600" verticalDpi="600" orientation="portrait" scale="1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4D9FF7095FEB429E1938B66AB06979" ma:contentTypeVersion="0" ma:contentTypeDescription="Create a new document." ma:contentTypeScope="" ma:versionID="341aa132de45be9ec33460de400bffdc">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5B1595-1136-40F5-8C27-E07D90D9F140}"/>
</file>

<file path=customXml/itemProps2.xml><?xml version="1.0" encoding="utf-8"?>
<ds:datastoreItem xmlns:ds="http://schemas.openxmlformats.org/officeDocument/2006/customXml" ds:itemID="{1F6F9F83-146C-4DA4-8F61-BD87AA8EC095}"/>
</file>

<file path=customXml/itemProps3.xml><?xml version="1.0" encoding="utf-8"?>
<ds:datastoreItem xmlns:ds="http://schemas.openxmlformats.org/officeDocument/2006/customXml" ds:itemID="{8F1F9A45-3736-448C-B12E-08A8B09108F9}"/>
</file>

<file path=customXml/itemProps4.xml><?xml version="1.0" encoding="utf-8"?>
<ds:datastoreItem xmlns:ds="http://schemas.openxmlformats.org/officeDocument/2006/customXml" ds:itemID="{4AA18083-CEFB-4C7C-9C05-1BDAAD41700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pbs8701</dc:creator>
  <cp:keywords/>
  <dc:description/>
  <cp:lastModifiedBy>Alex Lennox</cp:lastModifiedBy>
  <cp:lastPrinted>2019-07-01T17:06:23Z</cp:lastPrinted>
  <dcterms:created xsi:type="dcterms:W3CDTF">2010-11-26T22:14:36Z</dcterms:created>
  <dcterms:modified xsi:type="dcterms:W3CDTF">2019-07-22T18:25:34Z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Excel WorkBook</vt:lpwstr>
  </property>
  <property fmtid="{D5CDD505-2E9C-101B-9397-08002B2CF9AE}" pid="3" name="ContentTypeId">
    <vt:lpwstr>0x010100B74D9FF7095FEB429E1938B66AB06979</vt:lpwstr>
  </property>
</Properties>
</file>