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126"/>
  <workbookPr defaultThemeVersion="166925"/>
  <bookViews>
    <workbookView xWindow="65416" yWindow="65416" windowWidth="29040" windowHeight="15720" activeTab="0"/>
  </bookViews>
  <sheets>
    <sheet name="ScalarApproach" sheetId="4" r:id="rId1"/>
    <sheet name="Chart1" sheetId="6" r:id="rId2"/>
    <sheet name="SR TOCA Add" sheetId="5" r:id="rId3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<sst xmlns="http://schemas.openxmlformats.org/spreadsheetml/2006/main" count="337" uniqueCount="75">
  <si>
    <t>HLH</t>
  </si>
  <si>
    <t>LLH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</si>
  <si>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</si>
  <si>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</si>
  <si>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</si>
  <si>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</si>
  <si>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</si>
  <si>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</si>
  <si>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</si>
  <si>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</si>
  <si>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</si>
  <si>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</si>
  <si>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</si>
  <si>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</si>
  <si>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TOCA</t>
  </si>
  <si>
    <t>Load Shaping Charge</t>
  </si>
  <si>
    <t>Load Shaping Rates (Marginal, pull from BP-24)</t>
  </si>
  <si>
    <t>Repeat for all 5 Customers</t>
  </si>
  <si>
    <t>HLH and LLH Energy Rates</t>
  </si>
  <si>
    <t xml:space="preserve">Scalar </t>
  </si>
  <si>
    <t>Sum</t>
  </si>
  <si>
    <t>Revenue Collected at Marginal Rates</t>
  </si>
  <si>
    <t>Benchmark TOCA Shape for Load Shaping Billing Determinants.  Create a MWh Benchmark Shape, any shape you want in 24 bins.</t>
  </si>
  <si>
    <t>Customer 5</t>
  </si>
  <si>
    <t>Customer 4</t>
  </si>
  <si>
    <t>Customer 3</t>
  </si>
  <si>
    <t>Sum Customer MWh from TOCA Approach</t>
  </si>
  <si>
    <t>Customer 2</t>
  </si>
  <si>
    <t>Customer 1</t>
  </si>
  <si>
    <t>Take F13 and divide it by 100 to calculate an annual $/% TOCA Rate</t>
  </si>
  <si>
    <t>Effective Rate</t>
  </si>
  <si>
    <t>LLH Rev</t>
  </si>
  <si>
    <t>HLH Rev</t>
  </si>
  <si>
    <t>MWh Purchased</t>
  </si>
  <si>
    <t>Take E6 minus Total Load Shaping Revenue to calculate the amount of RR needed to be collected from Customer Charges</t>
  </si>
  <si>
    <t>HLH and LLH Energy Approach</t>
  </si>
  <si>
    <t>Customer Charge</t>
  </si>
  <si>
    <t>Customers</t>
  </si>
  <si>
    <t>TOCA + Load Shaping = Tier 1 Energy</t>
  </si>
  <si>
    <t>HLH AND LLH APPROACH</t>
  </si>
  <si>
    <t>TOCA APPROACH</t>
  </si>
  <si>
    <t>Populate Yellow Areas with values that cause E8 to equal $35/MWh</t>
  </si>
  <si>
    <t>Average Effective $/MWh Rate</t>
  </si>
  <si>
    <t>Sum Energy in E18:P19</t>
  </si>
  <si>
    <t>TOCA Charge</t>
  </si>
  <si>
    <t>TOCA Approach</t>
  </si>
  <si>
    <t>Total Load Shaping Revenue from 5 customers</t>
  </si>
  <si>
    <t>Revenue Requirement</t>
  </si>
  <si>
    <t>Load Shaping Revenue</t>
  </si>
  <si>
    <t>&lt;--target MWh</t>
  </si>
  <si>
    <t>Total</t>
  </si>
  <si>
    <t>Load Shaping Revenues = Load Shaping Billing Determinates * Load Shaping Rates</t>
  </si>
  <si>
    <t>Revenue Requirement less Load Shaping Revenue</t>
  </si>
  <si>
    <t>Revenues from Diurnal Rates</t>
  </si>
  <si>
    <t>LS on LLH Energy</t>
  </si>
  <si>
    <t>Energy HLH Charge</t>
  </si>
  <si>
    <t>Energy LLH Charge</t>
  </si>
  <si>
    <t>Total PRDM Diurnal Energy Charges</t>
  </si>
  <si>
    <t>TRM Cumulative Sum</t>
  </si>
  <si>
    <t>PRDM Diurnal Energy Cumulative Sum</t>
  </si>
  <si>
    <t>(1)</t>
  </si>
  <si>
    <t>(2)</t>
  </si>
  <si>
    <t>(3)</t>
  </si>
  <si>
    <t>(4)</t>
  </si>
  <si>
    <t>(5)</t>
  </si>
  <si>
    <t>(6)</t>
  </si>
  <si>
    <t>(7)</t>
  </si>
  <si>
    <t>(8)</t>
  </si>
  <si>
    <t>Customer Charges (TOCA * Composite+Non-Slice)</t>
  </si>
  <si>
    <t>Total TRM Charges [(1) + (4)]</t>
  </si>
  <si>
    <t>Total [(2) + (3)]</t>
  </si>
  <si>
    <t>LS on HLH Energy (Load - System Shaped Load * Market Rates)</t>
  </si>
  <si>
    <t>Example Customer Monthly Bills under TRM Rate Design vs. Shaped Diurnal Energy Charges</t>
  </si>
  <si>
    <t>TRM</t>
  </si>
  <si>
    <t>PRDM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</si>
</sst>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6" formatCode="_(&quot;$&quot;* #,##0_);_(&quot;$&quot;* \(#,##0\);_(&quot;$&quot;* &quot;-&quot;??_);_(@_)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 tint="-0.4999699890613556"/>
      <name val="Calibri"/>
      <family val="2"/>
      <scheme val="minor"/>
    </font>
    <font>
      <sz val="11"/>
      <color theme="9"/>
      <name val="Calibri"/>
      <family val="2"/>
      <scheme val="minor"/>
    </font>
    <font>
      <b/>
      <sz val="14"/>
      <color theme="4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 tint="0.35"/>
      <name val="Calibri"/>
      <family val="2"/>
    </font>
    <font>
      <sz val="9"/>
      <color theme="1" tint="0.35"/>
      <name val="+mn-cs"/>
      <family val="2"/>
    </font>
    <font>
      <sz val="10"/>
      <color theme="1" tint="0.35"/>
      <name val="Calibri"/>
      <family val="2"/>
    </font>
    <font>
      <sz val="9"/>
      <color theme="1" tint="0.35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/>
    <xf numFmtId="164" fontId="0" fillId="0" borderId="0" xfId="18" applyNumberFormat="1" applyFont="1"/>
    <xf numFmtId="43" fontId="0" fillId="0" borderId="0" xfId="0" applyNumberFormat="1"/>
    <xf numFmtId="9" fontId="0" fillId="0" borderId="0" xfId="0" applyNumberFormat="1"/>
    <xf numFmtId="0" fontId="0" fillId="0" borderId="0" xfId="0" applyAlignment="1">
      <alignment horizontal="right"/>
    </xf>
    <xf numFmtId="0" fontId="3" fillId="0" borderId="0" xfId="0" applyFont="1"/>
    <xf numFmtId="43" fontId="0" fillId="0" borderId="0" xfId="18" applyFont="1"/>
    <xf numFmtId="0" fontId="0" fillId="2" borderId="1" xfId="0" applyFill="1" applyBorder="1"/>
    <xf numFmtId="164" fontId="0" fillId="2" borderId="1" xfId="18" applyNumberFormat="1" applyFont="1" applyFill="1" applyBorder="1"/>
    <xf numFmtId="164" fontId="0" fillId="0" borderId="0" xfId="18" applyNumberFormat="1" applyFont="1" applyFill="1"/>
    <xf numFmtId="9" fontId="0" fillId="0" borderId="0" xfId="15" applyFont="1" applyFill="1"/>
    <xf numFmtId="164" fontId="0" fillId="0" borderId="0" xfId="0" applyNumberFormat="1"/>
    <xf numFmtId="164" fontId="3" fillId="0" borderId="0" xfId="18" applyNumberFormat="1" applyFont="1" applyFill="1" applyBorder="1"/>
    <xf numFmtId="164" fontId="4" fillId="0" borderId="0" xfId="18" applyNumberFormat="1" applyFont="1" applyFill="1"/>
    <xf numFmtId="164" fontId="3" fillId="0" borderId="0" xfId="0" applyNumberFormat="1" applyFont="1"/>
    <xf numFmtId="164" fontId="3" fillId="0" borderId="0" xfId="18" applyNumberFormat="1" applyFont="1"/>
    <xf numFmtId="164" fontId="4" fillId="0" borderId="0" xfId="0" applyNumberFormat="1" applyFont="1"/>
    <xf numFmtId="0" fontId="0" fillId="3" borderId="0" xfId="0" applyFill="1"/>
    <xf numFmtId="164" fontId="0" fillId="0" borderId="0" xfId="18" applyNumberFormat="1" applyFont="1" applyFill="1" applyBorder="1"/>
    <xf numFmtId="166" fontId="0" fillId="0" borderId="0" xfId="16" applyNumberFormat="1" applyFont="1" applyFill="1" applyBorder="1"/>
    <xf numFmtId="43" fontId="0" fillId="0" borderId="0" xfId="18" applyFont="1" applyFill="1" applyBorder="1"/>
    <xf numFmtId="166" fontId="0" fillId="0" borderId="0" xfId="0" applyNumberFormat="1"/>
    <xf numFmtId="0" fontId="0" fillId="4" borderId="0" xfId="0" applyFill="1"/>
    <xf numFmtId="0" fontId="5" fillId="4" borderId="0" xfId="0" applyFont="1" applyFill="1"/>
    <xf numFmtId="0" fontId="2" fillId="4" borderId="0" xfId="0" applyFont="1" applyFill="1"/>
    <xf numFmtId="0" fontId="0" fillId="4" borderId="0" xfId="0" applyFill="1" applyAlignment="1" quotePrefix="1">
      <alignment horizontal="right"/>
    </xf>
    <xf numFmtId="0" fontId="0" fillId="4" borderId="0" xfId="0" applyFill="1" applyAlignment="1">
      <alignment horizontal="right"/>
    </xf>
    <xf numFmtId="166" fontId="2" fillId="4" borderId="1" xfId="0" applyNumberFormat="1" applyFont="1" applyFill="1" applyBorder="1"/>
    <xf numFmtId="166" fontId="2" fillId="4" borderId="1" xfId="16" applyNumberFormat="1" applyFont="1" applyFill="1" applyBorder="1"/>
    <xf numFmtId="166" fontId="6" fillId="4" borderId="2" xfId="16" applyNumberFormat="1" applyFont="1" applyFill="1" applyBorder="1"/>
    <xf numFmtId="166" fontId="6" fillId="4" borderId="0" xfId="16" applyNumberFormat="1" applyFont="1" applyFill="1"/>
    <xf numFmtId="0" fontId="6" fillId="4" borderId="0" xfId="0" applyFont="1" applyFill="1"/>
    <xf numFmtId="166" fontId="6" fillId="4" borderId="3" xfId="16" applyNumberFormat="1" applyFont="1" applyFill="1" applyBorder="1"/>
    <xf numFmtId="166" fontId="6" fillId="4" borderId="4" xfId="16" applyNumberFormat="1" applyFont="1" applyFill="1" applyBorder="1"/>
    <xf numFmtId="166" fontId="6" fillId="4" borderId="3" xfId="0" applyNumberFormat="1" applyFont="1" applyFill="1" applyBorder="1"/>
    <xf numFmtId="166" fontId="6" fillId="4" borderId="4" xfId="0" applyNumberFormat="1" applyFont="1" applyFill="1" applyBorder="1"/>
    <xf numFmtId="0" fontId="2" fillId="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Cash Flow Difference between TRM</a:t>
            </a: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 and proposed PRDM Rate Designs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'SR TOCA Add'!$B$22</c:f>
              <c:strCache>
                <c:ptCount val="1"/>
                <c:pt idx="0">
                  <c:v>TRM Cumulative Sum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'SR TOCA Add'!$C$4:$N$4</c:f>
              <c:strCache/>
            </c:strRef>
          </c:cat>
          <c:val>
            <c:numRef>
              <c:f>'SR TOCA Add'!$C$22:$N$22</c:f>
              <c:numCache/>
            </c:numRef>
          </c:val>
          <c:smooth val="0"/>
        </c:ser>
        <c:ser>
          <c:idx val="1"/>
          <c:order val="1"/>
          <c:tx>
            <c:strRef>
              <c:f>'SR TOCA Add'!$B$23</c:f>
              <c:strCache>
                <c:ptCount val="1"/>
                <c:pt idx="0">
                  <c:v>PRDM Diurnal Energy Cumulative Sum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'SR TOCA Add'!$C$4:$N$4</c:f>
              <c:strCache/>
            </c:strRef>
          </c:cat>
          <c:val>
            <c:numRef>
              <c:f>'SR TOCA Add'!$C$23:$N$23</c:f>
              <c:numCache/>
            </c:numRef>
          </c:val>
          <c:smooth val="0"/>
        </c:ser>
        <c:axId val="49883078"/>
        <c:axId val="46294519"/>
      </c:lineChart>
      <c:catAx>
        <c:axId val="4988307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6294519"/>
        <c:crosses val="autoZero"/>
        <c:auto val="1"/>
        <c:lblOffset val="100"/>
        <c:noMultiLvlLbl val="0"/>
      </c:catAx>
      <c:valAx>
        <c:axId val="462945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Revenues</a:t>
                </a: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 from Customer ($1000s)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9883078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5" zoomToFit="1"/>
  </sheetViews>
  <pageMargins left="0.7" right="0.7" top="0.75" bottom="0.75" header="0.3" footer="0.3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96325" cy="6305550"/>
    <xdr:graphicFrame macro="">
      <xdr:nvGraphicFramePr>
        <xdr:cNvPr id="2" name="Chart 1"/>
        <xdr:cNvGraphicFramePr/>
      </xdr:nvGraphicFramePr>
      <xdr:xfrm>
        <a:off x="0" y="0"/>
        <a:ext cx="8696325" cy="630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BAC61A-9D14-4E1D-AF15-F4CAB3572046}">
  <dimension ref="B2:AL101"/>
  <sheetViews>
    <sheetView tabSelected="1" zoomScale="70" zoomScaleNormal="70" workbookViewId="0" topLeftCell="A1">
      <selection activeCell="AI31" sqref="AI31"/>
    </sheetView>
  </sheetViews>
  <sheetFormatPr defaultColWidth="9.140625" defaultRowHeight="15"/>
  <cols>
    <col min="1" max="1" width="16.421875" style="0" customWidth="1"/>
    <col min="4" max="4" width="22.00390625" style="0" customWidth="1"/>
    <col min="5" max="5" width="27.140625" style="0" customWidth="1"/>
    <col min="6" max="16" width="14.140625" style="0" customWidth="1"/>
    <col min="17" max="17" width="18.28125" style="0" customWidth="1"/>
    <col min="20" max="20" width="17.421875" style="0" bestFit="1" customWidth="1"/>
    <col min="21" max="24" width="16.8515625" style="0" bestFit="1" customWidth="1"/>
    <col min="25" max="26" width="16.421875" style="0" bestFit="1" customWidth="1"/>
    <col min="27" max="27" width="15.421875" style="0" bestFit="1" customWidth="1"/>
    <col min="28" max="28" width="15.8515625" style="0" bestFit="1" customWidth="1"/>
    <col min="29" max="31" width="16.8515625" style="0" bestFit="1" customWidth="1"/>
    <col min="32" max="32" width="18.140625" style="0" bestFit="1" customWidth="1"/>
    <col min="33" max="33" width="15.8515625" style="0" bestFit="1" customWidth="1"/>
    <col min="34" max="34" width="14.00390625" style="0" bestFit="1" customWidth="1"/>
    <col min="35" max="35" width="28.421875" style="0" customWidth="1"/>
    <col min="36" max="36" width="19.00390625" style="0" bestFit="1" customWidth="1"/>
    <col min="37" max="37" width="26.140625" style="0" bestFit="1" customWidth="1"/>
    <col min="38" max="38" width="17.28125" style="0" bestFit="1" customWidth="1"/>
  </cols>
  <sheetData>
    <row r="2" spans="34:38" ht="12" customHeight="1">
      <c r="AH2" s="37"/>
      <c r="AI2" s="37"/>
      <c r="AJ2" s="37"/>
      <c r="AK2" s="37"/>
      <c r="AL2" s="37"/>
    </row>
    <row r="3" spans="7:11" ht="12" customHeight="1">
      <c r="G3" s="37" t="s">
        <v>48</v>
      </c>
      <c r="H3" s="37"/>
      <c r="I3" s="37"/>
      <c r="J3" s="37"/>
      <c r="K3" s="37"/>
    </row>
    <row r="4" spans="4:38" ht="17.25" customHeight="1">
      <c r="D4" s="4" t="s">
        <v>47</v>
      </c>
      <c r="E4" s="7">
        <v>2171560925.646</v>
      </c>
      <c r="G4" s="37" t="s">
        <v>46</v>
      </c>
      <c r="H4" s="37"/>
      <c r="I4" s="37"/>
      <c r="J4" s="37"/>
      <c r="K4" s="37"/>
      <c r="AH4" s="17" t="s">
        <v>45</v>
      </c>
      <c r="AI4" s="17"/>
      <c r="AJ4" s="17"/>
      <c r="AK4" s="17"/>
      <c r="AL4" s="17"/>
    </row>
    <row r="5" spans="4:38" ht="15">
      <c r="D5" s="4" t="s">
        <v>48</v>
      </c>
      <c r="E5" s="14">
        <f>+SUM(Q72,Q79,Q86,Q93,Q100)</f>
        <v>54238533.33815429</v>
      </c>
      <c r="AI5" t="s">
        <v>33</v>
      </c>
      <c r="AJ5" t="s">
        <v>44</v>
      </c>
      <c r="AK5" t="s">
        <v>15</v>
      </c>
      <c r="AL5" t="s">
        <v>30</v>
      </c>
    </row>
    <row r="6" spans="4:38" ht="15">
      <c r="D6" s="4" t="s">
        <v>52</v>
      </c>
      <c r="E6" s="14">
        <f>+E4-E5</f>
        <v>2117322392.3078456</v>
      </c>
      <c r="AH6" t="s">
        <v>28</v>
      </c>
      <c r="AI6" s="18">
        <f>+VLOOKUP(VALUE(RIGHT(AH6,1)),$C$24:$Q$57,4,FALSE)</f>
        <v>19266911.455948543</v>
      </c>
      <c r="AJ6" s="19">
        <f aca="true" t="shared" si="0" ref="AJ6:AJ10">+VLOOKUP(VALUE(RIGHT(AH6,1)),$C$13:$D$17,2,FALSE)*$E$6</f>
        <v>657499032.1975378</v>
      </c>
      <c r="AK6" s="19">
        <f>+VLOOKUP(VALUE(RIGHT(AH6,1)),$C$72:$Q$101,15,FALSE)</f>
        <v>11361609.171800986</v>
      </c>
      <c r="AL6" s="2">
        <f>+SUM(AJ6:AK6)/AI6</f>
        <v>34.71550917222034</v>
      </c>
    </row>
    <row r="7" spans="4:38" ht="15">
      <c r="D7" s="4" t="s">
        <v>43</v>
      </c>
      <c r="E7" s="14">
        <f>+Q22</f>
        <v>62044597.875599995</v>
      </c>
      <c r="AH7" t="s">
        <v>27</v>
      </c>
      <c r="AI7" s="18">
        <f aca="true" t="shared" si="1" ref="AI7:AI10">+VLOOKUP(VALUE(RIGHT(AH7,1)),$C$24:$Q$57,4,FALSE)</f>
        <v>17016799.830388755</v>
      </c>
      <c r="AJ7" s="19">
        <f t="shared" si="0"/>
        <v>580712141.9102925</v>
      </c>
      <c r="AK7" s="19">
        <f aca="true" t="shared" si="2" ref="AK7:AK10">+VLOOKUP(VALUE(RIGHT(AH7,1)),$C$72:$Q$101,15,FALSE)</f>
        <v>17073936.2343276</v>
      </c>
      <c r="AL7" s="2">
        <f aca="true" t="shared" si="3" ref="AL7:AL10">+SUM(AJ7:AK7)/AI7</f>
        <v>35.129171413128354</v>
      </c>
    </row>
    <row r="8" spans="4:38" ht="15.75" thickBot="1">
      <c r="D8" s="4" t="s">
        <v>42</v>
      </c>
      <c r="E8">
        <f>E4/SUM(E21:P22)</f>
        <v>35</v>
      </c>
      <c r="F8" t="s">
        <v>41</v>
      </c>
      <c r="AH8" t="s">
        <v>25</v>
      </c>
      <c r="AI8" s="18">
        <f t="shared" si="1"/>
        <v>14476742.356293334</v>
      </c>
      <c r="AJ8" s="19">
        <f t="shared" si="0"/>
        <v>494030613.5936078</v>
      </c>
      <c r="AK8" s="19">
        <f t="shared" si="2"/>
        <v>19162288.328340895</v>
      </c>
      <c r="AL8" s="2">
        <f t="shared" si="3"/>
        <v>35.44947401090227</v>
      </c>
    </row>
    <row r="9" spans="3:38" ht="15.75" thickBot="1">
      <c r="C9" s="38" t="s">
        <v>40</v>
      </c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40"/>
      <c r="S9" s="38" t="s">
        <v>39</v>
      </c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40"/>
      <c r="AH9" t="s">
        <v>24</v>
      </c>
      <c r="AI9" s="18">
        <f t="shared" si="1"/>
        <v>7897873.424120909</v>
      </c>
      <c r="AJ9" s="19">
        <f t="shared" si="0"/>
        <v>269521357.621379</v>
      </c>
      <c r="AK9" s="19">
        <f t="shared" si="2"/>
        <v>6709156.361582771</v>
      </c>
      <c r="AL9" s="2">
        <f t="shared" si="3"/>
        <v>34.97530273647153</v>
      </c>
    </row>
    <row r="10" spans="3:38" ht="15">
      <c r="C10" t="s">
        <v>38</v>
      </c>
      <c r="AH10" t="s">
        <v>23</v>
      </c>
      <c r="AI10" s="18">
        <f t="shared" si="1"/>
        <v>3386270.808848454</v>
      </c>
      <c r="AJ10" s="19">
        <f t="shared" si="0"/>
        <v>115559246.98502846</v>
      </c>
      <c r="AK10" s="19">
        <f t="shared" si="2"/>
        <v>-68456.757897957</v>
      </c>
      <c r="AL10" s="2">
        <f t="shared" si="3"/>
        <v>34.105597793699395</v>
      </c>
    </row>
    <row r="11" spans="3:19" ht="15">
      <c r="C11" s="37" t="s">
        <v>37</v>
      </c>
      <c r="D11" s="37"/>
      <c r="S11" t="s">
        <v>16</v>
      </c>
    </row>
    <row r="12" spans="4:38" ht="15">
      <c r="D12" t="s">
        <v>14</v>
      </c>
      <c r="F12" t="s">
        <v>36</v>
      </c>
      <c r="T12" t="s">
        <v>2</v>
      </c>
      <c r="U12" t="s">
        <v>3</v>
      </c>
      <c r="V12" t="s">
        <v>4</v>
      </c>
      <c r="W12" t="s">
        <v>5</v>
      </c>
      <c r="X12" t="s">
        <v>6</v>
      </c>
      <c r="Y12" t="s">
        <v>7</v>
      </c>
      <c r="Z12" t="s">
        <v>8</v>
      </c>
      <c r="AA12" t="s">
        <v>9</v>
      </c>
      <c r="AB12" t="s">
        <v>10</v>
      </c>
      <c r="AC12" t="s">
        <v>11</v>
      </c>
      <c r="AD12" t="s">
        <v>12</v>
      </c>
      <c r="AE12" t="s">
        <v>13</v>
      </c>
      <c r="AH12" s="17" t="s">
        <v>35</v>
      </c>
      <c r="AI12" s="17"/>
      <c r="AJ12" s="17"/>
      <c r="AK12" s="17"/>
      <c r="AL12" s="17"/>
    </row>
    <row r="13" spans="3:38" ht="15">
      <c r="C13">
        <v>1</v>
      </c>
      <c r="D13" s="3">
        <f>+VLOOKUP(C13,$C$24:$E$55,3,FALSE)</f>
        <v>0.3105332634209167</v>
      </c>
      <c r="E13" s="3"/>
      <c r="F13" t="s">
        <v>34</v>
      </c>
      <c r="S13" t="s">
        <v>0</v>
      </c>
      <c r="T13" s="5">
        <f>+E64</f>
        <v>47.71</v>
      </c>
      <c r="U13" s="5">
        <f aca="true" t="shared" si="4" ref="U13:AE13">+F64</f>
        <v>40.3</v>
      </c>
      <c r="V13" s="5">
        <f t="shared" si="4"/>
        <v>61.63</v>
      </c>
      <c r="W13" s="5">
        <f t="shared" si="4"/>
        <v>49.88</v>
      </c>
      <c r="X13" s="5">
        <f t="shared" si="4"/>
        <v>50.32</v>
      </c>
      <c r="Y13" s="5">
        <f t="shared" si="4"/>
        <v>35.07</v>
      </c>
      <c r="Z13" s="5">
        <f t="shared" si="4"/>
        <v>20.42</v>
      </c>
      <c r="AA13" s="5">
        <f t="shared" si="4"/>
        <v>18.21</v>
      </c>
      <c r="AB13" s="5">
        <f t="shared" si="4"/>
        <v>17.87</v>
      </c>
      <c r="AC13" s="5">
        <f t="shared" si="4"/>
        <v>55.6</v>
      </c>
      <c r="AD13" s="5">
        <f t="shared" si="4"/>
        <v>71.52</v>
      </c>
      <c r="AE13" s="5">
        <f t="shared" si="4"/>
        <v>58.7</v>
      </c>
      <c r="AI13" t="s">
        <v>33</v>
      </c>
      <c r="AJ13" t="s">
        <v>32</v>
      </c>
      <c r="AK13" t="s">
        <v>31</v>
      </c>
      <c r="AL13" t="s">
        <v>30</v>
      </c>
    </row>
    <row r="14" spans="3:38" ht="15">
      <c r="C14">
        <v>2</v>
      </c>
      <c r="D14" s="3">
        <f>+VLOOKUP(C14,$C$24:$E$55,3,FALSE)</f>
        <v>0.27426722733391873</v>
      </c>
      <c r="E14" s="3"/>
      <c r="F14" t="s">
        <v>29</v>
      </c>
      <c r="S14" t="s">
        <v>1</v>
      </c>
      <c r="T14" s="5">
        <f>+E65</f>
        <v>32.91</v>
      </c>
      <c r="U14" s="5">
        <f aca="true" t="shared" si="5" ref="U14">+F65</f>
        <v>31.39</v>
      </c>
      <c r="V14" s="5">
        <f aca="true" t="shared" si="6" ref="V14">+G65</f>
        <v>52.69</v>
      </c>
      <c r="W14" s="5">
        <f aca="true" t="shared" si="7" ref="W14">+H65</f>
        <v>36.73</v>
      </c>
      <c r="X14" s="5">
        <f aca="true" t="shared" si="8" ref="X14">+I65</f>
        <v>42.01</v>
      </c>
      <c r="Y14" s="5">
        <f aca="true" t="shared" si="9" ref="Y14">+J65</f>
        <v>35.84</v>
      </c>
      <c r="Z14" s="5">
        <f aca="true" t="shared" si="10" ref="Z14">+K65</f>
        <v>21.67</v>
      </c>
      <c r="AA14" s="5">
        <f aca="true" t="shared" si="11" ref="AA14">+L65</f>
        <v>16.34</v>
      </c>
      <c r="AB14" s="5">
        <f aca="true" t="shared" si="12" ref="AB14">+M65</f>
        <v>10.33</v>
      </c>
      <c r="AC14" s="5">
        <f aca="true" t="shared" si="13" ref="AC14">+N65</f>
        <v>36.92</v>
      </c>
      <c r="AD14" s="5">
        <f aca="true" t="shared" si="14" ref="AD14">+O65</f>
        <v>48.93</v>
      </c>
      <c r="AE14" s="5">
        <f aca="true" t="shared" si="15" ref="AE14">+P65</f>
        <v>44.18</v>
      </c>
      <c r="AH14" t="s">
        <v>28</v>
      </c>
      <c r="AI14" s="18">
        <f>+AI6</f>
        <v>19266911.455948543</v>
      </c>
      <c r="AJ14" s="19">
        <f>+VLOOKUP(RIGHT($AH14,1)&amp;LEFT(AJ$13,3),$R$35:$AF$49,15,FALSE)</f>
        <v>440320925.2509545</v>
      </c>
      <c r="AK14" s="19">
        <f aca="true" t="shared" si="16" ref="AK14:AK18">+VLOOKUP(RIGHT($AH14,1)&amp;LEFT(AK$13,3),$R$35:$AF$49,15,FALSE)</f>
        <v>228539716.1183843</v>
      </c>
      <c r="AL14" s="20">
        <f>+SUM(AJ14:AK14)/AI14</f>
        <v>34.71550917222034</v>
      </c>
    </row>
    <row r="15" spans="3:38" ht="15">
      <c r="C15">
        <v>3</v>
      </c>
      <c r="D15" s="3">
        <f>+VLOOKUP(C15,$C$24:$E$55,3,FALSE)</f>
        <v>0.23332800682050256</v>
      </c>
      <c r="E15" s="3"/>
      <c r="AH15" t="s">
        <v>27</v>
      </c>
      <c r="AI15" s="18">
        <f aca="true" t="shared" si="17" ref="AI15:AI18">+AI7</f>
        <v>17016799.830388755</v>
      </c>
      <c r="AJ15" s="19">
        <f aca="true" t="shared" si="18" ref="AJ15:AJ18">+VLOOKUP(RIGHT($AH15,1)&amp;LEFT(AJ$13,3),$R$35:$AF$49,15,FALSE)</f>
        <v>405305725.6942837</v>
      </c>
      <c r="AK15" s="19">
        <f t="shared" si="16"/>
        <v>192480352.4503364</v>
      </c>
      <c r="AL15" s="20">
        <f aca="true" t="shared" si="19" ref="AL15:AL18">+SUM(AJ15:AK15)/AI15</f>
        <v>35.12917141312836</v>
      </c>
    </row>
    <row r="16" spans="3:38" ht="15">
      <c r="C16">
        <v>4</v>
      </c>
      <c r="D16" s="3">
        <f>+VLOOKUP(C16,$C$24:$E$55,3,FALSE)</f>
        <v>0.12729349040115015</v>
      </c>
      <c r="E16" s="3"/>
      <c r="S16" t="s">
        <v>26</v>
      </c>
      <c r="AH16" t="s">
        <v>25</v>
      </c>
      <c r="AI16" s="18">
        <f t="shared" si="17"/>
        <v>14476742.356293334</v>
      </c>
      <c r="AJ16" s="19">
        <f t="shared" si="18"/>
        <v>348184979.6433151</v>
      </c>
      <c r="AK16" s="19">
        <f t="shared" si="16"/>
        <v>165007922.2786337</v>
      </c>
      <c r="AL16" s="20">
        <f t="shared" si="19"/>
        <v>35.44947401090228</v>
      </c>
    </row>
    <row r="17" spans="3:38" ht="15">
      <c r="C17">
        <v>5</v>
      </c>
      <c r="D17" s="3">
        <f>+VLOOKUP(C17,$C$24:$E$55,3,FALSE)</f>
        <v>0.05457801202351185</v>
      </c>
      <c r="E17" s="3"/>
      <c r="T17" t="s">
        <v>2</v>
      </c>
      <c r="U17" t="s">
        <v>3</v>
      </c>
      <c r="V17" t="s">
        <v>4</v>
      </c>
      <c r="W17" t="s">
        <v>5</v>
      </c>
      <c r="X17" t="s">
        <v>6</v>
      </c>
      <c r="Y17" t="s">
        <v>7</v>
      </c>
      <c r="Z17" t="s">
        <v>8</v>
      </c>
      <c r="AA17" t="s">
        <v>9</v>
      </c>
      <c r="AB17" t="s">
        <v>10</v>
      </c>
      <c r="AC17" t="s">
        <v>11</v>
      </c>
      <c r="AD17" t="s">
        <v>12</v>
      </c>
      <c r="AE17" t="s">
        <v>13</v>
      </c>
      <c r="AH17" t="s">
        <v>24</v>
      </c>
      <c r="AI17" s="18">
        <f t="shared" si="17"/>
        <v>7897873.424120909</v>
      </c>
      <c r="AJ17" s="19">
        <f t="shared" si="18"/>
        <v>186718925.4418067</v>
      </c>
      <c r="AK17" s="19">
        <f t="shared" si="16"/>
        <v>89511588.5411551</v>
      </c>
      <c r="AL17" s="20">
        <f t="shared" si="19"/>
        <v>34.97530273647153</v>
      </c>
    </row>
    <row r="18" spans="4:38" ht="15">
      <c r="D18" s="3"/>
      <c r="S18" t="s">
        <v>0</v>
      </c>
      <c r="T18" s="14">
        <f>+E28+E35+E42+E49+E56</f>
        <v>2850928.6927434374</v>
      </c>
      <c r="U18" s="14">
        <f aca="true" t="shared" si="20" ref="U18:AE18">+F28+F35+F42+F49+F56</f>
        <v>2908991.5227637663</v>
      </c>
      <c r="V18" s="14">
        <f t="shared" si="20"/>
        <v>3596803.1348041333</v>
      </c>
      <c r="W18" s="14">
        <f t="shared" si="20"/>
        <v>3611683.6625630637</v>
      </c>
      <c r="X18" s="14">
        <f t="shared" si="20"/>
        <v>3084947.279237042</v>
      </c>
      <c r="Y18" s="14">
        <f t="shared" si="20"/>
        <v>3118782.0191900595</v>
      </c>
      <c r="Z18" s="14">
        <f t="shared" si="20"/>
        <v>2934993.682418263</v>
      </c>
      <c r="AA18" s="14">
        <f t="shared" si="20"/>
        <v>2895283.5505448845</v>
      </c>
      <c r="AB18" s="14">
        <f t="shared" si="20"/>
        <v>2980343.3628155757</v>
      </c>
      <c r="AC18" s="14">
        <f t="shared" si="20"/>
        <v>3327101.7542433226</v>
      </c>
      <c r="AD18" s="14">
        <f t="shared" si="20"/>
        <v>3356213.6734897676</v>
      </c>
      <c r="AE18" s="14">
        <f t="shared" si="20"/>
        <v>2715391.5904624937</v>
      </c>
      <c r="AH18" t="s">
        <v>23</v>
      </c>
      <c r="AI18" s="18">
        <f t="shared" si="17"/>
        <v>3386270.808848454</v>
      </c>
      <c r="AJ18" s="19">
        <f t="shared" si="18"/>
        <v>73423543.80950816</v>
      </c>
      <c r="AK18" s="19">
        <f t="shared" si="16"/>
        <v>42067246.41762236</v>
      </c>
      <c r="AL18" s="20">
        <f t="shared" si="19"/>
        <v>34.1055977936994</v>
      </c>
    </row>
    <row r="19" spans="4:31" ht="15">
      <c r="D19" t="s">
        <v>22</v>
      </c>
      <c r="S19" t="s">
        <v>1</v>
      </c>
      <c r="T19" s="14">
        <f>+E29+E36+E43+E50+E57</f>
        <v>1725105.0823258138</v>
      </c>
      <c r="U19" s="14">
        <f aca="true" t="shared" si="21" ref="U19:AE19">+F29+F36+F43+F50+F57</f>
        <v>2010711.6657146013</v>
      </c>
      <c r="V19" s="14">
        <f t="shared" si="21"/>
        <v>2567821.585181821</v>
      </c>
      <c r="W19" s="14">
        <f t="shared" si="21"/>
        <v>2532372.1541868607</v>
      </c>
      <c r="X19" s="14">
        <f t="shared" si="21"/>
        <v>2009524.3522456752</v>
      </c>
      <c r="Y19" s="14">
        <f t="shared" si="21"/>
        <v>2059655.778765465</v>
      </c>
      <c r="Z19" s="14">
        <f t="shared" si="21"/>
        <v>1837505.508045567</v>
      </c>
      <c r="AA19" s="14">
        <f t="shared" si="21"/>
        <v>1955919.3734429644</v>
      </c>
      <c r="AB19" s="14">
        <f t="shared" si="21"/>
        <v>1892637.5870134227</v>
      </c>
      <c r="AC19" s="14">
        <f t="shared" si="21"/>
        <v>2178110.4986454467</v>
      </c>
      <c r="AD19" s="14">
        <f t="shared" si="21"/>
        <v>2093434.8531572165</v>
      </c>
      <c r="AE19" s="14">
        <f t="shared" si="21"/>
        <v>1800335.5115993298</v>
      </c>
    </row>
    <row r="20" spans="5:17" ht="15">
      <c r="E20" t="s">
        <v>2</v>
      </c>
      <c r="F20" t="s">
        <v>3</v>
      </c>
      <c r="G20" t="s">
        <v>4</v>
      </c>
      <c r="H20" t="s">
        <v>5</v>
      </c>
      <c r="I20" t="s">
        <v>6</v>
      </c>
      <c r="J20" t="s">
        <v>7</v>
      </c>
      <c r="K20" t="s">
        <v>8</v>
      </c>
      <c r="L20" t="s">
        <v>9</v>
      </c>
      <c r="M20" t="s">
        <v>10</v>
      </c>
      <c r="N20" t="s">
        <v>11</v>
      </c>
      <c r="O20" t="s">
        <v>12</v>
      </c>
      <c r="P20" t="s">
        <v>13</v>
      </c>
      <c r="Q20" t="s">
        <v>50</v>
      </c>
    </row>
    <row r="21" spans="4:19" ht="15">
      <c r="D21" t="s">
        <v>0</v>
      </c>
      <c r="E21" s="8">
        <v>2552444.0360000003</v>
      </c>
      <c r="F21" s="8">
        <v>3264487.328</v>
      </c>
      <c r="G21" s="8">
        <v>3520485.739</v>
      </c>
      <c r="H21" s="8">
        <v>3735691.715</v>
      </c>
      <c r="I21" s="8">
        <v>3299995.8789999997</v>
      </c>
      <c r="J21" s="8">
        <v>3449919.113</v>
      </c>
      <c r="K21" s="8">
        <v>2722407.7775</v>
      </c>
      <c r="L21" s="8">
        <v>3371816.848</v>
      </c>
      <c r="M21" s="8">
        <v>3560007.926</v>
      </c>
      <c r="N21" s="8">
        <v>3067031.764</v>
      </c>
      <c r="O21" s="8">
        <v>3018290.1715</v>
      </c>
      <c r="P21" s="8">
        <v>2614938.274</v>
      </c>
      <c r="S21" t="s">
        <v>21</v>
      </c>
    </row>
    <row r="22" spans="4:31" ht="15">
      <c r="D22" t="s">
        <v>1</v>
      </c>
      <c r="E22" s="8">
        <v>1666359.7255</v>
      </c>
      <c r="F22" s="8">
        <v>2115878.631</v>
      </c>
      <c r="G22" s="8">
        <v>2285993.696</v>
      </c>
      <c r="H22" s="8">
        <v>2298138.029</v>
      </c>
      <c r="I22" s="8">
        <v>1889901.959</v>
      </c>
      <c r="J22" s="8">
        <v>2216421.778</v>
      </c>
      <c r="K22" s="8">
        <v>1750213.4617499998</v>
      </c>
      <c r="L22" s="8">
        <v>2177069.1585</v>
      </c>
      <c r="M22" s="8">
        <v>2109275.0545</v>
      </c>
      <c r="N22" s="8">
        <v>1854722.6275</v>
      </c>
      <c r="O22" s="8">
        <v>1739738.0798499999</v>
      </c>
      <c r="P22" s="8">
        <v>1763369.104</v>
      </c>
      <c r="Q22" s="1">
        <f>+SUM(E21:P22)</f>
        <v>62044597.875599995</v>
      </c>
      <c r="T22" t="s">
        <v>2</v>
      </c>
      <c r="U22" t="s">
        <v>3</v>
      </c>
      <c r="V22" t="s">
        <v>4</v>
      </c>
      <c r="W22" t="s">
        <v>5</v>
      </c>
      <c r="X22" t="s">
        <v>6</v>
      </c>
      <c r="Y22" t="s">
        <v>7</v>
      </c>
      <c r="Z22" t="s">
        <v>8</v>
      </c>
      <c r="AA22" t="s">
        <v>9</v>
      </c>
      <c r="AB22" t="s">
        <v>10</v>
      </c>
      <c r="AC22" t="s">
        <v>11</v>
      </c>
      <c r="AD22" t="s">
        <v>12</v>
      </c>
      <c r="AE22" t="s">
        <v>13</v>
      </c>
    </row>
    <row r="23" spans="17:32" ht="15">
      <c r="Q23" s="1"/>
      <c r="S23" t="s">
        <v>0</v>
      </c>
      <c r="T23" s="15">
        <f>T13*T18</f>
        <v>136017807.9307894</v>
      </c>
      <c r="U23" s="15">
        <f aca="true" t="shared" si="22" ref="U23:AE24">U13*U18</f>
        <v>117232358.36737977</v>
      </c>
      <c r="V23" s="15">
        <f t="shared" si="22"/>
        <v>221670977.19797873</v>
      </c>
      <c r="W23" s="15">
        <f t="shared" si="22"/>
        <v>180150781.08864564</v>
      </c>
      <c r="X23" s="15">
        <f t="shared" si="22"/>
        <v>155234547.09120795</v>
      </c>
      <c r="Y23" s="15">
        <f t="shared" si="22"/>
        <v>109375685.41299538</v>
      </c>
      <c r="Z23" s="15">
        <f t="shared" si="22"/>
        <v>59932570.99498094</v>
      </c>
      <c r="AA23" s="15">
        <f t="shared" si="22"/>
        <v>52723113.45542235</v>
      </c>
      <c r="AB23" s="15">
        <f t="shared" si="22"/>
        <v>53258735.89351434</v>
      </c>
      <c r="AC23" s="15">
        <f t="shared" si="22"/>
        <v>184986857.53592876</v>
      </c>
      <c r="AD23" s="15">
        <f t="shared" si="22"/>
        <v>240036401.92798817</v>
      </c>
      <c r="AE23" s="15">
        <f t="shared" si="22"/>
        <v>159393486.3601484</v>
      </c>
      <c r="AF23" t="s">
        <v>20</v>
      </c>
    </row>
    <row r="24" spans="3:32" ht="15">
      <c r="C24">
        <f>+RANK(Q27,$Q$26:$Q$55)</f>
        <v>3</v>
      </c>
      <c r="D24" t="str">
        <f>"Customer "&amp;C24</f>
        <v>Customer 3</v>
      </c>
      <c r="E24" s="10">
        <f>+Q27/SUM($Q$26:$Q$55)</f>
        <v>0.23332800682050256</v>
      </c>
      <c r="F24" s="11">
        <f>+E24*SUM($E$21:$P$22)</f>
        <v>14476742.356293334</v>
      </c>
      <c r="G24" t="s">
        <v>49</v>
      </c>
      <c r="Q24" s="1"/>
      <c r="S24" t="s">
        <v>1</v>
      </c>
      <c r="T24" s="15">
        <f>T14*T19</f>
        <v>56773208.25934253</v>
      </c>
      <c r="U24" s="15">
        <f t="shared" si="22"/>
        <v>63116239.18678133</v>
      </c>
      <c r="V24" s="15">
        <f t="shared" si="22"/>
        <v>135298519.32323015</v>
      </c>
      <c r="W24" s="15">
        <f t="shared" si="22"/>
        <v>93014029.22328338</v>
      </c>
      <c r="X24" s="15">
        <f t="shared" si="22"/>
        <v>84420118.03784081</v>
      </c>
      <c r="Y24" s="15">
        <f t="shared" si="22"/>
        <v>73818063.11095427</v>
      </c>
      <c r="Z24" s="15">
        <f t="shared" si="22"/>
        <v>39818744.35934744</v>
      </c>
      <c r="AA24" s="15">
        <f t="shared" si="22"/>
        <v>31959722.56205804</v>
      </c>
      <c r="AB24" s="15">
        <f t="shared" si="22"/>
        <v>19550946.273848657</v>
      </c>
      <c r="AC24" s="15">
        <f t="shared" si="22"/>
        <v>80415839.6099899</v>
      </c>
      <c r="AD24" s="15">
        <f t="shared" si="22"/>
        <v>102431767.3649826</v>
      </c>
      <c r="AE24" s="15">
        <f t="shared" si="22"/>
        <v>79538822.90245838</v>
      </c>
      <c r="AF24">
        <f>SUM(T23:AE24)</f>
        <v>2530169343.471097</v>
      </c>
    </row>
    <row r="25" spans="5:17" ht="15">
      <c r="E25" t="s">
        <v>2</v>
      </c>
      <c r="F25" t="s">
        <v>3</v>
      </c>
      <c r="G25" t="s">
        <v>4</v>
      </c>
      <c r="H25" t="s">
        <v>5</v>
      </c>
      <c r="I25" t="s">
        <v>6</v>
      </c>
      <c r="J25" t="s">
        <v>7</v>
      </c>
      <c r="K25" t="s">
        <v>8</v>
      </c>
      <c r="L25" t="s">
        <v>9</v>
      </c>
      <c r="M25" t="s">
        <v>10</v>
      </c>
      <c r="N25" t="s">
        <v>11</v>
      </c>
      <c r="O25" t="s">
        <v>12</v>
      </c>
      <c r="P25" t="s">
        <v>13</v>
      </c>
      <c r="Q25" s="1"/>
    </row>
    <row r="26" spans="4:33" ht="15">
      <c r="D26" t="s">
        <v>0</v>
      </c>
      <c r="E26" s="8">
        <v>79419.74399999999</v>
      </c>
      <c r="F26" s="8">
        <v>82881.6</v>
      </c>
      <c r="G26" s="8">
        <v>102371.2</v>
      </c>
      <c r="H26" s="8">
        <v>103222.912</v>
      </c>
      <c r="I26" s="8">
        <v>88377.6</v>
      </c>
      <c r="J26" s="8">
        <v>87882.07999999999</v>
      </c>
      <c r="K26" s="8">
        <v>77744.16</v>
      </c>
      <c r="L26" s="8">
        <v>69876.35200000001</v>
      </c>
      <c r="M26" s="8">
        <v>73308.40000000001</v>
      </c>
      <c r="N26" s="8">
        <v>81432.41599999998</v>
      </c>
      <c r="O26" s="8">
        <v>84944.704</v>
      </c>
      <c r="P26" s="8">
        <v>71816.79999999999</v>
      </c>
      <c r="Q26" s="1"/>
      <c r="AF26" t="s">
        <v>47</v>
      </c>
      <c r="AG26" s="11">
        <f>+E4</f>
        <v>2171560925.646</v>
      </c>
    </row>
    <row r="27" spans="4:33" ht="15">
      <c r="D27" t="s">
        <v>1</v>
      </c>
      <c r="E27" s="8">
        <v>46273.344</v>
      </c>
      <c r="F27" s="8">
        <v>54771.588</v>
      </c>
      <c r="G27" s="8">
        <v>71150.208</v>
      </c>
      <c r="H27" s="8">
        <v>70846.68800000001</v>
      </c>
      <c r="I27" s="8">
        <v>55788.479999999996</v>
      </c>
      <c r="J27" s="8">
        <v>55108.655999999995</v>
      </c>
      <c r="K27" s="8">
        <v>46798.672</v>
      </c>
      <c r="L27" s="8">
        <v>44601.768000000004</v>
      </c>
      <c r="M27" s="8">
        <v>42909.759999999995</v>
      </c>
      <c r="N27" s="8">
        <v>49547.024</v>
      </c>
      <c r="O27" s="8">
        <v>48455.768</v>
      </c>
      <c r="P27" s="8">
        <v>44727.36000000001</v>
      </c>
      <c r="Q27" s="1">
        <f>+SUM(E26:P27)</f>
        <v>1634257.2840000002</v>
      </c>
      <c r="AF27" t="s">
        <v>19</v>
      </c>
      <c r="AG27">
        <f>(AG26-AF24)/SUM(T18:AE19)</f>
        <v>-5.779849174687382</v>
      </c>
    </row>
    <row r="28" spans="3:19" ht="15">
      <c r="C28" t="str">
        <f>+C24&amp;D28</f>
        <v>3HLH</v>
      </c>
      <c r="D28" s="4" t="s">
        <v>0</v>
      </c>
      <c r="E28" s="12">
        <f>+E26/$Q$27*$F$24</f>
        <v>703523.9696632572</v>
      </c>
      <c r="F28" s="12">
        <f aca="true" t="shared" si="23" ref="F28:P29">+F26/$Q$27*$F$24</f>
        <v>734190.13090803</v>
      </c>
      <c r="G28" s="12">
        <f t="shared" si="23"/>
        <v>906834.8671986557</v>
      </c>
      <c r="H28" s="12">
        <f t="shared" si="23"/>
        <v>914379.5881593508</v>
      </c>
      <c r="I28" s="12">
        <f t="shared" si="23"/>
        <v>782875.351264183</v>
      </c>
      <c r="J28" s="12">
        <f t="shared" si="23"/>
        <v>778485.8861275596</v>
      </c>
      <c r="K28" s="12">
        <f t="shared" si="23"/>
        <v>688681.142831881</v>
      </c>
      <c r="L28" s="12">
        <f t="shared" si="23"/>
        <v>618985.7341346642</v>
      </c>
      <c r="M28" s="12">
        <f t="shared" si="23"/>
        <v>649387.8471537498</v>
      </c>
      <c r="N28" s="12">
        <f t="shared" si="23"/>
        <v>721352.8233431441</v>
      </c>
      <c r="O28" s="12">
        <f t="shared" si="23"/>
        <v>752465.7264061486</v>
      </c>
      <c r="P28" s="12">
        <f t="shared" si="23"/>
        <v>636174.805908619</v>
      </c>
      <c r="Q28" s="9"/>
      <c r="S28" t="s">
        <v>18</v>
      </c>
    </row>
    <row r="29" spans="3:31" ht="15">
      <c r="C29" t="str">
        <f>+C24&amp;D29</f>
        <v>3LLH</v>
      </c>
      <c r="D29" s="4" t="s">
        <v>1</v>
      </c>
      <c r="E29" s="12">
        <f>+E27/$Q$27*$F$24</f>
        <v>409903.19309608283</v>
      </c>
      <c r="F29" s="12">
        <f t="shared" si="23"/>
        <v>485183.1934200194</v>
      </c>
      <c r="G29" s="12">
        <f t="shared" si="23"/>
        <v>630269.9335637048</v>
      </c>
      <c r="H29" s="12">
        <f t="shared" si="23"/>
        <v>627581.2621513142</v>
      </c>
      <c r="I29" s="12">
        <f t="shared" si="23"/>
        <v>494191.12848159304</v>
      </c>
      <c r="J29" s="12">
        <f t="shared" si="23"/>
        <v>488169.0431025171</v>
      </c>
      <c r="K29" s="12">
        <f t="shared" si="23"/>
        <v>414556.7064583931</v>
      </c>
      <c r="L29" s="12">
        <f t="shared" si="23"/>
        <v>395095.8703336999</v>
      </c>
      <c r="M29" s="12">
        <f t="shared" si="23"/>
        <v>380107.55477249646</v>
      </c>
      <c r="N29" s="12">
        <f t="shared" si="23"/>
        <v>438902.43475829734</v>
      </c>
      <c r="O29" s="12">
        <f t="shared" si="23"/>
        <v>429235.7610274069</v>
      </c>
      <c r="P29" s="12">
        <f t="shared" si="23"/>
        <v>396208.4020285635</v>
      </c>
      <c r="Q29" s="9"/>
      <c r="T29" t="s">
        <v>2</v>
      </c>
      <c r="U29" t="s">
        <v>3</v>
      </c>
      <c r="V29" t="s">
        <v>4</v>
      </c>
      <c r="W29" t="s">
        <v>5</v>
      </c>
      <c r="X29" t="s">
        <v>6</v>
      </c>
      <c r="Y29" t="s">
        <v>7</v>
      </c>
      <c r="Z29" t="s">
        <v>8</v>
      </c>
      <c r="AA29" t="s">
        <v>9</v>
      </c>
      <c r="AB29" t="s">
        <v>10</v>
      </c>
      <c r="AC29" t="s">
        <v>11</v>
      </c>
      <c r="AD29" t="s">
        <v>12</v>
      </c>
      <c r="AE29" t="s">
        <v>13</v>
      </c>
    </row>
    <row r="30" spans="16:31" ht="15">
      <c r="P30" s="16"/>
      <c r="Q30" s="1"/>
      <c r="S30" t="s">
        <v>0</v>
      </c>
      <c r="T30" s="6">
        <f aca="true" t="shared" si="24" ref="T30:AE30">T13+$AG$27</f>
        <v>41.930150825312616</v>
      </c>
      <c r="U30" s="6">
        <f t="shared" si="24"/>
        <v>34.52015082531261</v>
      </c>
      <c r="V30" s="6">
        <f t="shared" si="24"/>
        <v>55.85015082531262</v>
      </c>
      <c r="W30" s="6">
        <f t="shared" si="24"/>
        <v>44.10015082531262</v>
      </c>
      <c r="X30" s="6">
        <f t="shared" si="24"/>
        <v>44.540150825312615</v>
      </c>
      <c r="Y30" s="6">
        <f t="shared" si="24"/>
        <v>29.29015082531262</v>
      </c>
      <c r="Z30" s="6">
        <f t="shared" si="24"/>
        <v>14.64015082531262</v>
      </c>
      <c r="AA30" s="6">
        <f t="shared" si="24"/>
        <v>12.43015082531262</v>
      </c>
      <c r="AB30" s="6">
        <f t="shared" si="24"/>
        <v>12.09015082531262</v>
      </c>
      <c r="AC30" s="6">
        <f t="shared" si="24"/>
        <v>49.820150825312616</v>
      </c>
      <c r="AD30" s="6">
        <f t="shared" si="24"/>
        <v>65.74015082531261</v>
      </c>
      <c r="AE30" s="6">
        <f t="shared" si="24"/>
        <v>52.92015082531262</v>
      </c>
    </row>
    <row r="31" spans="3:31" ht="15">
      <c r="C31">
        <f>+RANK(Q34,$Q$26:$Q$55)</f>
        <v>2</v>
      </c>
      <c r="D31" t="str">
        <f>"Customer "&amp;C31</f>
        <v>Customer 2</v>
      </c>
      <c r="E31" s="10">
        <f>+Q34/SUM($Q$26:$Q$55)</f>
        <v>0.27426722733391873</v>
      </c>
      <c r="F31" s="11">
        <f>+E31*SUM($E$21:$P$22)</f>
        <v>17016799.830388755</v>
      </c>
      <c r="G31" t="s">
        <v>49</v>
      </c>
      <c r="Q31" s="1"/>
      <c r="S31" t="s">
        <v>1</v>
      </c>
      <c r="T31" s="6">
        <f aca="true" t="shared" si="25" ref="T31:AE31">T14+$AG$27</f>
        <v>27.130150825312615</v>
      </c>
      <c r="U31" s="6">
        <f t="shared" si="25"/>
        <v>25.61015082531262</v>
      </c>
      <c r="V31" s="6">
        <f t="shared" si="25"/>
        <v>46.91015082531261</v>
      </c>
      <c r="W31" s="6">
        <f t="shared" si="25"/>
        <v>30.950150825312615</v>
      </c>
      <c r="X31" s="6">
        <f t="shared" si="25"/>
        <v>36.23015082531261</v>
      </c>
      <c r="Y31" s="6">
        <f t="shared" si="25"/>
        <v>30.060150825312622</v>
      </c>
      <c r="Z31" s="6">
        <f t="shared" si="25"/>
        <v>15.89015082531262</v>
      </c>
      <c r="AA31" s="6">
        <f t="shared" si="25"/>
        <v>10.560150825312618</v>
      </c>
      <c r="AB31" s="6">
        <f t="shared" si="25"/>
        <v>4.550150825312618</v>
      </c>
      <c r="AC31" s="6">
        <f t="shared" si="25"/>
        <v>31.14015082531262</v>
      </c>
      <c r="AD31" s="6">
        <f t="shared" si="25"/>
        <v>43.150150825312615</v>
      </c>
      <c r="AE31" s="6">
        <f t="shared" si="25"/>
        <v>38.400150825312615</v>
      </c>
    </row>
    <row r="32" spans="5:17" ht="15">
      <c r="E32" t="s">
        <v>2</v>
      </c>
      <c r="F32" t="s">
        <v>3</v>
      </c>
      <c r="G32" t="s">
        <v>4</v>
      </c>
      <c r="H32" t="s">
        <v>5</v>
      </c>
      <c r="I32" t="s">
        <v>6</v>
      </c>
      <c r="J32" t="s">
        <v>7</v>
      </c>
      <c r="K32" t="s">
        <v>8</v>
      </c>
      <c r="L32" t="s">
        <v>9</v>
      </c>
      <c r="M32" t="s">
        <v>10</v>
      </c>
      <c r="N32" t="s">
        <v>11</v>
      </c>
      <c r="O32" t="s">
        <v>12</v>
      </c>
      <c r="P32" t="s">
        <v>13</v>
      </c>
      <c r="Q32" s="1"/>
    </row>
    <row r="33" spans="4:19" ht="15">
      <c r="D33" t="s">
        <v>0</v>
      </c>
      <c r="E33" s="8">
        <v>96837.984</v>
      </c>
      <c r="F33" s="8">
        <v>101994.4</v>
      </c>
      <c r="G33" s="8">
        <v>119301.19999999998</v>
      </c>
      <c r="H33" s="8">
        <v>125607.45599999998</v>
      </c>
      <c r="I33" s="8">
        <v>108484.22399999999</v>
      </c>
      <c r="J33" s="8">
        <v>107693.24799999999</v>
      </c>
      <c r="K33" s="8">
        <v>96245.76000000001</v>
      </c>
      <c r="L33" s="8">
        <v>85116.92799999999</v>
      </c>
      <c r="M33" s="8">
        <v>82094</v>
      </c>
      <c r="N33" s="8">
        <v>88346.75200000001</v>
      </c>
      <c r="O33" s="8">
        <v>88971.584</v>
      </c>
      <c r="P33" s="8">
        <v>80771.6</v>
      </c>
      <c r="Q33" s="1"/>
      <c r="S33" t="s">
        <v>53</v>
      </c>
    </row>
    <row r="34" spans="4:19" ht="15">
      <c r="D34" t="s">
        <v>1</v>
      </c>
      <c r="E34" s="8">
        <v>54570.984</v>
      </c>
      <c r="F34" s="8">
        <v>66674.26800000001</v>
      </c>
      <c r="G34" s="8">
        <v>84353.61600000001</v>
      </c>
      <c r="H34" s="8">
        <v>81773.68</v>
      </c>
      <c r="I34" s="8">
        <v>67657.536</v>
      </c>
      <c r="J34" s="8">
        <v>69878.592</v>
      </c>
      <c r="K34" s="8">
        <v>56949.84</v>
      </c>
      <c r="L34" s="8">
        <v>52328.464</v>
      </c>
      <c r="M34" s="8">
        <v>50474.240000000005</v>
      </c>
      <c r="N34" s="8">
        <v>52855.560000000005</v>
      </c>
      <c r="O34" s="8">
        <v>52703.368</v>
      </c>
      <c r="P34" s="8">
        <v>49315.2</v>
      </c>
      <c r="Q34" s="1">
        <f>+SUM(E33:P34)</f>
        <v>1921000.4839999997</v>
      </c>
      <c r="S34" t="s">
        <v>28</v>
      </c>
    </row>
    <row r="35" spans="3:32" ht="15">
      <c r="C35" t="str">
        <f>+C31&amp;D35</f>
        <v>2HLH</v>
      </c>
      <c r="D35" s="4" t="s">
        <v>0</v>
      </c>
      <c r="E35" s="12">
        <f>+E33/$Q$34*$F$31</f>
        <v>857819.9763256224</v>
      </c>
      <c r="F35" s="12">
        <f aca="true" t="shared" si="26" ref="F35:P35">+F33/$Q$34*$F$31</f>
        <v>903497.0595148497</v>
      </c>
      <c r="G35" s="12">
        <f t="shared" si="26"/>
        <v>1056805.8971531081</v>
      </c>
      <c r="H35" s="12">
        <f t="shared" si="26"/>
        <v>1112668.6087583324</v>
      </c>
      <c r="I35" s="12">
        <f t="shared" si="26"/>
        <v>960985.8716532503</v>
      </c>
      <c r="J35" s="12">
        <f t="shared" si="26"/>
        <v>953979.1684406543</v>
      </c>
      <c r="K35" s="12">
        <f t="shared" si="26"/>
        <v>852573.8780832276</v>
      </c>
      <c r="L35" s="12">
        <f t="shared" si="26"/>
        <v>753991.338376785</v>
      </c>
      <c r="M35" s="12">
        <f t="shared" si="26"/>
        <v>727213.3333184182</v>
      </c>
      <c r="N35" s="12">
        <f t="shared" si="26"/>
        <v>782602.090405823</v>
      </c>
      <c r="O35" s="12">
        <f t="shared" si="26"/>
        <v>788137.0401157166</v>
      </c>
      <c r="P35" s="12">
        <f t="shared" si="26"/>
        <v>715499.1165427674</v>
      </c>
      <c r="Q35" s="1"/>
      <c r="R35" s="4" t="str">
        <f>+RIGHT(S34,1)&amp;S35</f>
        <v>1HLH</v>
      </c>
      <c r="S35" s="4" t="s">
        <v>0</v>
      </c>
      <c r="T35" s="1">
        <f>+VLOOKUP($R35,$C$28:$Q$58,2+MATCH(T$29,$T$29:$AE$29,0),FALSE)*VLOOKUP($S35,$S$29:$AE$31,1+MATCH(T$29,$T$29:$AE$29,0),FALSE)</f>
        <v>32314898.951988302</v>
      </c>
      <c r="U35" s="1">
        <f aca="true" t="shared" si="27" ref="U35:AE48">+VLOOKUP($R35,$C$28:$Q$58,2+MATCH(U$29,$T$29:$AE$29,0),FALSE)*VLOOKUP($S35,$S$29:$AE$31,1+MATCH(U$29,$T$29:$AE$29,0),FALSE)</f>
        <v>26737899.66898006</v>
      </c>
      <c r="V35" s="1">
        <f t="shared" si="27"/>
        <v>59618630.50639258</v>
      </c>
      <c r="W35" s="1">
        <f t="shared" si="27"/>
        <v>44216913.2213881</v>
      </c>
      <c r="X35" s="1">
        <f t="shared" si="27"/>
        <v>36837616.4917658</v>
      </c>
      <c r="Y35" s="1">
        <f t="shared" si="27"/>
        <v>25584229.110607047</v>
      </c>
      <c r="Z35" s="1">
        <f t="shared" si="27"/>
        <v>12842733.876836782</v>
      </c>
      <c r="AA35" s="1">
        <f t="shared" si="27"/>
        <v>12081133.219895154</v>
      </c>
      <c r="AB35" s="1">
        <f t="shared" si="27"/>
        <v>12150204.0766386</v>
      </c>
      <c r="AC35" s="1">
        <f t="shared" si="27"/>
        <v>57675501.35203224</v>
      </c>
      <c r="AD35" s="1">
        <f t="shared" si="27"/>
        <v>75544366.98579393</v>
      </c>
      <c r="AE35" s="1">
        <f t="shared" si="27"/>
        <v>44716797.78863589</v>
      </c>
      <c r="AF35" s="1">
        <f>+SUM(T35:AE35)</f>
        <v>440320925.2509545</v>
      </c>
    </row>
    <row r="36" spans="3:32" ht="15">
      <c r="C36" t="str">
        <f>+C31&amp;D36</f>
        <v>2LLH</v>
      </c>
      <c r="D36" s="4" t="s">
        <v>1</v>
      </c>
      <c r="E36" s="12">
        <f>+E34/$Q$34*$F$31</f>
        <v>483406.1828770198</v>
      </c>
      <c r="F36" s="12">
        <f aca="true" t="shared" si="28" ref="F36:P36">+F34/$Q$34*$F$31</f>
        <v>590620.7113655754</v>
      </c>
      <c r="G36" s="12">
        <f t="shared" si="28"/>
        <v>747229.6911932889</v>
      </c>
      <c r="H36" s="12">
        <f t="shared" si="28"/>
        <v>724375.842455157</v>
      </c>
      <c r="I36" s="12">
        <f t="shared" si="28"/>
        <v>599330.7949261928</v>
      </c>
      <c r="J36" s="12">
        <f t="shared" si="28"/>
        <v>619005.5767281136</v>
      </c>
      <c r="K36" s="12">
        <f t="shared" si="28"/>
        <v>504478.8045210439</v>
      </c>
      <c r="L36" s="12">
        <f t="shared" si="28"/>
        <v>463541.26651001105</v>
      </c>
      <c r="M36" s="12">
        <f t="shared" si="28"/>
        <v>447115.99285104685</v>
      </c>
      <c r="N36" s="12">
        <f t="shared" si="28"/>
        <v>468210.44134786533</v>
      </c>
      <c r="O36" s="12">
        <f t="shared" si="28"/>
        <v>466862.2788557904</v>
      </c>
      <c r="P36" s="12">
        <f t="shared" si="28"/>
        <v>436848.86806909705</v>
      </c>
      <c r="Q36" s="1"/>
      <c r="R36" s="4" t="str">
        <f>+RIGHT(S34,1)&amp;S36</f>
        <v>1LLH</v>
      </c>
      <c r="S36" s="4" t="s">
        <v>1</v>
      </c>
      <c r="T36" s="1">
        <f>+VLOOKUP($R36,$C$28:$Q$58,2+MATCH(T$29,$T$29:$AE$29,0),FALSE)*VLOOKUP($S36,$S$29:$AE$31,1+MATCH(T$29,$T$29:$AE$29,0),FALSE)</f>
        <v>13704316.421987176</v>
      </c>
      <c r="U36" s="1">
        <f t="shared" si="27"/>
        <v>14945066.39828742</v>
      </c>
      <c r="V36" s="1">
        <f t="shared" si="27"/>
        <v>35814423.20498787</v>
      </c>
      <c r="W36" s="1">
        <f t="shared" si="27"/>
        <v>23877787.481822368</v>
      </c>
      <c r="X36" s="1">
        <f t="shared" si="27"/>
        <v>20762647.761414476</v>
      </c>
      <c r="Y36" s="1">
        <f t="shared" si="27"/>
        <v>17949468.5991316</v>
      </c>
      <c r="Z36" s="1">
        <f t="shared" si="27"/>
        <v>9291628.823058467</v>
      </c>
      <c r="AA36" s="1">
        <f t="shared" si="27"/>
        <v>7570908.927075864</v>
      </c>
      <c r="AB36" s="1">
        <f t="shared" si="27"/>
        <v>3018274.59054056</v>
      </c>
      <c r="AC36" s="1">
        <f t="shared" si="27"/>
        <v>25532465.100681376</v>
      </c>
      <c r="AD36" s="1">
        <f t="shared" si="27"/>
        <v>32757775.88505271</v>
      </c>
      <c r="AE36" s="1">
        <f t="shared" si="27"/>
        <v>23314952.924344424</v>
      </c>
      <c r="AF36" s="1">
        <f aca="true" t="shared" si="29" ref="AF36:AF48">+SUM(T36:AE36)</f>
        <v>228539716.1183843</v>
      </c>
    </row>
    <row r="37" spans="16:32" ht="15">
      <c r="P37" s="16"/>
      <c r="Q37" s="1"/>
      <c r="R37" s="4"/>
      <c r="S37" t="s">
        <v>27</v>
      </c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3:32" ht="15">
      <c r="C38">
        <f>+RANK(Q41,$Q$26:$Q$55)</f>
        <v>5</v>
      </c>
      <c r="D38" t="str">
        <f>"Customer "&amp;C38</f>
        <v>Customer 5</v>
      </c>
      <c r="E38" s="10">
        <f>+Q41/SUM($Q$26:$Q$55)</f>
        <v>0.05457801202351185</v>
      </c>
      <c r="F38" s="11">
        <f>+E38*SUM($E$21:$P$22)</f>
        <v>3386270.808848454</v>
      </c>
      <c r="G38" t="s">
        <v>49</v>
      </c>
      <c r="Q38" s="1"/>
      <c r="R38" s="4" t="str">
        <f>+RIGHT(S37,1)&amp;S38</f>
        <v>2HLH</v>
      </c>
      <c r="S38" s="4" t="s">
        <v>0</v>
      </c>
      <c r="T38" s="1">
        <f>+VLOOKUP($R38,$C$28:$Q$58,2+MATCH(T$29,$T$29:$AE$29,0),FALSE)*VLOOKUP($S38,$S$29:$AE$31,1+MATCH(T$29,$T$29:$AE$29,0),FALSE)</f>
        <v>35968520.988299444</v>
      </c>
      <c r="U38" s="1">
        <f t="shared" si="27"/>
        <v>31188854.764679056</v>
      </c>
      <c r="V38" s="1">
        <f t="shared" si="27"/>
        <v>59022768.749080904</v>
      </c>
      <c r="W38" s="1">
        <f t="shared" si="27"/>
        <v>49068853.464833215</v>
      </c>
      <c r="X38" s="1">
        <f t="shared" si="27"/>
        <v>42802455.66443028</v>
      </c>
      <c r="Y38" s="1">
        <f t="shared" si="27"/>
        <v>27942193.727833077</v>
      </c>
      <c r="Z38" s="1">
        <f t="shared" si="27"/>
        <v>12481810.164860144</v>
      </c>
      <c r="AA38" s="1">
        <f t="shared" si="27"/>
        <v>9372226.05700276</v>
      </c>
      <c r="AB38" s="1">
        <f t="shared" si="27"/>
        <v>8792118.881998016</v>
      </c>
      <c r="AC38" s="1">
        <f t="shared" si="27"/>
        <v>38989354.18022304</v>
      </c>
      <c r="AD38" s="1">
        <f t="shared" si="27"/>
        <v>51812247.888222665</v>
      </c>
      <c r="AE38" s="1">
        <f t="shared" si="27"/>
        <v>37864321.16282118</v>
      </c>
      <c r="AF38" s="1">
        <f t="shared" si="29"/>
        <v>405305725.6942837</v>
      </c>
    </row>
    <row r="39" spans="5:32" ht="15">
      <c r="E39" t="s">
        <v>2</v>
      </c>
      <c r="F39" t="s">
        <v>3</v>
      </c>
      <c r="G39" t="s">
        <v>4</v>
      </c>
      <c r="H39" t="s">
        <v>5</v>
      </c>
      <c r="I39" t="s">
        <v>6</v>
      </c>
      <c r="J39" t="s">
        <v>7</v>
      </c>
      <c r="K39" t="s">
        <v>8</v>
      </c>
      <c r="L39" t="s">
        <v>9</v>
      </c>
      <c r="M39" t="s">
        <v>10</v>
      </c>
      <c r="N39" t="s">
        <v>11</v>
      </c>
      <c r="O39" t="s">
        <v>12</v>
      </c>
      <c r="P39" t="s">
        <v>13</v>
      </c>
      <c r="Q39" s="1"/>
      <c r="R39" s="4" t="str">
        <f>+RIGHT(S37,1)&amp;S39</f>
        <v>2LLH</v>
      </c>
      <c r="S39" s="4" t="s">
        <v>1</v>
      </c>
      <c r="T39" s="1">
        <f>+VLOOKUP($R39,$C$28:$Q$58,2+MATCH(T$29,$T$29:$AE$29,0),FALSE)*VLOOKUP($S39,$S$29:$AE$31,1+MATCH(T$29,$T$29:$AE$29,0),FALSE)</f>
        <v>13114882.6513422</v>
      </c>
      <c r="U39" s="1">
        <f t="shared" si="27"/>
        <v>15125885.498625819</v>
      </c>
      <c r="V39" s="1">
        <f t="shared" si="27"/>
        <v>35052657.515028946</v>
      </c>
      <c r="W39" s="1">
        <f t="shared" si="27"/>
        <v>22419541.578199998</v>
      </c>
      <c r="X39" s="1">
        <f t="shared" si="27"/>
        <v>21713845.09443047</v>
      </c>
      <c r="Y39" s="1">
        <f t="shared" si="27"/>
        <v>18607400.99815672</v>
      </c>
      <c r="Z39" s="1">
        <f t="shared" si="27"/>
        <v>8016244.29201279</v>
      </c>
      <c r="AA39" s="1">
        <f t="shared" si="27"/>
        <v>4895065.688102149</v>
      </c>
      <c r="AB39" s="1">
        <f t="shared" si="27"/>
        <v>2034445.2038816612</v>
      </c>
      <c r="AC39" s="1">
        <f t="shared" si="27"/>
        <v>14580143.761558715</v>
      </c>
      <c r="AD39" s="1">
        <f t="shared" si="27"/>
        <v>20145177.74727651</v>
      </c>
      <c r="AE39" s="1">
        <f t="shared" si="27"/>
        <v>16775062.42172042</v>
      </c>
      <c r="AF39" s="1">
        <f t="shared" si="29"/>
        <v>192480352.4503364</v>
      </c>
    </row>
    <row r="40" spans="4:32" ht="15">
      <c r="D40" t="s">
        <v>0</v>
      </c>
      <c r="E40" s="8">
        <v>18618.768</v>
      </c>
      <c r="F40" s="8">
        <v>17372.8</v>
      </c>
      <c r="G40" s="8">
        <v>17301.2</v>
      </c>
      <c r="H40" s="8">
        <v>18005.311999999998</v>
      </c>
      <c r="I40" s="8">
        <v>16598.784</v>
      </c>
      <c r="J40" s="8">
        <v>18301.92</v>
      </c>
      <c r="K40" s="8">
        <v>17949.568</v>
      </c>
      <c r="L40" s="8">
        <v>17856.384</v>
      </c>
      <c r="M40" s="8">
        <v>17709.6</v>
      </c>
      <c r="N40" s="8">
        <v>18987.904000000002</v>
      </c>
      <c r="O40" s="8">
        <v>19678.464</v>
      </c>
      <c r="P40" s="8">
        <v>17650.800000000003</v>
      </c>
      <c r="Q40" s="1"/>
      <c r="R40" s="4"/>
      <c r="S40" t="s">
        <v>25</v>
      </c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4:32" ht="15">
      <c r="D41" t="s">
        <v>1</v>
      </c>
      <c r="E41" s="8">
        <v>13377.312000000002</v>
      </c>
      <c r="F41" s="8">
        <v>13801.074</v>
      </c>
      <c r="G41" s="8">
        <v>14296.984</v>
      </c>
      <c r="H41" s="8">
        <v>14153.856</v>
      </c>
      <c r="I41" s="8">
        <v>12284.64</v>
      </c>
      <c r="J41" s="8">
        <v>13854.99</v>
      </c>
      <c r="K41" s="8">
        <v>13050.720000000001</v>
      </c>
      <c r="L41" s="8">
        <v>14098.752</v>
      </c>
      <c r="M41" s="8">
        <v>13530.240000000002</v>
      </c>
      <c r="N41" s="8">
        <v>14860.368</v>
      </c>
      <c r="O41" s="8">
        <v>14888.248</v>
      </c>
      <c r="P41" s="8">
        <v>14042.240000000002</v>
      </c>
      <c r="Q41" s="1">
        <f>+SUM(E40:P41)</f>
        <v>382270.92799999996</v>
      </c>
      <c r="R41" s="4" t="str">
        <f>+RIGHT(S40,1)&amp;S41</f>
        <v>3HLH</v>
      </c>
      <c r="S41" s="4" t="s">
        <v>0</v>
      </c>
      <c r="T41" s="1">
        <f>+VLOOKUP($R41,$C$28:$Q$58,2+MATCH(T$29,$T$29:$AE$29,0),FALSE)*VLOOKUP($S41,$S$29:$AE$31,1+MATCH(T$29,$T$29:$AE$29,0),FALSE)</f>
        <v>29498866.157203034</v>
      </c>
      <c r="U41" s="1">
        <f t="shared" si="27"/>
        <v>25344354.053401206</v>
      </c>
      <c r="V41" s="1">
        <f t="shared" si="27"/>
        <v>50646864.10669726</v>
      </c>
      <c r="W41" s="1">
        <f t="shared" si="27"/>
        <v>40324277.74941461</v>
      </c>
      <c r="X41" s="1">
        <f t="shared" si="27"/>
        <v>34869386.2227263</v>
      </c>
      <c r="Y41" s="1">
        <f t="shared" si="27"/>
        <v>22801969.020053364</v>
      </c>
      <c r="Z41" s="1">
        <f t="shared" si="27"/>
        <v>10082395.8016074</v>
      </c>
      <c r="AA41" s="1">
        <f t="shared" si="27"/>
        <v>7694086.0340107335</v>
      </c>
      <c r="AB41" s="1">
        <f t="shared" si="27"/>
        <v>7851197.016213893</v>
      </c>
      <c r="AC41" s="1">
        <f t="shared" si="27"/>
        <v>35937906.45722053</v>
      </c>
      <c r="AD41" s="1">
        <f t="shared" si="27"/>
        <v>49467210.34481862</v>
      </c>
      <c r="AE41" s="1">
        <f t="shared" si="27"/>
        <v>33666466.6799481</v>
      </c>
      <c r="AF41" s="1">
        <f t="shared" si="29"/>
        <v>348184979.6433151</v>
      </c>
    </row>
    <row r="42" spans="3:32" ht="15">
      <c r="C42" t="str">
        <f>+C38&amp;D42</f>
        <v>5HLH</v>
      </c>
      <c r="D42" s="4" t="s">
        <v>0</v>
      </c>
      <c r="E42" s="12">
        <f>+E40/$Q$41*$F$38</f>
        <v>164930.6446215594</v>
      </c>
      <c r="F42" s="12">
        <f aca="true" t="shared" si="30" ref="F42:P42">+F40/$Q$41*$F$38</f>
        <v>153893.48548096346</v>
      </c>
      <c r="G42" s="12">
        <f t="shared" si="30"/>
        <v>153259.23115463514</v>
      </c>
      <c r="H42" s="12">
        <f t="shared" si="30"/>
        <v>159496.46693982647</v>
      </c>
      <c r="I42" s="12">
        <f t="shared" si="30"/>
        <v>147037.01904734116</v>
      </c>
      <c r="J42" s="12">
        <f t="shared" si="30"/>
        <v>162123.90977814482</v>
      </c>
      <c r="K42" s="12">
        <f t="shared" si="30"/>
        <v>159002.66982855764</v>
      </c>
      <c r="L42" s="12">
        <f t="shared" si="30"/>
        <v>158177.2179410635</v>
      </c>
      <c r="M42" s="12">
        <f t="shared" si="30"/>
        <v>156876.96113888783</v>
      </c>
      <c r="N42" s="12">
        <f t="shared" si="30"/>
        <v>168200.5622892066</v>
      </c>
      <c r="O42" s="12">
        <f t="shared" si="30"/>
        <v>174317.7503840292</v>
      </c>
      <c r="P42" s="12">
        <f t="shared" si="30"/>
        <v>156356.0930608417</v>
      </c>
      <c r="Q42" s="1"/>
      <c r="R42" s="4" t="str">
        <f>+RIGHT(S40,1)&amp;S42</f>
        <v>3LLH</v>
      </c>
      <c r="S42" s="4" t="s">
        <v>1</v>
      </c>
      <c r="T42" s="1">
        <f>+VLOOKUP($R42,$C$28:$Q$58,2+MATCH(T$29,$T$29:$AE$29,0),FALSE)*VLOOKUP($S42,$S$29:$AE$31,1+MATCH(T$29,$T$29:$AE$29,0),FALSE)</f>
        <v>11120735.452473968</v>
      </c>
      <c r="U42" s="1">
        <f t="shared" si="27"/>
        <v>12425614.761393523</v>
      </c>
      <c r="V42" s="1">
        <f t="shared" si="27"/>
        <v>29566057.644133154</v>
      </c>
      <c r="W42" s="1">
        <f t="shared" si="27"/>
        <v>19423734.71872323</v>
      </c>
      <c r="X42" s="1">
        <f t="shared" si="27"/>
        <v>17904619.12141956</v>
      </c>
      <c r="Y42" s="1">
        <f t="shared" si="27"/>
        <v>14674435.063910201</v>
      </c>
      <c r="Z42" s="1">
        <f t="shared" si="27"/>
        <v>6587368.591268716</v>
      </c>
      <c r="AA42" s="1">
        <f t="shared" si="27"/>
        <v>4172271.9811820285</v>
      </c>
      <c r="AB42" s="1">
        <f t="shared" si="27"/>
        <v>1729546.7040556357</v>
      </c>
      <c r="AC42" s="1">
        <f t="shared" si="27"/>
        <v>13667488.015970312</v>
      </c>
      <c r="AD42" s="1">
        <f t="shared" si="27"/>
        <v>18521587.82795045</v>
      </c>
      <c r="AE42" s="1">
        <f t="shared" si="27"/>
        <v>15214462.396152934</v>
      </c>
      <c r="AF42" s="1">
        <f t="shared" si="29"/>
        <v>165007922.2786337</v>
      </c>
    </row>
    <row r="43" spans="3:32" ht="15">
      <c r="C43" t="str">
        <f>+C38&amp;D43</f>
        <v>5LLH</v>
      </c>
      <c r="D43" s="4" t="s">
        <v>1</v>
      </c>
      <c r="E43" s="12">
        <f>+E41/$Q$41*$F$38</f>
        <v>118500.25154530753</v>
      </c>
      <c r="F43" s="12">
        <f aca="true" t="shared" si="31" ref="F43:P43">+F41/$Q$41*$F$38</f>
        <v>122254.06274410013</v>
      </c>
      <c r="G43" s="12">
        <f t="shared" si="31"/>
        <v>126646.98261797562</v>
      </c>
      <c r="H43" s="12">
        <f t="shared" si="31"/>
        <v>125379.11176296555</v>
      </c>
      <c r="I43" s="12">
        <f t="shared" si="31"/>
        <v>108821.0344607008</v>
      </c>
      <c r="J43" s="12">
        <f t="shared" si="31"/>
        <v>122731.66688178612</v>
      </c>
      <c r="K43" s="12">
        <f t="shared" si="31"/>
        <v>115607.20142038818</v>
      </c>
      <c r="L43" s="12">
        <f t="shared" si="31"/>
        <v>124890.98396411084</v>
      </c>
      <c r="M43" s="12">
        <f t="shared" si="31"/>
        <v>119854.93374665866</v>
      </c>
      <c r="N43" s="12">
        <f t="shared" si="31"/>
        <v>131637.6074697098</v>
      </c>
      <c r="O43" s="12">
        <f t="shared" si="31"/>
        <v>131884.57689174937</v>
      </c>
      <c r="P43" s="12">
        <f t="shared" si="31"/>
        <v>124390.3836779451</v>
      </c>
      <c r="Q43" s="1"/>
      <c r="R43" s="4"/>
      <c r="S43" t="s">
        <v>24</v>
      </c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16:32" ht="15">
      <c r="P44" s="16"/>
      <c r="Q44" s="1"/>
      <c r="R44" s="4" t="str">
        <f>+RIGHT(S43,1)&amp;S44</f>
        <v>4HLH</v>
      </c>
      <c r="S44" s="4" t="s">
        <v>0</v>
      </c>
      <c r="T44" s="1">
        <f>+VLOOKUP($R44,$C$28:$Q$58,2+MATCH(T$29,$T$29:$AE$29,0),FALSE)*VLOOKUP($S44,$S$29:$AE$31,1+MATCH(T$29,$T$29:$AE$29,0),FALSE)</f>
        <v>14842017.176754855</v>
      </c>
      <c r="U44" s="1">
        <f t="shared" si="27"/>
        <v>11835291.2984648</v>
      </c>
      <c r="V44" s="1">
        <f t="shared" si="27"/>
        <v>23034183.0302395</v>
      </c>
      <c r="W44" s="1">
        <f t="shared" si="27"/>
        <v>18631931.56856183</v>
      </c>
      <c r="X44" s="1">
        <f t="shared" si="27"/>
        <v>16345507.72116033</v>
      </c>
      <c r="Y44" s="1">
        <f t="shared" si="27"/>
        <v>10272570.105065152</v>
      </c>
      <c r="Z44" s="1">
        <f t="shared" si="27"/>
        <v>5233987.270721263</v>
      </c>
      <c r="AA44" s="1">
        <f t="shared" si="27"/>
        <v>4875199.2282751305</v>
      </c>
      <c r="AB44" s="1">
        <f t="shared" si="27"/>
        <v>5342614.671623351</v>
      </c>
      <c r="AC44" s="1">
        <f t="shared" si="27"/>
        <v>24774171.83593806</v>
      </c>
      <c r="AD44" s="1">
        <f t="shared" si="27"/>
        <v>32354492.676583305</v>
      </c>
      <c r="AE44" s="1">
        <f t="shared" si="27"/>
        <v>19176958.858419158</v>
      </c>
      <c r="AF44" s="1">
        <f t="shared" si="29"/>
        <v>186718925.4418067</v>
      </c>
    </row>
    <row r="45" spans="3:32" ht="15">
      <c r="C45">
        <f>+RANK(Q48,$Q$26:$Q$55)</f>
        <v>1</v>
      </c>
      <c r="D45" t="str">
        <f>"Customer "&amp;C45</f>
        <v>Customer 1</v>
      </c>
      <c r="E45" s="10">
        <f>+Q48/SUM($Q$26:$Q$55)</f>
        <v>0.3105332634209167</v>
      </c>
      <c r="F45" s="11">
        <f>+E45*SUM($E$21:$P$22)</f>
        <v>19266911.455948543</v>
      </c>
      <c r="G45" t="s">
        <v>49</v>
      </c>
      <c r="Q45" s="1"/>
      <c r="R45" s="4" t="str">
        <f>+RIGHT(S43,1)&amp;S45</f>
        <v>4LLH</v>
      </c>
      <c r="S45" s="4" t="s">
        <v>1</v>
      </c>
      <c r="T45" s="1">
        <f>+VLOOKUP($R45,$C$28:$Q$58,2+MATCH(T$29,$T$29:$AE$29,0),FALSE)*VLOOKUP($S45,$S$29:$AE$31,1+MATCH(T$29,$T$29:$AE$29,0),FALSE)</f>
        <v>5647496.84994764</v>
      </c>
      <c r="U45" s="1">
        <f t="shared" si="27"/>
        <v>5867117.380976111</v>
      </c>
      <c r="V45" s="1">
        <f t="shared" si="27"/>
        <v>14082730.433042591</v>
      </c>
      <c r="W45" s="1">
        <f t="shared" si="27"/>
        <v>8775733.919752043</v>
      </c>
      <c r="X45" s="1">
        <f t="shared" si="27"/>
        <v>8481655.900257206</v>
      </c>
      <c r="Y45" s="1">
        <f t="shared" si="27"/>
        <v>6992926.279209558</v>
      </c>
      <c r="Z45" s="1">
        <f t="shared" si="27"/>
        <v>3465982.0917845145</v>
      </c>
      <c r="AA45" s="1">
        <f t="shared" si="27"/>
        <v>2697689.3619659087</v>
      </c>
      <c r="AB45" s="1">
        <f t="shared" si="27"/>
        <v>1284161.9543838028</v>
      </c>
      <c r="AC45" s="1">
        <f t="shared" si="27"/>
        <v>9947377.612915622</v>
      </c>
      <c r="AD45" s="1">
        <f t="shared" si="27"/>
        <v>13216648.812008856</v>
      </c>
      <c r="AE45" s="1">
        <f t="shared" si="27"/>
        <v>9052067.944911232</v>
      </c>
      <c r="AF45" s="1">
        <f t="shared" si="29"/>
        <v>89511588.5411551</v>
      </c>
    </row>
    <row r="46" spans="5:32" ht="15">
      <c r="E46" t="s">
        <v>2</v>
      </c>
      <c r="F46" t="s">
        <v>3</v>
      </c>
      <c r="G46" t="s">
        <v>4</v>
      </c>
      <c r="H46" t="s">
        <v>5</v>
      </c>
      <c r="I46" t="s">
        <v>6</v>
      </c>
      <c r="J46" t="s">
        <v>7</v>
      </c>
      <c r="K46" t="s">
        <v>8</v>
      </c>
      <c r="L46" t="s">
        <v>9</v>
      </c>
      <c r="M46" t="s">
        <v>10</v>
      </c>
      <c r="N46" t="s">
        <v>11</v>
      </c>
      <c r="O46" t="s">
        <v>12</v>
      </c>
      <c r="P46" t="s">
        <v>13</v>
      </c>
      <c r="Q46" s="1"/>
      <c r="R46" s="4"/>
      <c r="S46" t="s">
        <v>23</v>
      </c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4:32" ht="15">
      <c r="D47" t="s">
        <v>0</v>
      </c>
      <c r="E47" s="8">
        <v>87001.344</v>
      </c>
      <c r="F47" s="8">
        <v>87438.80000000002</v>
      </c>
      <c r="G47" s="8">
        <v>120505.59999999998</v>
      </c>
      <c r="H47" s="8">
        <v>113187.35999999999</v>
      </c>
      <c r="I47" s="8">
        <v>93366.14400000001</v>
      </c>
      <c r="J47" s="8">
        <v>98605.31200000002</v>
      </c>
      <c r="K47" s="8">
        <v>99028.8</v>
      </c>
      <c r="L47" s="8">
        <v>109718.75200000001</v>
      </c>
      <c r="M47" s="8">
        <v>113449.2</v>
      </c>
      <c r="N47" s="8">
        <v>130688.06400000001</v>
      </c>
      <c r="O47" s="8">
        <v>129724.192</v>
      </c>
      <c r="P47" s="8">
        <v>95389.2</v>
      </c>
      <c r="Q47" s="1"/>
      <c r="R47" s="4" t="str">
        <f>+RIGHT(S46,1)&amp;S47</f>
        <v>5HLH</v>
      </c>
      <c r="S47" s="4" t="s">
        <v>0</v>
      </c>
      <c r="T47" s="1">
        <f>+VLOOKUP($R47,$C$28:$Q$58,2+MATCH(T$29,$T$29:$AE$29,0),FALSE)*VLOOKUP($S47,$S$29:$AE$31,1+MATCH(T$29,$T$29:$AE$29,0),FALSE)</f>
        <v>6915566.80469802</v>
      </c>
      <c r="U47" s="1">
        <f t="shared" si="27"/>
        <v>5312426.329835915</v>
      </c>
      <c r="V47" s="1">
        <f t="shared" si="27"/>
        <v>8559551.175357822</v>
      </c>
      <c r="W47" s="1">
        <f t="shared" si="27"/>
        <v>7033818.248150835</v>
      </c>
      <c r="X47" s="1">
        <f t="shared" si="27"/>
        <v>6549051.005272939</v>
      </c>
      <c r="Y47" s="1">
        <f t="shared" si="27"/>
        <v>4748633.769791237</v>
      </c>
      <c r="Z47" s="1">
        <f t="shared" si="27"/>
        <v>2327823.067917468</v>
      </c>
      <c r="AA47" s="1">
        <f t="shared" si="27"/>
        <v>1966166.6761357647</v>
      </c>
      <c r="AB47" s="1">
        <f t="shared" si="27"/>
        <v>1896666.1211858604</v>
      </c>
      <c r="AC47" s="1">
        <f t="shared" si="27"/>
        <v>8379777.382150662</v>
      </c>
      <c r="AD47" s="1">
        <f t="shared" si="27"/>
        <v>11459675.201775275</v>
      </c>
      <c r="AE47" s="1">
        <f t="shared" si="27"/>
        <v>8274388.027236358</v>
      </c>
      <c r="AF47" s="1">
        <f t="shared" si="29"/>
        <v>73423543.80950816</v>
      </c>
    </row>
    <row r="48" spans="4:32" ht="15">
      <c r="D48" t="s">
        <v>1</v>
      </c>
      <c r="E48" s="8">
        <v>57023.615999999995</v>
      </c>
      <c r="F48" s="8">
        <v>65877.225</v>
      </c>
      <c r="G48" s="8">
        <v>86186.79199999999</v>
      </c>
      <c r="H48" s="8">
        <v>87092.528</v>
      </c>
      <c r="I48" s="8">
        <v>64693.728</v>
      </c>
      <c r="J48" s="8">
        <v>67407.78</v>
      </c>
      <c r="K48" s="8">
        <v>66010.56000000001</v>
      </c>
      <c r="L48" s="8">
        <v>80933.344</v>
      </c>
      <c r="M48" s="8">
        <v>74882.87999999999</v>
      </c>
      <c r="N48" s="8">
        <v>92559.63200000001</v>
      </c>
      <c r="O48" s="8">
        <v>85700.16799999999</v>
      </c>
      <c r="P48" s="8">
        <v>68541.12</v>
      </c>
      <c r="Q48" s="1">
        <f>+SUM(E47:P48)</f>
        <v>2175012.1410000003</v>
      </c>
      <c r="R48" s="4" t="str">
        <f>+RIGHT(S46,1)&amp;S48</f>
        <v>5LLH</v>
      </c>
      <c r="S48" s="4" t="s">
        <v>1</v>
      </c>
      <c r="T48" s="1">
        <f>+VLOOKUP($R48,$C$28:$Q$58,2+MATCH(T$29,$T$29:$AE$29,0),FALSE)*VLOOKUP($S48,$S$29:$AE$31,1+MATCH(T$29,$T$29:$AE$29,0),FALSE)</f>
        <v>3214929.6972616776</v>
      </c>
      <c r="U48" s="1">
        <f t="shared" si="27"/>
        <v>3130944.9858836364</v>
      </c>
      <c r="V48" s="1">
        <f t="shared" si="27"/>
        <v>5941029.056179981</v>
      </c>
      <c r="W48" s="1">
        <f t="shared" si="27"/>
        <v>3880502.4194075107</v>
      </c>
      <c r="X48" s="1">
        <f t="shared" si="27"/>
        <v>3942602.4914777316</v>
      </c>
      <c r="Y48" s="1">
        <f t="shared" si="27"/>
        <v>3689332.417508517</v>
      </c>
      <c r="Z48" s="1">
        <f t="shared" si="27"/>
        <v>1837015.8670622637</v>
      </c>
      <c r="AA48" s="1">
        <f t="shared" si="27"/>
        <v>1318867.62738271</v>
      </c>
      <c r="AB48" s="1">
        <f t="shared" si="27"/>
        <v>545358.025705148</v>
      </c>
      <c r="AC48" s="1">
        <f t="shared" si="27"/>
        <v>4099214.9508900624</v>
      </c>
      <c r="AD48" s="1">
        <f t="shared" si="27"/>
        <v>5690839.384411524</v>
      </c>
      <c r="AE48" s="1">
        <f t="shared" si="27"/>
        <v>4776609.494451596</v>
      </c>
      <c r="AF48" s="1">
        <f t="shared" si="29"/>
        <v>42067246.41762236</v>
      </c>
    </row>
    <row r="49" spans="3:17" ht="15">
      <c r="C49" t="str">
        <f>+C45&amp;D49</f>
        <v>1HLH</v>
      </c>
      <c r="D49" s="4" t="s">
        <v>0</v>
      </c>
      <c r="E49" s="12">
        <f>+E47/$Q$48*$F$45</f>
        <v>770684.0618488849</v>
      </c>
      <c r="F49" s="12">
        <f aca="true" t="shared" si="32" ref="F49:P49">+F47/$Q$48*$F$45</f>
        <v>774559.1786167383</v>
      </c>
      <c r="G49" s="12">
        <f t="shared" si="32"/>
        <v>1067474.8344524077</v>
      </c>
      <c r="H49" s="12">
        <f t="shared" si="32"/>
        <v>1002647.6643251856</v>
      </c>
      <c r="I49" s="12">
        <f t="shared" si="32"/>
        <v>827065.3738071899</v>
      </c>
      <c r="J49" s="12">
        <f t="shared" si="32"/>
        <v>873475.4990915613</v>
      </c>
      <c r="K49" s="12">
        <f t="shared" si="32"/>
        <v>877226.8831159766</v>
      </c>
      <c r="L49" s="12">
        <f t="shared" si="32"/>
        <v>971921.6918344443</v>
      </c>
      <c r="M49" s="12">
        <f t="shared" si="32"/>
        <v>1004967.1217666077</v>
      </c>
      <c r="N49" s="12">
        <f t="shared" si="32"/>
        <v>1157674.1618921089</v>
      </c>
      <c r="O49" s="12">
        <f t="shared" si="32"/>
        <v>1149135.8939308412</v>
      </c>
      <c r="P49" s="12">
        <f t="shared" si="32"/>
        <v>844986.2120809957</v>
      </c>
      <c r="Q49" s="1"/>
    </row>
    <row r="50" spans="3:17" ht="15">
      <c r="C50" t="str">
        <f>+C45&amp;D50</f>
        <v>1LLH</v>
      </c>
      <c r="D50" s="4" t="s">
        <v>1</v>
      </c>
      <c r="E50" s="12">
        <f>+E48/$Q$48*$F$45</f>
        <v>505132.3345095802</v>
      </c>
      <c r="F50" s="12">
        <f aca="true" t="shared" si="33" ref="F50:P50">+F48/$Q$48*$F$45</f>
        <v>583560.2648429536</v>
      </c>
      <c r="G50" s="12">
        <f t="shared" si="33"/>
        <v>763468.5153402339</v>
      </c>
      <c r="H50" s="12">
        <f t="shared" si="33"/>
        <v>771491.7971350851</v>
      </c>
      <c r="I50" s="12">
        <f t="shared" si="33"/>
        <v>573076.4926020792</v>
      </c>
      <c r="J50" s="12">
        <f t="shared" si="33"/>
        <v>597118.3811897899</v>
      </c>
      <c r="K50" s="12">
        <f t="shared" si="33"/>
        <v>584741.3863597274</v>
      </c>
      <c r="L50" s="12">
        <f t="shared" si="33"/>
        <v>716931.8935226229</v>
      </c>
      <c r="M50" s="12">
        <f t="shared" si="33"/>
        <v>663335.0643565073</v>
      </c>
      <c r="N50" s="12">
        <f t="shared" si="33"/>
        <v>819921.0480357412</v>
      </c>
      <c r="O50" s="12">
        <f t="shared" si="33"/>
        <v>759157.8536461671</v>
      </c>
      <c r="P50" s="12">
        <f t="shared" si="33"/>
        <v>607157.8476451106</v>
      </c>
      <c r="Q50" s="1"/>
    </row>
    <row r="51" spans="16:17" ht="15">
      <c r="P51" s="16"/>
      <c r="Q51" s="1"/>
    </row>
    <row r="52" spans="3:17" ht="15">
      <c r="C52">
        <f>+RANK(Q55,$Q$26:$Q$55)</f>
        <v>4</v>
      </c>
      <c r="D52" t="str">
        <f>"Customer "&amp;C52</f>
        <v>Customer 4</v>
      </c>
      <c r="E52" s="10">
        <f>+Q55/SUM($Q$26:$Q$55)</f>
        <v>0.12729349040115015</v>
      </c>
      <c r="F52" s="11">
        <f>+E52*SUM($E$21:$P$22)</f>
        <v>7897873.424120909</v>
      </c>
      <c r="G52" t="s">
        <v>49</v>
      </c>
      <c r="Q52" s="1"/>
    </row>
    <row r="53" spans="5:17" ht="15">
      <c r="E53" t="s">
        <v>2</v>
      </c>
      <c r="F53" t="s">
        <v>3</v>
      </c>
      <c r="G53" t="s">
        <v>4</v>
      </c>
      <c r="H53" t="s">
        <v>5</v>
      </c>
      <c r="I53" t="s">
        <v>6</v>
      </c>
      <c r="J53" t="s">
        <v>7</v>
      </c>
      <c r="K53" t="s">
        <v>8</v>
      </c>
      <c r="L53" t="s">
        <v>9</v>
      </c>
      <c r="M53" t="s">
        <v>10</v>
      </c>
      <c r="N53" t="s">
        <v>11</v>
      </c>
      <c r="O53" t="s">
        <v>12</v>
      </c>
      <c r="P53" t="s">
        <v>13</v>
      </c>
      <c r="Q53" s="1"/>
    </row>
    <row r="54" spans="4:17" ht="15">
      <c r="D54" t="s">
        <v>0</v>
      </c>
      <c r="E54" s="8">
        <v>39959.136</v>
      </c>
      <c r="F54" s="8">
        <v>38704</v>
      </c>
      <c r="G54" s="8">
        <v>46558.4</v>
      </c>
      <c r="H54" s="8">
        <v>47694.399999999994</v>
      </c>
      <c r="I54" s="8">
        <v>41428.22400000001</v>
      </c>
      <c r="J54" s="8">
        <v>39591.96799999999</v>
      </c>
      <c r="K54" s="8">
        <v>40358.655999999995</v>
      </c>
      <c r="L54" s="8">
        <v>44275.712</v>
      </c>
      <c r="M54" s="8">
        <v>49885.200000000004</v>
      </c>
      <c r="N54" s="8">
        <v>56136.288</v>
      </c>
      <c r="O54" s="8">
        <v>55558.88</v>
      </c>
      <c r="P54" s="8">
        <v>40908</v>
      </c>
      <c r="Q54" s="1"/>
    </row>
    <row r="55" spans="4:17" ht="15">
      <c r="D55" t="s">
        <v>1</v>
      </c>
      <c r="E55" s="8">
        <v>23499.216</v>
      </c>
      <c r="F55" s="8">
        <v>25862.006999999998</v>
      </c>
      <c r="G55" s="8">
        <v>33889.848</v>
      </c>
      <c r="H55" s="8">
        <v>32008.863999999998</v>
      </c>
      <c r="I55" s="8">
        <v>26427.744</v>
      </c>
      <c r="J55" s="8">
        <v>26261.37</v>
      </c>
      <c r="K55" s="8">
        <v>24623.392</v>
      </c>
      <c r="L55" s="8">
        <v>28838.416</v>
      </c>
      <c r="M55" s="8">
        <v>31859.840000000004</v>
      </c>
      <c r="N55" s="8">
        <v>36060.976</v>
      </c>
      <c r="O55" s="8">
        <v>34577.104</v>
      </c>
      <c r="P55" s="8">
        <v>26611.2</v>
      </c>
      <c r="Q55" s="1">
        <f>+SUM(E54:P55)</f>
        <v>891578.8409999999</v>
      </c>
    </row>
    <row r="56" spans="3:16" ht="15">
      <c r="C56" t="str">
        <f>+C52&amp;D56</f>
        <v>4HLH</v>
      </c>
      <c r="D56" s="4" t="s">
        <v>0</v>
      </c>
      <c r="E56" s="12">
        <f>+E54/$Q$55*$F$52</f>
        <v>353970.0402841133</v>
      </c>
      <c r="F56" s="12">
        <f aca="true" t="shared" si="34" ref="F56:P56">+F54/$Q$55*$F$52</f>
        <v>342851.6682431853</v>
      </c>
      <c r="G56" s="12">
        <f t="shared" si="34"/>
        <v>412428.3048453266</v>
      </c>
      <c r="H56" s="12">
        <f t="shared" si="34"/>
        <v>422491.33438036835</v>
      </c>
      <c r="I56" s="12">
        <f t="shared" si="34"/>
        <v>366983.66346507776</v>
      </c>
      <c r="J56" s="12">
        <f t="shared" si="34"/>
        <v>350717.5557521395</v>
      </c>
      <c r="K56" s="12">
        <f t="shared" si="34"/>
        <v>357509.10855862027</v>
      </c>
      <c r="L56" s="12">
        <f t="shared" si="34"/>
        <v>392207.5682579273</v>
      </c>
      <c r="M56" s="12">
        <f t="shared" si="34"/>
        <v>441898.0994379121</v>
      </c>
      <c r="N56" s="12">
        <f t="shared" si="34"/>
        <v>497272.11631304014</v>
      </c>
      <c r="O56" s="12">
        <f t="shared" si="34"/>
        <v>492157.2626530318</v>
      </c>
      <c r="P56" s="12">
        <f t="shared" si="34"/>
        <v>362375.36286927</v>
      </c>
    </row>
    <row r="57" spans="3:16" ht="15">
      <c r="C57" t="str">
        <f>+C52&amp;D57</f>
        <v>4LLH</v>
      </c>
      <c r="D57" s="4" t="s">
        <v>1</v>
      </c>
      <c r="E57" s="12">
        <f>+E55/$Q$55*$F$52</f>
        <v>208163.1202978233</v>
      </c>
      <c r="F57" s="12">
        <f aca="true" t="shared" si="35" ref="F57:P57">+F55/$Q$55*$F$52</f>
        <v>229093.43334195268</v>
      </c>
      <c r="G57" s="12">
        <f t="shared" si="35"/>
        <v>300206.4624666178</v>
      </c>
      <c r="H57" s="12">
        <f t="shared" si="35"/>
        <v>283544.14068233874</v>
      </c>
      <c r="I57" s="12">
        <f t="shared" si="35"/>
        <v>234104.90177510932</v>
      </c>
      <c r="J57" s="12">
        <f t="shared" si="35"/>
        <v>232631.11086325804</v>
      </c>
      <c r="K57" s="12">
        <f t="shared" si="35"/>
        <v>218121.40928601447</v>
      </c>
      <c r="L57" s="12">
        <f t="shared" si="35"/>
        <v>255459.35911251983</v>
      </c>
      <c r="M57" s="12">
        <f t="shared" si="35"/>
        <v>282224.04128671373</v>
      </c>
      <c r="N57" s="12">
        <f t="shared" si="35"/>
        <v>319438.9670338329</v>
      </c>
      <c r="O57" s="12">
        <f t="shared" si="35"/>
        <v>306294.3827361026</v>
      </c>
      <c r="P57" s="12">
        <f t="shared" si="35"/>
        <v>235730.01017861342</v>
      </c>
    </row>
    <row r="58" spans="16:17" ht="15">
      <c r="P58" s="16"/>
      <c r="Q58" s="1"/>
    </row>
    <row r="60" ht="15">
      <c r="D60" t="s">
        <v>17</v>
      </c>
    </row>
    <row r="62" ht="15">
      <c r="D62" t="s">
        <v>16</v>
      </c>
    </row>
    <row r="63" spans="5:16" ht="15">
      <c r="E63" t="s">
        <v>2</v>
      </c>
      <c r="F63" t="s">
        <v>3</v>
      </c>
      <c r="G63" t="s">
        <v>4</v>
      </c>
      <c r="H63" t="s">
        <v>5</v>
      </c>
      <c r="I63" t="s">
        <v>6</v>
      </c>
      <c r="J63" t="s">
        <v>7</v>
      </c>
      <c r="K63" t="s">
        <v>8</v>
      </c>
      <c r="L63" t="s">
        <v>9</v>
      </c>
      <c r="M63" t="s">
        <v>10</v>
      </c>
      <c r="N63" t="s">
        <v>11</v>
      </c>
      <c r="O63" t="s">
        <v>12</v>
      </c>
      <c r="P63" t="s">
        <v>13</v>
      </c>
    </row>
    <row r="64" spans="4:16" ht="15">
      <c r="D64" t="s">
        <v>0</v>
      </c>
      <c r="E64" s="7">
        <v>47.71</v>
      </c>
      <c r="F64" s="7">
        <v>40.3</v>
      </c>
      <c r="G64" s="7">
        <v>61.63</v>
      </c>
      <c r="H64" s="7">
        <v>49.88</v>
      </c>
      <c r="I64" s="7">
        <v>50.32</v>
      </c>
      <c r="J64" s="7">
        <v>35.07</v>
      </c>
      <c r="K64" s="7">
        <v>20.42</v>
      </c>
      <c r="L64" s="7">
        <v>18.21</v>
      </c>
      <c r="M64" s="7">
        <v>17.87</v>
      </c>
      <c r="N64" s="7">
        <v>55.6</v>
      </c>
      <c r="O64" s="7">
        <v>71.52</v>
      </c>
      <c r="P64" s="7">
        <v>58.7</v>
      </c>
    </row>
    <row r="65" spans="4:16" ht="15">
      <c r="D65" t="s">
        <v>1</v>
      </c>
      <c r="E65" s="7">
        <v>32.91</v>
      </c>
      <c r="F65" s="7">
        <v>31.39</v>
      </c>
      <c r="G65" s="7">
        <v>52.69</v>
      </c>
      <c r="H65" s="7">
        <v>36.73</v>
      </c>
      <c r="I65" s="7">
        <v>42.01</v>
      </c>
      <c r="J65" s="7">
        <v>35.84</v>
      </c>
      <c r="K65" s="7">
        <v>21.67</v>
      </c>
      <c r="L65" s="7">
        <v>16.34</v>
      </c>
      <c r="M65" s="7">
        <v>10.33</v>
      </c>
      <c r="N65" s="7">
        <v>36.92</v>
      </c>
      <c r="O65" s="7">
        <v>48.93</v>
      </c>
      <c r="P65" s="7">
        <v>44.18</v>
      </c>
    </row>
    <row r="67" ht="15">
      <c r="D67" t="s">
        <v>51</v>
      </c>
    </row>
    <row r="68" spans="4:17" ht="15">
      <c r="D68" t="str">
        <f>+D24</f>
        <v>Customer 3</v>
      </c>
      <c r="Q68" s="1"/>
    </row>
    <row r="69" spans="5:17" ht="15">
      <c r="E69" t="s">
        <v>2</v>
      </c>
      <c r="F69" t="s">
        <v>3</v>
      </c>
      <c r="G69" t="s">
        <v>4</v>
      </c>
      <c r="H69" t="s">
        <v>5</v>
      </c>
      <c r="I69" t="s">
        <v>6</v>
      </c>
      <c r="J69" t="s">
        <v>7</v>
      </c>
      <c r="K69" t="s">
        <v>8</v>
      </c>
      <c r="L69" t="s">
        <v>9</v>
      </c>
      <c r="M69" t="s">
        <v>10</v>
      </c>
      <c r="N69" t="s">
        <v>11</v>
      </c>
      <c r="O69" t="s">
        <v>12</v>
      </c>
      <c r="P69" t="s">
        <v>13</v>
      </c>
      <c r="Q69" s="1"/>
    </row>
    <row r="70" spans="5:17" ht="15"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5:17" ht="15"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2:17" ht="15">
      <c r="B72" t="str">
        <f>+C72&amp;D72</f>
        <v>3HLH</v>
      </c>
      <c r="C72">
        <f>+VALUE(RIGHT(D68,1))</f>
        <v>3</v>
      </c>
      <c r="D72" s="4" t="s">
        <v>0</v>
      </c>
      <c r="E72" s="12">
        <f>(E28-VLOOKUP($C72,$C$13:$D$17,2,FALSE)*E$21)*E$64</f>
        <v>5151119.416515386</v>
      </c>
      <c r="F72" s="12">
        <f aca="true" t="shared" si="36" ref="F72:P72">(F28-VLOOKUP($C72,$C$13:$D$17,2,FALSE)*F$21)*F$64</f>
        <v>-1108499.4821874315</v>
      </c>
      <c r="G72" s="12">
        <f t="shared" si="36"/>
        <v>5263630.12375169</v>
      </c>
      <c r="H72" s="12">
        <f t="shared" si="36"/>
        <v>2131775.739782491</v>
      </c>
      <c r="I72" s="12">
        <f t="shared" si="36"/>
        <v>648820.5599584333</v>
      </c>
      <c r="J72" s="12">
        <f t="shared" si="36"/>
        <v>-928543.6275180781</v>
      </c>
      <c r="K72" s="12">
        <f t="shared" si="36"/>
        <v>1091799.4552926072</v>
      </c>
      <c r="L72" s="12">
        <f t="shared" si="36"/>
        <v>-3054792.516491698</v>
      </c>
      <c r="M72" s="12">
        <f t="shared" si="36"/>
        <v>-3239146.6948873326</v>
      </c>
      <c r="N72" s="12">
        <f t="shared" si="36"/>
        <v>318499.87365828926</v>
      </c>
      <c r="O72" s="12">
        <f t="shared" si="36"/>
        <v>3448272.1948497454</v>
      </c>
      <c r="P72" s="12">
        <f t="shared" si="36"/>
        <v>1528340.8170324003</v>
      </c>
      <c r="Q72" s="13">
        <f>+SUM(E72:P73)</f>
        <v>19162288.328340895</v>
      </c>
    </row>
    <row r="73" spans="2:16" ht="15">
      <c r="B73" t="str">
        <f>+C73&amp;D73</f>
        <v>3LLH</v>
      </c>
      <c r="C73">
        <f>+C72</f>
        <v>3</v>
      </c>
      <c r="D73" s="4" t="s">
        <v>1</v>
      </c>
      <c r="E73" s="12">
        <f>(E29-VLOOKUP($C73,$C$13:$D$17,2,FALSE)*E$22)*E$65</f>
        <v>694229.8581009371</v>
      </c>
      <c r="F73" s="12">
        <f aca="true" t="shared" si="37" ref="F73:P73">(F29-VLOOKUP($C73,$C$13:$D$17,2,FALSE)*F$22)*F$65</f>
        <v>-267146.17157229903</v>
      </c>
      <c r="G73" s="12">
        <f t="shared" si="37"/>
        <v>5104795.876134668</v>
      </c>
      <c r="H73" s="12">
        <f t="shared" si="37"/>
        <v>3355700.418474283</v>
      </c>
      <c r="I73" s="12">
        <f t="shared" si="37"/>
        <v>2235943.2353953337</v>
      </c>
      <c r="J73" s="12">
        <f t="shared" si="37"/>
        <v>-1038794.8975228984</v>
      </c>
      <c r="K73" s="12">
        <f t="shared" si="37"/>
        <v>133983.18117989006</v>
      </c>
      <c r="L73" s="12">
        <f t="shared" si="37"/>
        <v>-1844383.008695929</v>
      </c>
      <c r="M73" s="12">
        <f t="shared" si="37"/>
        <v>-1157428.873846919</v>
      </c>
      <c r="N73" s="12">
        <f t="shared" si="37"/>
        <v>226825.43644665883</v>
      </c>
      <c r="O73" s="12">
        <f t="shared" si="37"/>
        <v>1140369.5508749878</v>
      </c>
      <c r="P73" s="12">
        <f t="shared" si="37"/>
        <v>-673082.1363843192</v>
      </c>
    </row>
    <row r="74" ht="15">
      <c r="Q74" s="1"/>
    </row>
    <row r="75" spans="4:17" ht="15">
      <c r="D75" t="str">
        <f>+D31</f>
        <v>Customer 2</v>
      </c>
      <c r="Q75" s="1"/>
    </row>
    <row r="76" spans="5:17" ht="15">
      <c r="E76" t="s">
        <v>2</v>
      </c>
      <c r="F76" t="s">
        <v>3</v>
      </c>
      <c r="G76" t="s">
        <v>4</v>
      </c>
      <c r="H76" t="s">
        <v>5</v>
      </c>
      <c r="I76" t="s">
        <v>6</v>
      </c>
      <c r="J76" t="s">
        <v>7</v>
      </c>
      <c r="K76" t="s">
        <v>8</v>
      </c>
      <c r="L76" t="s">
        <v>9</v>
      </c>
      <c r="M76" t="s">
        <v>10</v>
      </c>
      <c r="N76" t="s">
        <v>11</v>
      </c>
      <c r="O76" t="s">
        <v>12</v>
      </c>
      <c r="P76" t="s">
        <v>13</v>
      </c>
      <c r="Q76" s="1"/>
    </row>
    <row r="77" spans="3:17" ht="15"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3:16" ht="15"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2:17" ht="15">
      <c r="B79" t="str">
        <f>+C79&amp;D79</f>
        <v>2HLH</v>
      </c>
      <c r="C79">
        <f>+VALUE(RIGHT(D75,1))</f>
        <v>2</v>
      </c>
      <c r="D79" s="4" t="s">
        <v>0</v>
      </c>
      <c r="E79" s="12">
        <f>(E35-VLOOKUP($C79,$C$13:$D$17,2,FALSE)*E$21)*E$64</f>
        <v>7527122.141033849</v>
      </c>
      <c r="F79" s="12">
        <f aca="true" t="shared" si="38" ref="F79:P79">(F35-VLOOKUP($C79,$C$13:$D$17,2,FALSE)*F$21)*F$64</f>
        <v>328653.4073223406</v>
      </c>
      <c r="G79" s="12">
        <f t="shared" si="38"/>
        <v>5623862.895416409</v>
      </c>
      <c r="H79" s="12">
        <f t="shared" si="38"/>
        <v>4393969.099560219</v>
      </c>
      <c r="I79" s="12">
        <f t="shared" si="38"/>
        <v>2813147.233874219</v>
      </c>
      <c r="J79" s="12">
        <f t="shared" si="38"/>
        <v>272824.21703025233</v>
      </c>
      <c r="K79" s="12">
        <f t="shared" si="38"/>
        <v>2162613.696536056</v>
      </c>
      <c r="L79" s="12">
        <f t="shared" si="38"/>
        <v>-3110040.731951844</v>
      </c>
      <c r="M79" s="12">
        <f t="shared" si="38"/>
        <v>-4452849.634904564</v>
      </c>
      <c r="N79" s="12">
        <f t="shared" si="38"/>
        <v>-3257281.9454242224</v>
      </c>
      <c r="O79" s="12">
        <f t="shared" si="38"/>
        <v>-2837987.7312528747</v>
      </c>
      <c r="P79" s="12">
        <f t="shared" si="38"/>
        <v>-99364.63142182335</v>
      </c>
      <c r="Q79" s="13">
        <f>+SUM(E79:P80)</f>
        <v>17073936.2343276</v>
      </c>
    </row>
    <row r="80" spans="2:16" ht="15">
      <c r="B80" t="str">
        <f>+C80&amp;D80</f>
        <v>2LLH</v>
      </c>
      <c r="C80">
        <f>+C79</f>
        <v>2</v>
      </c>
      <c r="D80" s="4" t="s">
        <v>1</v>
      </c>
      <c r="E80" s="12">
        <f>(E36-VLOOKUP($C80,$C$13:$D$17,2,FALSE)*E$22)*E$65</f>
        <v>868110.5514563321</v>
      </c>
      <c r="F80" s="12">
        <f aca="true" t="shared" si="39" ref="F80:P80">(F36-VLOOKUP($C80,$C$13:$D$17,2,FALSE)*F$22)*F$65</f>
        <v>323459.6947374345</v>
      </c>
      <c r="G80" s="12">
        <f t="shared" si="39"/>
        <v>6336317.012961791</v>
      </c>
      <c r="H80" s="12">
        <f t="shared" si="39"/>
        <v>3455260.7845486463</v>
      </c>
      <c r="I80" s="12">
        <f t="shared" si="39"/>
        <v>3402500.1635764865</v>
      </c>
      <c r="J80" s="12">
        <f t="shared" si="39"/>
        <v>398315.763275646</v>
      </c>
      <c r="K80" s="12">
        <f t="shared" si="39"/>
        <v>529888.0830651374</v>
      </c>
      <c r="L80" s="12">
        <f t="shared" si="39"/>
        <v>-2182328.819699575</v>
      </c>
      <c r="M80" s="12">
        <f t="shared" si="39"/>
        <v>-1357248.6595630036</v>
      </c>
      <c r="N80" s="12">
        <f t="shared" si="39"/>
        <v>-1494491.7379978853</v>
      </c>
      <c r="O80" s="12">
        <f t="shared" si="39"/>
        <v>-503531.8087619011</v>
      </c>
      <c r="P80" s="12">
        <f t="shared" si="39"/>
        <v>-2066982.8090895312</v>
      </c>
    </row>
    <row r="81" ht="15">
      <c r="Q81" s="1"/>
    </row>
    <row r="82" spans="4:17" ht="15">
      <c r="D82" t="str">
        <f>+D38</f>
        <v>Customer 5</v>
      </c>
      <c r="Q82" s="1"/>
    </row>
    <row r="83" spans="5:17" ht="15">
      <c r="E83" t="s">
        <v>2</v>
      </c>
      <c r="F83" t="s">
        <v>3</v>
      </c>
      <c r="G83" t="s">
        <v>4</v>
      </c>
      <c r="H83" t="s">
        <v>5</v>
      </c>
      <c r="I83" t="s">
        <v>6</v>
      </c>
      <c r="J83" t="s">
        <v>7</v>
      </c>
      <c r="K83" t="s">
        <v>8</v>
      </c>
      <c r="L83" t="s">
        <v>9</v>
      </c>
      <c r="M83" t="s">
        <v>10</v>
      </c>
      <c r="N83" t="s">
        <v>11</v>
      </c>
      <c r="O83" t="s">
        <v>12</v>
      </c>
      <c r="P83" t="s">
        <v>13</v>
      </c>
      <c r="Q83" s="1"/>
    </row>
    <row r="84" spans="4:17" ht="15"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4:17" ht="15"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2:17" ht="15">
      <c r="B86" t="str">
        <f>+C86&amp;D86</f>
        <v>5HLH</v>
      </c>
      <c r="C86">
        <f>+VALUE(RIGHT(D82,1))</f>
        <v>5</v>
      </c>
      <c r="D86" s="4" t="s">
        <v>0</v>
      </c>
      <c r="E86" s="12">
        <f>(E42-VLOOKUP($C86,$C$13:$D$17,2,FALSE)*E$21)*E$64</f>
        <v>1222488.756332424</v>
      </c>
      <c r="F86" s="12">
        <f aca="true" t="shared" si="40" ref="F86:P86">(F42-VLOOKUP($C86,$C$13:$D$17,2,FALSE)*F$21)*F$64</f>
        <v>-978312.449236071</v>
      </c>
      <c r="G86" s="12">
        <f t="shared" si="40"/>
        <v>-2396290.377621018</v>
      </c>
      <c r="H86" s="12">
        <f t="shared" si="40"/>
        <v>-2214181.2006311473</v>
      </c>
      <c r="I86" s="12">
        <f t="shared" si="40"/>
        <v>-1664092.2483415816</v>
      </c>
      <c r="J86" s="12">
        <f t="shared" si="40"/>
        <v>-917635.2039895296</v>
      </c>
      <c r="K86" s="12">
        <f t="shared" si="40"/>
        <v>212757.31577961938</v>
      </c>
      <c r="L86" s="12">
        <f t="shared" si="40"/>
        <v>-470725.6324742196</v>
      </c>
      <c r="M86" s="12">
        <f t="shared" si="40"/>
        <v>-668716.74124996</v>
      </c>
      <c r="N86" s="12">
        <f t="shared" si="40"/>
        <v>44928.45831997465</v>
      </c>
      <c r="O86" s="12">
        <f t="shared" si="40"/>
        <v>685553.03707427</v>
      </c>
      <c r="P86" s="12">
        <f t="shared" si="40"/>
        <v>800548.2814514557</v>
      </c>
      <c r="Q86" s="13">
        <f>+SUM(E86:P87)</f>
        <v>-68456.757897957</v>
      </c>
    </row>
    <row r="87" spans="2:16" ht="15">
      <c r="B87" t="str">
        <f>+C87&amp;D87</f>
        <v>5LLH</v>
      </c>
      <c r="C87">
        <f>+C86</f>
        <v>5</v>
      </c>
      <c r="D87" s="4" t="s">
        <v>1</v>
      </c>
      <c r="E87" s="12">
        <f>(E43-VLOOKUP($C87,$C$13:$D$17,2,FALSE)*E$22)*E$65</f>
        <v>906790.635041564</v>
      </c>
      <c r="F87" s="12">
        <f aca="true" t="shared" si="41" ref="F87:P87">(F43-VLOOKUP($C87,$C$13:$D$17,2,FALSE)*F$22)*F$65</f>
        <v>212623.72403242582</v>
      </c>
      <c r="G87" s="12">
        <f t="shared" si="41"/>
        <v>99162.11590728821</v>
      </c>
      <c r="H87" s="12">
        <f t="shared" si="41"/>
        <v>-1788.501804810822</v>
      </c>
      <c r="I87" s="12">
        <f t="shared" si="41"/>
        <v>238362.32943007987</v>
      </c>
      <c r="J87" s="12">
        <f t="shared" si="41"/>
        <v>63213.603996161524</v>
      </c>
      <c r="K87" s="12">
        <f t="shared" si="41"/>
        <v>435220.931428033</v>
      </c>
      <c r="L87" s="12">
        <f t="shared" si="41"/>
        <v>99198.13435456</v>
      </c>
      <c r="M87" s="12">
        <f t="shared" si="41"/>
        <v>48911.459784857616</v>
      </c>
      <c r="N87" s="12">
        <f t="shared" si="41"/>
        <v>1122756.9007237477</v>
      </c>
      <c r="O87" s="12">
        <f t="shared" si="41"/>
        <v>1807138.1023711627</v>
      </c>
      <c r="P87" s="12">
        <f t="shared" si="41"/>
        <v>1243631.8114227562</v>
      </c>
    </row>
    <row r="88" ht="15">
      <c r="Q88" s="1"/>
    </row>
    <row r="89" spans="4:17" ht="15">
      <c r="D89" t="str">
        <f>+D45</f>
        <v>Customer 1</v>
      </c>
      <c r="Q89" s="1"/>
    </row>
    <row r="90" spans="5:17" ht="15">
      <c r="E90" t="s">
        <v>2</v>
      </c>
      <c r="F90" t="s">
        <v>3</v>
      </c>
      <c r="G90" t="s">
        <v>4</v>
      </c>
      <c r="H90" t="s">
        <v>5</v>
      </c>
      <c r="I90" t="s">
        <v>6</v>
      </c>
      <c r="J90" t="s">
        <v>7</v>
      </c>
      <c r="K90" t="s">
        <v>8</v>
      </c>
      <c r="L90" t="s">
        <v>9</v>
      </c>
      <c r="M90" t="s">
        <v>10</v>
      </c>
      <c r="N90" t="s">
        <v>11</v>
      </c>
      <c r="O90" t="s">
        <v>12</v>
      </c>
      <c r="P90" t="s">
        <v>13</v>
      </c>
      <c r="Q90" s="1"/>
    </row>
    <row r="91" spans="4:17" ht="15"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4:17" ht="15"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2:17" ht="15">
      <c r="B93" t="str">
        <f>+C93&amp;D93</f>
        <v>1HLH</v>
      </c>
      <c r="C93">
        <f>+VALUE(RIGHT(D89,1))</f>
        <v>1</v>
      </c>
      <c r="D93" s="4" t="s">
        <v>0</v>
      </c>
      <c r="E93" s="12">
        <f>(E49-VLOOKUP($C93,$C$13:$D$17,2,FALSE)*E$21)*E$64</f>
        <v>-1046505.2216123077</v>
      </c>
      <c r="F93" s="12">
        <f aca="true" t="shared" si="42" ref="F93:P93">(F49-VLOOKUP($C93,$C$13:$D$17,2,FALSE)*F$21)*F$64</f>
        <v>-9638660.807156209</v>
      </c>
      <c r="G93" s="12">
        <f t="shared" si="42"/>
        <v>-1587162.9925404678</v>
      </c>
      <c r="H93" s="12">
        <f t="shared" si="42"/>
        <v>-7851554.688404084</v>
      </c>
      <c r="I93" s="12">
        <f t="shared" si="42"/>
        <v>-9947917.585760588</v>
      </c>
      <c r="J93" s="12">
        <f t="shared" si="42"/>
        <v>-6938218.696140756</v>
      </c>
      <c r="K93" s="12">
        <f t="shared" si="42"/>
        <v>649942.2910030298</v>
      </c>
      <c r="L93" s="12">
        <f t="shared" si="42"/>
        <v>-1368292.0728900975</v>
      </c>
      <c r="M93" s="12">
        <f t="shared" si="42"/>
        <v>-1796538.2429242209</v>
      </c>
      <c r="N93" s="12">
        <f t="shared" si="42"/>
        <v>11412388.123607744</v>
      </c>
      <c r="O93" s="12">
        <f t="shared" si="42"/>
        <v>15151969.515132722</v>
      </c>
      <c r="P93" s="12">
        <f t="shared" si="42"/>
        <v>1934804.6076160097</v>
      </c>
      <c r="Q93" s="13">
        <f>+SUM(E93:P94)</f>
        <v>11361609.171800986</v>
      </c>
    </row>
    <row r="94" spans="2:16" ht="15">
      <c r="B94" t="str">
        <f>+C94&amp;D94</f>
        <v>1LLH</v>
      </c>
      <c r="C94">
        <f>+C93</f>
        <v>1</v>
      </c>
      <c r="D94" s="4" t="s">
        <v>1</v>
      </c>
      <c r="E94" s="12">
        <f>(E50-VLOOKUP($C94,$C$13:$D$17,2,FALSE)*E$22)*E$65</f>
        <v>-405707.53872540273</v>
      </c>
      <c r="F94" s="12">
        <f aca="true" t="shared" si="43" ref="F94:P94">(F50-VLOOKUP($C94,$C$13:$D$17,2,FALSE)*F$22)*F$65</f>
        <v>-2306864.6430289797</v>
      </c>
      <c r="G94" s="12">
        <f t="shared" si="43"/>
        <v>2823732.59221455</v>
      </c>
      <c r="H94" s="12">
        <f t="shared" si="43"/>
        <v>2124591.578622604</v>
      </c>
      <c r="I94" s="12">
        <f t="shared" si="43"/>
        <v>-579777.0807172382</v>
      </c>
      <c r="J94" s="12">
        <f t="shared" si="43"/>
        <v>-3266970.3503267057</v>
      </c>
      <c r="K94" s="12">
        <f t="shared" si="43"/>
        <v>893711.7216124007</v>
      </c>
      <c r="L94" s="12">
        <f t="shared" si="43"/>
        <v>667971.079683223</v>
      </c>
      <c r="M94" s="12">
        <f t="shared" si="43"/>
        <v>86100.53171889948</v>
      </c>
      <c r="N94" s="12">
        <f t="shared" si="43"/>
        <v>9007297.739547107</v>
      </c>
      <c r="O94" s="12">
        <f t="shared" si="43"/>
        <v>10711330.408707766</v>
      </c>
      <c r="P94" s="12">
        <f t="shared" si="43"/>
        <v>2631938.9025619854</v>
      </c>
    </row>
    <row r="95" ht="15">
      <c r="Q95" s="1"/>
    </row>
    <row r="96" spans="4:17" ht="15">
      <c r="D96" t="str">
        <f>+D52</f>
        <v>Customer 4</v>
      </c>
      <c r="Q96" s="1"/>
    </row>
    <row r="97" spans="5:17" ht="15">
      <c r="E97" t="s">
        <v>2</v>
      </c>
      <c r="F97" t="s">
        <v>3</v>
      </c>
      <c r="G97" t="s">
        <v>4</v>
      </c>
      <c r="H97" t="s">
        <v>5</v>
      </c>
      <c r="I97" t="s">
        <v>6</v>
      </c>
      <c r="J97" t="s">
        <v>7</v>
      </c>
      <c r="K97" t="s">
        <v>8</v>
      </c>
      <c r="L97" t="s">
        <v>9</v>
      </c>
      <c r="M97" t="s">
        <v>10</v>
      </c>
      <c r="N97" t="s">
        <v>11</v>
      </c>
      <c r="O97" t="s">
        <v>12</v>
      </c>
      <c r="P97" t="s">
        <v>13</v>
      </c>
      <c r="Q97" s="1"/>
    </row>
    <row r="98" spans="3:17" ht="15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3:17" ht="15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2:17" ht="15">
      <c r="B100" t="str">
        <f>+C100&amp;D100</f>
        <v>4HLH</v>
      </c>
      <c r="C100">
        <f>+VALUE(RIGHT(D96,1))</f>
        <v>4</v>
      </c>
      <c r="D100" s="4" t="s">
        <v>0</v>
      </c>
      <c r="E100" s="12">
        <f>(E56-VLOOKUP($C100,$C$13:$D$17,2,FALSE)*E$21)*E$64</f>
        <v>1386477.8809600258</v>
      </c>
      <c r="F100" s="12">
        <f aca="true" t="shared" si="44" ref="F100:P100">(F56-VLOOKUP($C100,$C$13:$D$17,2,FALSE)*F$21)*F$64</f>
        <v>-2929661.6197628374</v>
      </c>
      <c r="G100" s="12">
        <f t="shared" si="44"/>
        <v>-2200598.545597867</v>
      </c>
      <c r="H100" s="12">
        <f t="shared" si="44"/>
        <v>-2645530.605861857</v>
      </c>
      <c r="I100" s="12">
        <f t="shared" si="44"/>
        <v>-2671203.499802507</v>
      </c>
      <c r="J100" s="12">
        <f t="shared" si="44"/>
        <v>-3101404.569296495</v>
      </c>
      <c r="K100" s="12">
        <f t="shared" si="44"/>
        <v>223891.41981962117</v>
      </c>
      <c r="L100" s="12">
        <f t="shared" si="44"/>
        <v>-673820.3928498004</v>
      </c>
      <c r="M100" s="12">
        <f t="shared" si="44"/>
        <v>-201354.43013958167</v>
      </c>
      <c r="N100" s="12">
        <f t="shared" si="44"/>
        <v>5941356.947366963</v>
      </c>
      <c r="O100" s="12">
        <f t="shared" si="44"/>
        <v>7720481.846504301</v>
      </c>
      <c r="P100" s="12">
        <f t="shared" si="44"/>
        <v>1732280.6016703215</v>
      </c>
      <c r="Q100" s="13">
        <f>+SUM(E100:P101)</f>
        <v>6709156.361582771</v>
      </c>
    </row>
    <row r="101" spans="2:16" ht="15">
      <c r="B101" t="str">
        <f>+C101&amp;D101</f>
        <v>4LLH</v>
      </c>
      <c r="C101">
        <f>+C100</f>
        <v>4</v>
      </c>
      <c r="D101" s="4" t="s">
        <v>1</v>
      </c>
      <c r="E101" s="12">
        <f>(E57-VLOOKUP($C101,$C$13:$D$17,2,FALSE)*E$22)*E$65</f>
        <v>-130113.81273589868</v>
      </c>
      <c r="F101" s="12">
        <f aca="true" t="shared" si="45" ref="F101:P101">(F57-VLOOKUP($C101,$C$13:$D$17,2,FALSE)*F$22)*F$65</f>
        <v>-1263263.6444772454</v>
      </c>
      <c r="G101" s="12">
        <f t="shared" si="45"/>
        <v>485503.8837718549</v>
      </c>
      <c r="H101" s="12">
        <f t="shared" si="45"/>
        <v>-330344.86172733776</v>
      </c>
      <c r="I101" s="12">
        <f t="shared" si="45"/>
        <v>-271691.907433846</v>
      </c>
      <c r="J101" s="12">
        <f t="shared" si="45"/>
        <v>-1774257.5319879467</v>
      </c>
      <c r="K101" s="12">
        <f t="shared" si="45"/>
        <v>-101185.27406052015</v>
      </c>
      <c r="L101" s="12">
        <f t="shared" si="45"/>
        <v>-354044.87347423704</v>
      </c>
      <c r="M101" s="12">
        <f t="shared" si="45"/>
        <v>141800.5027698249</v>
      </c>
      <c r="N101" s="12">
        <f t="shared" si="45"/>
        <v>3077091.8639702615</v>
      </c>
      <c r="O101" s="12">
        <f t="shared" si="45"/>
        <v>4151076.864730088</v>
      </c>
      <c r="P101" s="12">
        <f t="shared" si="45"/>
        <v>497670.1192274883</v>
      </c>
    </row>
  </sheetData>
  <mergeCells count="6">
    <mergeCell ref="C11:D11"/>
    <mergeCell ref="G4:K4"/>
    <mergeCell ref="G3:K3"/>
    <mergeCell ref="AH2:AL2"/>
    <mergeCell ref="C9:P9"/>
    <mergeCell ref="S9:AF9"/>
  </mergeCells>
  <printOptions/>
  <pageMargins left="0.7" right="0.7" top="0.75" bottom="0.75" header="0.3" footer="0.3"/>
  <pageSetup horizontalDpi="90" verticalDpi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3ACF00-515D-42BD-9E13-9D8E60DD0F73}">
  <dimension ref="A2:O23"/>
  <sheetViews>
    <sheetView workbookViewId="0" topLeftCell="A1">
      <selection activeCell="C6" sqref="C6"/>
    </sheetView>
  </sheetViews>
  <sheetFormatPr defaultColWidth="9.140625" defaultRowHeight="15"/>
  <cols>
    <col min="2" max="2" width="56.140625" style="0" customWidth="1"/>
    <col min="3" max="14" width="12.7109375" style="0" customWidth="1"/>
    <col min="15" max="15" width="13.7109375" style="0" bestFit="1" customWidth="1"/>
    <col min="16" max="16" width="15.7109375" style="0" bestFit="1" customWidth="1"/>
  </cols>
  <sheetData>
    <row r="2" spans="1:15" ht="18.75">
      <c r="A2" s="22"/>
      <c r="B2" s="23" t="s">
        <v>72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5" ht="1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1:15" ht="15">
      <c r="A4" s="22"/>
      <c r="B4" s="22"/>
      <c r="C4" s="36" t="s">
        <v>2</v>
      </c>
      <c r="D4" s="36" t="s">
        <v>3</v>
      </c>
      <c r="E4" s="36" t="s">
        <v>4</v>
      </c>
      <c r="F4" s="36" t="s">
        <v>5</v>
      </c>
      <c r="G4" s="36" t="s">
        <v>6</v>
      </c>
      <c r="H4" s="36" t="s">
        <v>7</v>
      </c>
      <c r="I4" s="36" t="s">
        <v>8</v>
      </c>
      <c r="J4" s="36" t="s">
        <v>9</v>
      </c>
      <c r="K4" s="36" t="s">
        <v>10</v>
      </c>
      <c r="L4" s="36" t="s">
        <v>11</v>
      </c>
      <c r="M4" s="36" t="s">
        <v>12</v>
      </c>
      <c r="N4" s="36" t="s">
        <v>13</v>
      </c>
      <c r="O4" s="36" t="s">
        <v>50</v>
      </c>
    </row>
    <row r="5" spans="1:15" ht="15">
      <c r="A5" s="22"/>
      <c r="B5" s="24" t="s">
        <v>73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</row>
    <row r="6" spans="1:15" ht="15">
      <c r="A6" s="25" t="s">
        <v>60</v>
      </c>
      <c r="B6" s="22" t="s">
        <v>68</v>
      </c>
      <c r="C6" s="29">
        <f>ScalarApproach!$D$13*ScalarApproach!$E$6/12</f>
        <v>54791586.016461484</v>
      </c>
      <c r="D6" s="29">
        <f>ScalarApproach!$D$13*ScalarApproach!$E$6/12</f>
        <v>54791586.016461484</v>
      </c>
      <c r="E6" s="29">
        <f>ScalarApproach!$D$13*ScalarApproach!$E$6/12</f>
        <v>54791586.016461484</v>
      </c>
      <c r="F6" s="29">
        <f>ScalarApproach!$D$13*ScalarApproach!$E$6/12</f>
        <v>54791586.016461484</v>
      </c>
      <c r="G6" s="29">
        <f>ScalarApproach!$D$13*ScalarApproach!$E$6/12</f>
        <v>54791586.016461484</v>
      </c>
      <c r="H6" s="29">
        <f>ScalarApproach!$D$13*ScalarApproach!$E$6/12</f>
        <v>54791586.016461484</v>
      </c>
      <c r="I6" s="29">
        <f>ScalarApproach!$D$13*ScalarApproach!$E$6/12</f>
        <v>54791586.016461484</v>
      </c>
      <c r="J6" s="29">
        <f>ScalarApproach!$D$13*ScalarApproach!$E$6/12</f>
        <v>54791586.016461484</v>
      </c>
      <c r="K6" s="29">
        <f>ScalarApproach!$D$13*ScalarApproach!$E$6/12</f>
        <v>54791586.016461484</v>
      </c>
      <c r="L6" s="29">
        <f>ScalarApproach!$D$13*ScalarApproach!$E$6/12</f>
        <v>54791586.016461484</v>
      </c>
      <c r="M6" s="29">
        <f>ScalarApproach!$D$13*ScalarApproach!$E$6/12</f>
        <v>54791586.016461484</v>
      </c>
      <c r="N6" s="29">
        <f>ScalarApproach!$D$13*ScalarApproach!$E$6/12</f>
        <v>54791586.016461484</v>
      </c>
      <c r="O6" s="30"/>
    </row>
    <row r="7" spans="1:15" ht="15">
      <c r="A7" s="26"/>
      <c r="B7" s="22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1"/>
    </row>
    <row r="8" spans="1:15" ht="15">
      <c r="A8" s="25" t="s">
        <v>61</v>
      </c>
      <c r="B8" s="22" t="s">
        <v>71</v>
      </c>
      <c r="C8" s="30">
        <f>+ScalarApproach!E93</f>
        <v>-1046505.2216123077</v>
      </c>
      <c r="D8" s="30">
        <f>+ScalarApproach!F93</f>
        <v>-9638660.807156209</v>
      </c>
      <c r="E8" s="30">
        <f>+ScalarApproach!G93</f>
        <v>-1587162.9925404678</v>
      </c>
      <c r="F8" s="30">
        <f>+ScalarApproach!H93</f>
        <v>-7851554.688404084</v>
      </c>
      <c r="G8" s="30">
        <f>+ScalarApproach!I93</f>
        <v>-9947917.585760588</v>
      </c>
      <c r="H8" s="30">
        <f>+ScalarApproach!J93</f>
        <v>-6938218.696140756</v>
      </c>
      <c r="I8" s="30">
        <f>+ScalarApproach!K93</f>
        <v>649942.2910030298</v>
      </c>
      <c r="J8" s="30">
        <f>+ScalarApproach!L93</f>
        <v>-1368292.0728900975</v>
      </c>
      <c r="K8" s="30">
        <f>+ScalarApproach!M93</f>
        <v>-1796538.2429242209</v>
      </c>
      <c r="L8" s="30">
        <f>+ScalarApproach!N93</f>
        <v>11412388.123607744</v>
      </c>
      <c r="M8" s="30">
        <f>+ScalarApproach!O93</f>
        <v>15151969.515132722</v>
      </c>
      <c r="N8" s="30">
        <f>+ScalarApproach!P93</f>
        <v>1934804.6076160097</v>
      </c>
      <c r="O8" s="30"/>
    </row>
    <row r="9" spans="1:15" ht="15">
      <c r="A9" s="25" t="s">
        <v>62</v>
      </c>
      <c r="B9" s="22" t="s">
        <v>54</v>
      </c>
      <c r="C9" s="29">
        <f>+ScalarApproach!E94</f>
        <v>-405707.53872540273</v>
      </c>
      <c r="D9" s="29">
        <f>+ScalarApproach!F94</f>
        <v>-2306864.6430289797</v>
      </c>
      <c r="E9" s="29">
        <f>+ScalarApproach!G94</f>
        <v>2823732.59221455</v>
      </c>
      <c r="F9" s="29">
        <f>+ScalarApproach!H94</f>
        <v>2124591.578622604</v>
      </c>
      <c r="G9" s="29">
        <f>+ScalarApproach!I94</f>
        <v>-579777.0807172382</v>
      </c>
      <c r="H9" s="29">
        <f>+ScalarApproach!J94</f>
        <v>-3266970.3503267057</v>
      </c>
      <c r="I9" s="29">
        <f>+ScalarApproach!K94</f>
        <v>893711.7216124007</v>
      </c>
      <c r="J9" s="29">
        <f>+ScalarApproach!L94</f>
        <v>667971.079683223</v>
      </c>
      <c r="K9" s="29">
        <f>+ScalarApproach!M94</f>
        <v>86100.53171889948</v>
      </c>
      <c r="L9" s="29">
        <f>+ScalarApproach!N94</f>
        <v>9007297.739547107</v>
      </c>
      <c r="M9" s="29">
        <f>+ScalarApproach!O94</f>
        <v>10711330.408707766</v>
      </c>
      <c r="N9" s="29">
        <f>+ScalarApproach!P94</f>
        <v>2631938.9025619854</v>
      </c>
      <c r="O9" s="31"/>
    </row>
    <row r="10" spans="1:15" ht="15">
      <c r="A10" s="25" t="s">
        <v>63</v>
      </c>
      <c r="B10" s="22" t="s">
        <v>70</v>
      </c>
      <c r="C10" s="30">
        <f>+SUM(C8:C9)</f>
        <v>-1452212.7603377104</v>
      </c>
      <c r="D10" s="30">
        <f aca="true" t="shared" si="0" ref="D10:N10">+SUM(D8:D9)</f>
        <v>-11945525.450185189</v>
      </c>
      <c r="E10" s="30">
        <f t="shared" si="0"/>
        <v>1236569.5996740821</v>
      </c>
      <c r="F10" s="30">
        <f t="shared" si="0"/>
        <v>-5726963.10978148</v>
      </c>
      <c r="G10" s="30">
        <f t="shared" si="0"/>
        <v>-10527694.666477825</v>
      </c>
      <c r="H10" s="30">
        <f t="shared" si="0"/>
        <v>-10205189.04646746</v>
      </c>
      <c r="I10" s="30">
        <f t="shared" si="0"/>
        <v>1543654.0126154306</v>
      </c>
      <c r="J10" s="30">
        <f t="shared" si="0"/>
        <v>-700320.9932068745</v>
      </c>
      <c r="K10" s="30">
        <f t="shared" si="0"/>
        <v>-1710437.7112053214</v>
      </c>
      <c r="L10" s="30">
        <f t="shared" si="0"/>
        <v>20419685.86315485</v>
      </c>
      <c r="M10" s="30">
        <f t="shared" si="0"/>
        <v>25863299.923840486</v>
      </c>
      <c r="N10" s="30">
        <f t="shared" si="0"/>
        <v>4566743.510177995</v>
      </c>
      <c r="O10" s="31"/>
    </row>
    <row r="11" spans="1:15" ht="15">
      <c r="A11" s="26"/>
      <c r="B11" s="22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1"/>
    </row>
    <row r="12" spans="1:15" ht="15">
      <c r="A12" s="25" t="s">
        <v>64</v>
      </c>
      <c r="B12" s="22" t="s">
        <v>69</v>
      </c>
      <c r="C12" s="32">
        <f>+SUM(C10,C6)</f>
        <v>53339373.256123774</v>
      </c>
      <c r="D12" s="33">
        <f aca="true" t="shared" si="1" ref="D12:N12">+SUM(D10,D6)</f>
        <v>42846060.5662763</v>
      </c>
      <c r="E12" s="33">
        <f t="shared" si="1"/>
        <v>56028155.61613557</v>
      </c>
      <c r="F12" s="33">
        <f t="shared" si="1"/>
        <v>49064622.90668</v>
      </c>
      <c r="G12" s="33">
        <f t="shared" si="1"/>
        <v>44263891.34998366</v>
      </c>
      <c r="H12" s="33">
        <f t="shared" si="1"/>
        <v>44586396.96999402</v>
      </c>
      <c r="I12" s="33">
        <f t="shared" si="1"/>
        <v>56335240.02907691</v>
      </c>
      <c r="J12" s="33">
        <f t="shared" si="1"/>
        <v>54091265.02325461</v>
      </c>
      <c r="K12" s="33">
        <f t="shared" si="1"/>
        <v>53081148.305256166</v>
      </c>
      <c r="L12" s="33">
        <f t="shared" si="1"/>
        <v>75211271.87961634</v>
      </c>
      <c r="M12" s="33">
        <f t="shared" si="1"/>
        <v>80654885.94030197</v>
      </c>
      <c r="N12" s="33">
        <f t="shared" si="1"/>
        <v>59358329.52663948</v>
      </c>
      <c r="O12" s="27">
        <f>+SUM(C12:N12)</f>
        <v>668860641.3693389</v>
      </c>
    </row>
    <row r="13" spans="1:15" ht="15">
      <c r="A13" s="26"/>
      <c r="B13" s="22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1"/>
    </row>
    <row r="14" spans="1:15" ht="15">
      <c r="A14" s="26"/>
      <c r="B14" s="24" t="s">
        <v>74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1"/>
    </row>
    <row r="15" spans="1:15" ht="15">
      <c r="A15" s="25" t="s">
        <v>65</v>
      </c>
      <c r="B15" s="22" t="s">
        <v>55</v>
      </c>
      <c r="C15" s="30">
        <f>+ScalarApproach!T35</f>
        <v>32314898.951988302</v>
      </c>
      <c r="D15" s="30">
        <f>+ScalarApproach!U35</f>
        <v>26737899.66898006</v>
      </c>
      <c r="E15" s="30">
        <f>+ScalarApproach!V35</f>
        <v>59618630.50639258</v>
      </c>
      <c r="F15" s="30">
        <f>+ScalarApproach!W35</f>
        <v>44216913.2213881</v>
      </c>
      <c r="G15" s="30">
        <f>+ScalarApproach!X35</f>
        <v>36837616.4917658</v>
      </c>
      <c r="H15" s="30">
        <f>+ScalarApproach!Y35</f>
        <v>25584229.110607047</v>
      </c>
      <c r="I15" s="30">
        <f>+ScalarApproach!Z35</f>
        <v>12842733.876836782</v>
      </c>
      <c r="J15" s="30">
        <f>+ScalarApproach!AA35</f>
        <v>12081133.219895154</v>
      </c>
      <c r="K15" s="30">
        <f>+ScalarApproach!AB35</f>
        <v>12150204.0766386</v>
      </c>
      <c r="L15" s="30">
        <f>+ScalarApproach!AC35</f>
        <v>57675501.35203224</v>
      </c>
      <c r="M15" s="30">
        <f>+ScalarApproach!AD35</f>
        <v>75544366.98579393</v>
      </c>
      <c r="N15" s="30">
        <f>+ScalarApproach!AE35</f>
        <v>44716797.78863589</v>
      </c>
      <c r="O15" s="31"/>
    </row>
    <row r="16" spans="1:15" ht="15">
      <c r="A16" s="25" t="s">
        <v>66</v>
      </c>
      <c r="B16" s="22" t="s">
        <v>56</v>
      </c>
      <c r="C16" s="29">
        <f>+ScalarApproach!T36</f>
        <v>13704316.421987176</v>
      </c>
      <c r="D16" s="29">
        <f>+ScalarApproach!U36</f>
        <v>14945066.39828742</v>
      </c>
      <c r="E16" s="29">
        <f>+ScalarApproach!V36</f>
        <v>35814423.20498787</v>
      </c>
      <c r="F16" s="29">
        <f>+ScalarApproach!W36</f>
        <v>23877787.481822368</v>
      </c>
      <c r="G16" s="29">
        <f>+ScalarApproach!X36</f>
        <v>20762647.761414476</v>
      </c>
      <c r="H16" s="29">
        <f>+ScalarApproach!Y36</f>
        <v>17949468.5991316</v>
      </c>
      <c r="I16" s="29">
        <f>+ScalarApproach!Z36</f>
        <v>9291628.823058467</v>
      </c>
      <c r="J16" s="29">
        <f>+ScalarApproach!AA36</f>
        <v>7570908.927075864</v>
      </c>
      <c r="K16" s="29">
        <f>+ScalarApproach!AB36</f>
        <v>3018274.59054056</v>
      </c>
      <c r="L16" s="29">
        <f>+ScalarApproach!AC36</f>
        <v>25532465.100681376</v>
      </c>
      <c r="M16" s="29">
        <f>+ScalarApproach!AD36</f>
        <v>32757775.88505271</v>
      </c>
      <c r="N16" s="29">
        <f>+ScalarApproach!AE36</f>
        <v>23314952.924344424</v>
      </c>
      <c r="O16" s="31"/>
    </row>
    <row r="17" spans="1:15" ht="15">
      <c r="A17" s="26"/>
      <c r="B17" s="22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</row>
    <row r="18" spans="1:15" ht="15">
      <c r="A18" s="25" t="s">
        <v>67</v>
      </c>
      <c r="B18" s="22" t="s">
        <v>57</v>
      </c>
      <c r="C18" s="34">
        <f>+SUM(C15:C16)</f>
        <v>46019215.37397548</v>
      </c>
      <c r="D18" s="35">
        <f aca="true" t="shared" si="2" ref="D18:N18">+SUM(D15:D16)</f>
        <v>41682966.06726748</v>
      </c>
      <c r="E18" s="35">
        <f t="shared" si="2"/>
        <v>95433053.71138045</v>
      </c>
      <c r="F18" s="35">
        <f t="shared" si="2"/>
        <v>68094700.70321047</v>
      </c>
      <c r="G18" s="35">
        <f t="shared" si="2"/>
        <v>57600264.25318027</v>
      </c>
      <c r="H18" s="35">
        <f t="shared" si="2"/>
        <v>43533697.70973864</v>
      </c>
      <c r="I18" s="35">
        <f t="shared" si="2"/>
        <v>22134362.699895248</v>
      </c>
      <c r="J18" s="35">
        <f t="shared" si="2"/>
        <v>19652042.146971017</v>
      </c>
      <c r="K18" s="35">
        <f t="shared" si="2"/>
        <v>15168478.66717916</v>
      </c>
      <c r="L18" s="35">
        <f t="shared" si="2"/>
        <v>83207966.45271361</v>
      </c>
      <c r="M18" s="35">
        <f t="shared" si="2"/>
        <v>108302142.87084664</v>
      </c>
      <c r="N18" s="35">
        <f t="shared" si="2"/>
        <v>68031750.71298032</v>
      </c>
      <c r="O18" s="28">
        <f>SUM(C15:N16)</f>
        <v>668860641.3693389</v>
      </c>
    </row>
    <row r="19" spans="1:15" ht="15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</row>
    <row r="20" spans="1:15" ht="15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2" spans="2:14" ht="15">
      <c r="B22" t="s">
        <v>58</v>
      </c>
      <c r="C22" s="21">
        <f>+SUM($C12:C12)/1000</f>
        <v>53339.37325612377</v>
      </c>
      <c r="D22" s="21">
        <f>+SUM($C12:D12)/1000</f>
        <v>96185.43382240007</v>
      </c>
      <c r="E22" s="21">
        <f>+SUM($C12:E12)/1000</f>
        <v>152213.58943853562</v>
      </c>
      <c r="F22" s="21">
        <f>+SUM($C12:F12)/1000</f>
        <v>201278.2123452156</v>
      </c>
      <c r="G22" s="21">
        <f>+SUM($C12:G12)/1000</f>
        <v>245542.10369519927</v>
      </c>
      <c r="H22" s="21">
        <f>+SUM($C12:H12)/1000</f>
        <v>290128.5006651933</v>
      </c>
      <c r="I22" s="21">
        <f>+SUM($C12:I12)/1000</f>
        <v>346463.74069427024</v>
      </c>
      <c r="J22" s="21">
        <f>+SUM($C12:J12)/1000</f>
        <v>400555.0057175249</v>
      </c>
      <c r="K22" s="21">
        <f>+SUM($C12:K12)/1000</f>
        <v>453636.15402278106</v>
      </c>
      <c r="L22" s="21">
        <f>+SUM($C12:L12)/1000</f>
        <v>528847.4259023974</v>
      </c>
      <c r="M22" s="21">
        <f>+SUM($C12:M12)/1000</f>
        <v>609502.3118426994</v>
      </c>
      <c r="N22" s="21">
        <f>+SUM($C12:N12)/1000</f>
        <v>668860.6413693388</v>
      </c>
    </row>
    <row r="23" spans="2:14" ht="15">
      <c r="B23" t="s">
        <v>59</v>
      </c>
      <c r="C23" s="21">
        <f>+SUM($C18:C18)/1000</f>
        <v>46019.21537397548</v>
      </c>
      <c r="D23" s="21">
        <f>+SUM($C18:D18)/1000</f>
        <v>87702.18144124297</v>
      </c>
      <c r="E23" s="21">
        <f>+SUM($C18:E18)/1000</f>
        <v>183135.2351526234</v>
      </c>
      <c r="F23" s="21">
        <f>+SUM($C18:F18)/1000</f>
        <v>251229.9358558339</v>
      </c>
      <c r="G23" s="21">
        <f>+SUM($C18:G18)/1000</f>
        <v>308830.2001090142</v>
      </c>
      <c r="H23" s="21">
        <f>+SUM($C18:H18)/1000</f>
        <v>352363.89781875274</v>
      </c>
      <c r="I23" s="21">
        <f>+SUM($C18:I18)/1000</f>
        <v>374498.260518648</v>
      </c>
      <c r="J23" s="21">
        <f>+SUM($C18:J18)/1000</f>
        <v>394150.302665619</v>
      </c>
      <c r="K23" s="21">
        <f>+SUM($C18:K18)/1000</f>
        <v>409318.7813327982</v>
      </c>
      <c r="L23" s="21">
        <f>+SUM($C18:L18)/1000</f>
        <v>492526.7477855118</v>
      </c>
      <c r="M23" s="21">
        <f>+SUM($C18:M18)/1000</f>
        <v>600828.8906563584</v>
      </c>
      <c r="N23" s="21">
        <f>+SUM($C18:N18)/1000</f>
        <v>668860.6413693387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Bonneville Power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Stiffler,Peter B (BPA) - MS-4</dc:creator>
  <cp:keywords/>
  <dc:description/>
  <cp:lastModifiedBy>Stiffler,Peter B (BPA) - KSL-4</cp:lastModifiedBy>
  <dcterms:created xsi:type="dcterms:W3CDTF">2024-01-31T15:42:38Z</dcterms:created>
  <dcterms:modified xsi:type="dcterms:W3CDTF">2024-02-16T20:53:04Z</dcterms:modified>
  <cp:category/>
  <cp:version/>
  <cp:contentType/>
  <cp:contentStatus/>
</cp:coreProperties>
</file>