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035" windowHeight="12660" tabRatio="729" activeTab="0"/>
  </bookViews>
  <sheets>
    <sheet name="Utility Specific PFx Settle" sheetId="3" r:id="rId1"/>
    <sheet name="Base Exchange Cost" sheetId="4" r:id="rId2"/>
    <sheet name="ExchangeSummary" sheetId="2" r:id="rId3"/>
    <sheet name="ExchangeInputs" sheetId="1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<sst xmlns="http://schemas.openxmlformats.org/spreadsheetml/2006/main" count="216" uniqueCount="111">
  <si>
    <t>Exchange Inputs Sheet</t>
  </si>
  <si>
    <t>Not printed in documentation.</t>
  </si>
  <si>
    <t>Transmission Cost ($/MWh)</t>
  </si>
  <si>
    <t>EntityID</t>
  </si>
  <si>
    <t>Exchange ASC ($/MWh)</t>
  </si>
  <si>
    <t xml:space="preserve"> </t>
  </si>
  <si>
    <t>Avista Corporation</t>
  </si>
  <si>
    <t>Idaho Power Company</t>
  </si>
  <si>
    <t>NorthWestern Energy, LLC</t>
  </si>
  <si>
    <t>PacifiCorp</t>
  </si>
  <si>
    <t>Portland General Electric Company</t>
  </si>
  <si>
    <t>Puget Sound Energy, Inc.</t>
  </si>
  <si>
    <t>Clark Public Utilities</t>
  </si>
  <si>
    <t>Franklin</t>
  </si>
  <si>
    <t>Snohomish PUD</t>
  </si>
  <si>
    <t>Exchange LOADS (aMW)</t>
  </si>
  <si>
    <t>Exchange Cost Calculation</t>
  </si>
  <si>
    <t>Exchange ASCs ($/MWh)</t>
  </si>
  <si>
    <t>Exchange Loads (GWh)</t>
  </si>
  <si>
    <t>Exchange Resource Cost ($000)</t>
  </si>
  <si>
    <t>Results Under Settlement</t>
  </si>
  <si>
    <t>Calculation of Settlement Utility Specific PF Exchange Rates</t>
  </si>
  <si>
    <t>Initial Allocations</t>
  </si>
  <si>
    <t>Average</t>
  </si>
  <si>
    <t>Interim</t>
  </si>
  <si>
    <t>Refund</t>
  </si>
  <si>
    <t>Base</t>
  </si>
  <si>
    <t>Exchange</t>
  </si>
  <si>
    <t xml:space="preserve">Unconstrained </t>
  </si>
  <si>
    <t>Scheduled</t>
  </si>
  <si>
    <t>Protection</t>
  </si>
  <si>
    <t>Cost</t>
  </si>
  <si>
    <t>7(b)(3)</t>
  </si>
  <si>
    <t>Utility</t>
  </si>
  <si>
    <t>REP</t>
  </si>
  <si>
    <t>ASC</t>
  </si>
  <si>
    <t>PFx</t>
  </si>
  <si>
    <t>Load</t>
  </si>
  <si>
    <t>Benefits</t>
  </si>
  <si>
    <t>Amount</t>
  </si>
  <si>
    <t>Allocation</t>
  </si>
  <si>
    <t>Surcharge</t>
  </si>
  <si>
    <t>a</t>
  </si>
  <si>
    <t>b</t>
  </si>
  <si>
    <t>c</t>
  </si>
  <si>
    <t>d</t>
  </si>
  <si>
    <t>e=avg(c,d)</t>
  </si>
  <si>
    <t>f=(a-b)*e</t>
  </si>
  <si>
    <t>g=contract</t>
  </si>
  <si>
    <t>h=contract</t>
  </si>
  <si>
    <t>Σi=Σf - Σh</t>
  </si>
  <si>
    <t>Σj=h</t>
  </si>
  <si>
    <t>k=(i+j)/e</t>
  </si>
  <si>
    <t>l=b+k</t>
  </si>
  <si>
    <t>m=(a-l)*e</t>
  </si>
  <si>
    <t>Total</t>
  </si>
  <si>
    <t>rounding to</t>
  </si>
  <si>
    <t xml:space="preserve">places = </t>
  </si>
  <si>
    <t>IOU Σ(g)</t>
  </si>
  <si>
    <t>IOU Σ(j)</t>
  </si>
  <si>
    <t>IOU REP</t>
  </si>
  <si>
    <t>COU Σ(g)</t>
  </si>
  <si>
    <t>COU Σ(j)</t>
  </si>
  <si>
    <t>COU REP</t>
  </si>
  <si>
    <t>IOU Reallocations</t>
  </si>
  <si>
    <t>Final</t>
  </si>
  <si>
    <t>Annual</t>
  </si>
  <si>
    <t>Reallocation</t>
  </si>
  <si>
    <t>Reallocated</t>
  </si>
  <si>
    <t>Adjustment</t>
  </si>
  <si>
    <t>n=m</t>
  </si>
  <si>
    <t>o=contract</t>
  </si>
  <si>
    <t>p=below</t>
  </si>
  <si>
    <t>q=n-o+p</t>
  </si>
  <si>
    <t>r=f-q</t>
  </si>
  <si>
    <t>s=r/e</t>
  </si>
  <si>
    <t>t=b+s</t>
  </si>
  <si>
    <t>u=(a-t)*e</t>
  </si>
  <si>
    <t>v=(a-t)*c</t>
  </si>
  <si>
    <t>w=(a-t)*d</t>
  </si>
  <si>
    <t>Avista</t>
  </si>
  <si>
    <t>Idaho Power</t>
  </si>
  <si>
    <t>NorthWestern</t>
  </si>
  <si>
    <t>Portland</t>
  </si>
  <si>
    <t>Puget Sound</t>
  </si>
  <si>
    <t>Clark</t>
  </si>
  <si>
    <t>IOU Reallocation Adjustments</t>
  </si>
  <si>
    <t>Snohomish</t>
  </si>
  <si>
    <t>Total REP</t>
  </si>
  <si>
    <t>p1=o1*(f/Σf)</t>
  </si>
  <si>
    <t>p2=o2*(f/Σf)</t>
  </si>
  <si>
    <t>p3=o3*(f/Σf)</t>
  </si>
  <si>
    <t>p4=o4*(f/Σf)</t>
  </si>
  <si>
    <t>p5=o5*(f/Σf)</t>
  </si>
  <si>
    <t>p6=o6*(f/Σf)</t>
  </si>
  <si>
    <t>p=Σ(p1…p6)</t>
  </si>
  <si>
    <t>Refund Amt</t>
  </si>
  <si>
    <t>REP Cost</t>
  </si>
  <si>
    <t>Determine Rounding Decimal Place</t>
  </si>
  <si>
    <t>Rate Analysis Model - Exchange Resource Cost</t>
  </si>
  <si>
    <t>IOU Base PFx</t>
  </si>
  <si>
    <t>COU Base PFx</t>
  </si>
  <si>
    <t>ASCs</t>
  </si>
  <si>
    <t>Exchange Loads</t>
  </si>
  <si>
    <t>Unconstrained Benefits</t>
  </si>
  <si>
    <t xml:space="preserve">IOU </t>
  </si>
  <si>
    <t xml:space="preserve">   (load * (ASC - Base PFx)</t>
  </si>
  <si>
    <t/>
  </si>
  <si>
    <t>TOC</t>
  </si>
  <si>
    <t>é</t>
  </si>
  <si>
    <t>RAM2022_Errata.xls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</si>
</sst>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FY&quot;\ ###"/>
    <numFmt numFmtId="168" formatCode="&quot;$&quot;#,##0"/>
    <numFmt numFmtId="169" formatCode="0.00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FFFF"/>
      <name val="Times"/>
      <family val="1"/>
    </font>
    <font>
      <b/>
      <sz val="14"/>
      <color rgb="FF3366FF"/>
      <name val="Times New Roman"/>
      <family val="1"/>
    </font>
    <font>
      <sz val="10"/>
      <name val="Times"/>
      <family val="1"/>
    </font>
    <font>
      <sz val="10"/>
      <color rgb="FF963634"/>
      <name val="Times New Roman"/>
      <family val="1"/>
    </font>
    <font>
      <u val="single"/>
      <sz val="7.5"/>
      <color rgb="FF0000FF"/>
      <name val="Arial"/>
      <family val="2"/>
    </font>
    <font>
      <b/>
      <u val="single"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"/>
      <family val="1"/>
    </font>
    <font>
      <b/>
      <u val="single"/>
      <sz val="11"/>
      <color rgb="FF0000FF"/>
      <name val="Wingdings"/>
      <family val="2"/>
    </font>
    <font>
      <sz val="12"/>
      <name val="Times New Roman"/>
      <family val="1"/>
    </font>
    <font>
      <sz val="16"/>
      <color rgb="FF3366FF"/>
      <name val="Times New Roman"/>
      <family val="1"/>
    </font>
    <font>
      <b/>
      <i/>
      <sz val="12"/>
      <color rgb="FF3366FF"/>
      <name val="Times New Roman"/>
      <family val="1"/>
    </font>
    <font>
      <sz val="12"/>
      <color rgb="FFFFFFFF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0"/>
      <color rgb="FFFFFFFF"/>
      <name val="Times New Roman"/>
      <family val="1"/>
    </font>
    <font>
      <sz val="12"/>
      <color rgb="FFC0504D"/>
      <name val="Times New Roman"/>
      <family val="1"/>
    </font>
    <font>
      <b/>
      <sz val="10"/>
      <name val="Times New Roman"/>
      <family val="1"/>
    </font>
    <font>
      <sz val="10"/>
      <color rgb="FFFF00FF"/>
      <name val="Times New Roman"/>
      <family val="1"/>
    </font>
    <font>
      <b/>
      <u val="single"/>
      <sz val="11"/>
      <color rgb="FF0000FF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3366FF"/>
      <name val="Times New Roman"/>
      <family val="1"/>
    </font>
    <font>
      <sz val="12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4"/>
      <color rgb="FF3366FF"/>
      <name val="Arial"/>
      <family val="2"/>
    </font>
    <font>
      <b/>
      <sz val="12"/>
      <name val="Calibri"/>
      <family val="2"/>
    </font>
    <font>
      <b/>
      <sz val="12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B6C1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95B3D7"/>
      </left>
      <right/>
      <top style="thin">
        <color rgb="FF95B3D7"/>
      </top>
      <bottom/>
    </border>
    <border>
      <left/>
      <right/>
      <top style="thin">
        <color rgb="FF95B3D7"/>
      </top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dashDotDot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</cellStyleXfs>
  <cellXfs count="15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2" borderId="0" xfId="20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20" applyFont="1" applyFill="1" applyBorder="1" applyAlignment="1" applyProtection="1">
      <alignment/>
      <protection/>
    </xf>
    <xf numFmtId="0" fontId="12" fillId="2" borderId="0" xfId="21" applyFont="1" applyFill="1" applyBorder="1">
      <alignment/>
      <protection/>
    </xf>
    <xf numFmtId="0" fontId="11" fillId="2" borderId="0" xfId="21" applyFont="1" applyFill="1" applyBorder="1">
      <alignment/>
      <protection/>
    </xf>
    <xf numFmtId="0" fontId="13" fillId="0" borderId="0" xfId="21" applyFont="1" applyFill="1" applyBorder="1">
      <alignment/>
      <protection/>
    </xf>
    <xf numFmtId="43" fontId="14" fillId="3" borderId="1" xfId="18" applyFont="1" applyFill="1" applyBorder="1"/>
    <xf numFmtId="0" fontId="11" fillId="0" borderId="0" xfId="21" applyFont="1" applyFill="1" applyBorder="1">
      <alignment/>
      <protection/>
    </xf>
    <xf numFmtId="0" fontId="11" fillId="0" borderId="0" xfId="0" applyFont="1" applyFill="1" applyBorder="1"/>
    <xf numFmtId="0" fontId="13" fillId="2" borderId="0" xfId="21" applyFont="1" applyFill="1" applyBorder="1">
      <alignment/>
      <protection/>
    </xf>
    <xf numFmtId="0" fontId="15" fillId="2" borderId="0" xfId="21" applyFont="1" applyFill="1" applyBorder="1">
      <alignment/>
      <protection/>
    </xf>
    <xf numFmtId="0" fontId="16" fillId="2" borderId="2" xfId="21" applyNumberFormat="1" applyFont="1" applyFill="1" applyBorder="1" applyAlignment="1">
      <alignment/>
      <protection/>
    </xf>
    <xf numFmtId="0" fontId="16" fillId="2" borderId="3" xfId="21" applyNumberFormat="1" applyFont="1" applyFill="1" applyBorder="1" applyAlignment="1">
      <alignment/>
      <protection/>
    </xf>
    <xf numFmtId="2" fontId="17" fillId="0" borderId="0" xfId="21" applyNumberFormat="1" applyFont="1" applyFill="1" applyBorder="1" applyAlignment="1">
      <alignment/>
      <protection/>
    </xf>
    <xf numFmtId="0" fontId="11" fillId="2" borderId="2" xfId="21" applyFont="1" applyFill="1" applyBorder="1">
      <alignment/>
      <protection/>
    </xf>
    <xf numFmtId="0" fontId="11" fillId="2" borderId="3" xfId="21" applyFont="1" applyFill="1" applyBorder="1">
      <alignment/>
      <protection/>
    </xf>
    <xf numFmtId="0" fontId="16" fillId="4" borderId="2" xfId="21" applyNumberFormat="1" applyFont="1" applyFill="1" applyBorder="1" applyAlignment="1">
      <alignment/>
      <protection/>
    </xf>
    <xf numFmtId="0" fontId="16" fillId="4" borderId="3" xfId="21" applyNumberFormat="1" applyFont="1" applyFill="1" applyBorder="1" applyAlignment="1">
      <alignment/>
      <protection/>
    </xf>
    <xf numFmtId="2" fontId="18" fillId="0" borderId="0" xfId="21" applyNumberFormat="1" applyFont="1" applyFill="1" applyBorder="1">
      <alignment/>
      <protection/>
    </xf>
    <xf numFmtId="0" fontId="18" fillId="0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4" fontId="17" fillId="0" borderId="3" xfId="21" applyNumberFormat="1" applyFont="1" applyFill="1" applyBorder="1" applyAlignment="1">
      <alignment/>
      <protection/>
    </xf>
    <xf numFmtId="3" fontId="18" fillId="0" borderId="0" xfId="21" applyNumberFormat="1" applyFont="1" applyFill="1" applyBorder="1">
      <alignment/>
      <protection/>
    </xf>
    <xf numFmtId="164" fontId="18" fillId="0" borderId="3" xfId="21" applyNumberFormat="1" applyFont="1" applyFill="1" applyBorder="1" applyAlignment="1">
      <alignment/>
      <protection/>
    </xf>
    <xf numFmtId="0" fontId="19" fillId="2" borderId="0" xfId="0" applyFont="1" applyFill="1" applyBorder="1"/>
    <xf numFmtId="0" fontId="8" fillId="2" borderId="0" xfId="0" applyFont="1" applyFill="1" applyBorder="1"/>
    <xf numFmtId="0" fontId="20" fillId="0" borderId="0" xfId="22" applyFont="1" applyFill="1" applyBorder="1">
      <alignment/>
      <protection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/>
    <xf numFmtId="0" fontId="23" fillId="2" borderId="0" xfId="20" applyFont="1" applyFill="1" applyBorder="1" applyAlignment="1" applyProtection="1">
      <alignment/>
      <protection/>
    </xf>
    <xf numFmtId="0" fontId="11" fillId="2" borderId="0" xfId="0" applyFont="1" applyFill="1" applyBorder="1"/>
    <xf numFmtId="0" fontId="11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5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 horizontal="center"/>
      <protection/>
    </xf>
    <xf numFmtId="44" fontId="11" fillId="0" borderId="0" xfId="16" applyNumberFormat="1" applyFont="1" applyFill="1" applyBorder="1"/>
    <xf numFmtId="165" fontId="11" fillId="0" borderId="0" xfId="22" applyNumberFormat="1" applyFont="1" applyFill="1" applyBorder="1">
      <alignment/>
      <protection/>
    </xf>
    <xf numFmtId="3" fontId="11" fillId="0" borderId="0" xfId="23" applyNumberFormat="1" applyFont="1" applyFill="1" applyBorder="1" applyAlignment="1">
      <alignment horizontal="center"/>
      <protection/>
    </xf>
    <xf numFmtId="3" fontId="18" fillId="0" borderId="0" xfId="23" applyNumberFormat="1" applyFont="1" applyFill="1" applyBorder="1" applyAlignment="1">
      <alignment horizontal="center"/>
      <protection/>
    </xf>
    <xf numFmtId="3" fontId="11" fillId="0" borderId="4" xfId="23" applyNumberFormat="1" applyFont="1" applyFill="1" applyBorder="1" applyAlignment="1">
      <alignment horizontal="center"/>
      <protection/>
    </xf>
    <xf numFmtId="166" fontId="11" fillId="0" borderId="0" xfId="18" applyNumberFormat="1" applyFont="1" applyFill="1" applyBorder="1"/>
    <xf numFmtId="165" fontId="11" fillId="0" borderId="0" xfId="16" applyNumberFormat="1" applyFont="1" applyFill="1" applyBorder="1"/>
    <xf numFmtId="165" fontId="18" fillId="0" borderId="0" xfId="16" applyNumberFormat="1" applyFont="1" applyFill="1" applyBorder="1"/>
    <xf numFmtId="165" fontId="11" fillId="0" borderId="4" xfId="16" applyNumberFormat="1" applyFont="1" applyFill="1" applyBorder="1"/>
    <xf numFmtId="165" fontId="18" fillId="0" borderId="0" xfId="22" applyNumberFormat="1" applyFont="1" applyFill="1" applyBorder="1">
      <alignment/>
      <protection/>
    </xf>
    <xf numFmtId="0" fontId="1" fillId="2" borderId="0" xfId="22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20" fillId="2" borderId="0" xfId="0" applyFont="1" applyFill="1" applyBorder="1"/>
    <xf numFmtId="0" fontId="24" fillId="2" borderId="0" xfId="0" applyFont="1" applyFill="1" applyBorder="1"/>
    <xf numFmtId="0" fontId="25" fillId="2" borderId="0" xfId="0" applyFont="1" applyFill="1" applyBorder="1"/>
    <xf numFmtId="0" fontId="8" fillId="2" borderId="0" xfId="22" applyFont="1" applyFill="1" applyBorder="1">
      <alignment/>
      <protection/>
    </xf>
    <xf numFmtId="167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22" applyFont="1" applyFill="1" applyBorder="1">
      <alignment/>
      <protection/>
    </xf>
    <xf numFmtId="0" fontId="15" fillId="0" borderId="0" xfId="24" applyFont="1" applyFill="1" applyBorder="1" applyAlignment="1">
      <alignment horizontal="center"/>
      <protection/>
    </xf>
    <xf numFmtId="0" fontId="11" fillId="0" borderId="5" xfId="22" applyFont="1" applyFill="1" applyBorder="1">
      <alignment/>
      <protection/>
    </xf>
    <xf numFmtId="0" fontId="11" fillId="0" borderId="5" xfId="22" applyFont="1" applyFill="1" applyBorder="1" applyAlignment="1">
      <alignment horizontal="center"/>
      <protection/>
    </xf>
    <xf numFmtId="2" fontId="18" fillId="0" borderId="0" xfId="22" applyNumberFormat="1" applyFont="1" applyFill="1" applyBorder="1">
      <alignment/>
      <protection/>
    </xf>
    <xf numFmtId="3" fontId="11" fillId="0" borderId="0" xfId="22" applyNumberFormat="1" applyFont="1" applyFill="1" applyBorder="1">
      <alignment/>
      <protection/>
    </xf>
    <xf numFmtId="165" fontId="18" fillId="0" borderId="0" xfId="0" applyNumberFormat="1" applyFont="1" applyFill="1" applyBorder="1"/>
    <xf numFmtId="165" fontId="11" fillId="0" borderId="0" xfId="0" applyNumberFormat="1" applyFont="1" applyFill="1" applyBorder="1"/>
    <xf numFmtId="3" fontId="18" fillId="0" borderId="0" xfId="22" applyNumberFormat="1" applyFont="1" applyFill="1" applyBorder="1">
      <alignment/>
      <protection/>
    </xf>
    <xf numFmtId="0" fontId="11" fillId="0" borderId="6" xfId="22" applyFont="1" applyFill="1" applyBorder="1">
      <alignment/>
      <protection/>
    </xf>
    <xf numFmtId="2" fontId="11" fillId="0" borderId="6" xfId="22" applyNumberFormat="1" applyFont="1" applyFill="1" applyBorder="1">
      <alignment/>
      <protection/>
    </xf>
    <xf numFmtId="3" fontId="11" fillId="0" borderId="6" xfId="22" applyNumberFormat="1" applyFont="1" applyFill="1" applyBorder="1">
      <alignment/>
      <protection/>
    </xf>
    <xf numFmtId="165" fontId="11" fillId="0" borderId="6" xfId="0" applyNumberFormat="1" applyFont="1" applyFill="1" applyBorder="1"/>
    <xf numFmtId="2" fontId="11" fillId="0" borderId="0" xfId="22" applyNumberFormat="1" applyFont="1" applyFill="1" applyBorder="1">
      <alignment/>
      <protection/>
    </xf>
    <xf numFmtId="0" fontId="11" fillId="0" borderId="7" xfId="22" applyFont="1" applyFill="1" applyBorder="1">
      <alignment/>
      <protection/>
    </xf>
    <xf numFmtId="3" fontId="11" fillId="0" borderId="7" xfId="22" applyNumberFormat="1" applyFont="1" applyFill="1" applyBorder="1">
      <alignment/>
      <protection/>
    </xf>
    <xf numFmtId="165" fontId="18" fillId="0" borderId="7" xfId="22" applyNumberFormat="1" applyFont="1" applyFill="1" applyBorder="1">
      <alignment/>
      <protection/>
    </xf>
    <xf numFmtId="6" fontId="11" fillId="0" borderId="7" xfId="22" applyNumberFormat="1" applyFont="1" applyFill="1" applyBorder="1">
      <alignment/>
      <protection/>
    </xf>
    <xf numFmtId="0" fontId="1" fillId="0" borderId="8" xfId="24" applyFont="1" applyFill="1" applyBorder="1" applyAlignment="1">
      <alignment horizontal="right"/>
      <protection/>
    </xf>
    <xf numFmtId="0" fontId="1" fillId="5" borderId="9" xfId="24" applyFont="1" applyFill="1" applyBorder="1" applyAlignment="1">
      <alignment horizontal="center"/>
      <protection/>
    </xf>
    <xf numFmtId="0" fontId="1" fillId="0" borderId="9" xfId="24" applyFont="1" applyFill="1" applyBorder="1" applyAlignment="1">
      <alignment horizontal="center"/>
      <protection/>
    </xf>
    <xf numFmtId="168" fontId="27" fillId="0" borderId="10" xfId="24" applyNumberFormat="1" applyFont="1" applyFill="1" applyBorder="1" applyAlignment="1">
      <alignment horizontal="left"/>
      <protection/>
    </xf>
    <xf numFmtId="0" fontId="11" fillId="0" borderId="0" xfId="22" applyFont="1" applyFill="1" applyBorder="1" applyAlignment="1">
      <alignment horizontal="right"/>
      <protection/>
    </xf>
    <xf numFmtId="165" fontId="18" fillId="0" borderId="11" xfId="22" applyNumberFormat="1" applyFont="1" applyFill="1" applyBorder="1">
      <alignment/>
      <protection/>
    </xf>
    <xf numFmtId="165" fontId="18" fillId="0" borderId="12" xfId="22" applyNumberFormat="1" applyFont="1" applyFill="1" applyBorder="1">
      <alignment/>
      <protection/>
    </xf>
    <xf numFmtId="165" fontId="18" fillId="0" borderId="13" xfId="22" applyNumberFormat="1" applyFont="1" applyFill="1" applyBorder="1">
      <alignment/>
      <protection/>
    </xf>
    <xf numFmtId="0" fontId="11" fillId="0" borderId="4" xfId="22" applyFont="1" applyFill="1" applyBorder="1">
      <alignment/>
      <protection/>
    </xf>
    <xf numFmtId="6" fontId="18" fillId="0" borderId="4" xfId="22" applyNumberFormat="1" applyFont="1" applyFill="1" applyBorder="1">
      <alignment/>
      <protection/>
    </xf>
    <xf numFmtId="165" fontId="18" fillId="0" borderId="14" xfId="22" applyNumberFormat="1" applyFont="1" applyFill="1" applyBorder="1">
      <alignment/>
      <protection/>
    </xf>
    <xf numFmtId="0" fontId="11" fillId="0" borderId="0" xfId="24" applyFont="1" applyFill="1" applyBorder="1">
      <alignment/>
      <protection/>
    </xf>
    <xf numFmtId="0" fontId="11" fillId="0" borderId="5" xfId="24" applyFont="1" applyFill="1" applyBorder="1" applyAlignment="1">
      <alignment horizontal="center"/>
      <protection/>
    </xf>
    <xf numFmtId="169" fontId="18" fillId="0" borderId="0" xfId="22" applyNumberFormat="1" applyFont="1" applyFill="1" applyBorder="1">
      <alignment/>
      <protection/>
    </xf>
    <xf numFmtId="165" fontId="11" fillId="0" borderId="7" xfId="22" applyNumberFormat="1" applyFont="1" applyFill="1" applyBorder="1">
      <alignment/>
      <protection/>
    </xf>
    <xf numFmtId="0" fontId="11" fillId="0" borderId="0" xfId="22" applyFont="1" applyFill="1" applyBorder="1" applyAlignment="1">
      <alignment horizontal="left"/>
      <protection/>
    </xf>
    <xf numFmtId="0" fontId="8" fillId="0" borderId="0" xfId="22" applyFont="1" applyFill="1" applyBorder="1" applyAlignment="1">
      <alignment horizontal="center"/>
      <protection/>
    </xf>
    <xf numFmtId="165" fontId="26" fillId="0" borderId="0" xfId="22" applyNumberFormat="1" applyFont="1" applyFill="1" applyBorder="1">
      <alignment/>
      <protection/>
    </xf>
    <xf numFmtId="165" fontId="18" fillId="0" borderId="4" xfId="0" applyNumberFormat="1" applyFont="1" applyFill="1" applyBorder="1"/>
    <xf numFmtId="165" fontId="11" fillId="0" borderId="4" xfId="0" applyNumberFormat="1" applyFont="1" applyFill="1" applyBorder="1"/>
    <xf numFmtId="0" fontId="1" fillId="5" borderId="11" xfId="22" applyFont="1" applyFill="1" applyBorder="1">
      <alignment/>
      <protection/>
    </xf>
    <xf numFmtId="0" fontId="1" fillId="5" borderId="7" xfId="22" applyFont="1" applyFill="1" applyBorder="1">
      <alignment/>
      <protection/>
    </xf>
    <xf numFmtId="0" fontId="1" fillId="5" borderId="12" xfId="22" applyFont="1" applyFill="1" applyBorder="1">
      <alignment/>
      <protection/>
    </xf>
    <xf numFmtId="0" fontId="1" fillId="5" borderId="15" xfId="22" applyFont="1" applyFill="1" applyBorder="1">
      <alignment/>
      <protection/>
    </xf>
    <xf numFmtId="0" fontId="1" fillId="5" borderId="0" xfId="22" applyFont="1" applyFill="1" applyBorder="1">
      <alignment/>
      <protection/>
    </xf>
    <xf numFmtId="165" fontId="11" fillId="5" borderId="0" xfId="22" applyNumberFormat="1" applyFont="1" applyFill="1" applyBorder="1">
      <alignment/>
      <protection/>
    </xf>
    <xf numFmtId="165" fontId="11" fillId="5" borderId="16" xfId="22" applyNumberFormat="1" applyFont="1" applyFill="1" applyBorder="1">
      <alignment/>
      <protection/>
    </xf>
    <xf numFmtId="165" fontId="11" fillId="5" borderId="4" xfId="22" applyNumberFormat="1" applyFont="1" applyFill="1" applyBorder="1">
      <alignment/>
      <protection/>
    </xf>
    <xf numFmtId="165" fontId="11" fillId="5" borderId="14" xfId="22" applyNumberFormat="1" applyFont="1" applyFill="1" applyBorder="1">
      <alignment/>
      <protection/>
    </xf>
    <xf numFmtId="165" fontId="1" fillId="5" borderId="0" xfId="22" applyNumberFormat="1" applyFont="1" applyFill="1" applyBorder="1">
      <alignment/>
      <protection/>
    </xf>
    <xf numFmtId="165" fontId="1" fillId="5" borderId="16" xfId="22" applyNumberFormat="1" applyFont="1" applyFill="1" applyBorder="1">
      <alignment/>
      <protection/>
    </xf>
    <xf numFmtId="0" fontId="1" fillId="5" borderId="16" xfId="22" applyFont="1" applyFill="1" applyBorder="1">
      <alignment/>
      <protection/>
    </xf>
    <xf numFmtId="6" fontId="1" fillId="5" borderId="0" xfId="22" applyNumberFormat="1" applyFont="1" applyFill="1" applyBorder="1">
      <alignment/>
      <protection/>
    </xf>
    <xf numFmtId="6" fontId="1" fillId="5" borderId="16" xfId="22" applyNumberFormat="1" applyFont="1" applyFill="1" applyBorder="1">
      <alignment/>
      <protection/>
    </xf>
    <xf numFmtId="0" fontId="1" fillId="5" borderId="13" xfId="22" applyFont="1" applyFill="1" applyBorder="1">
      <alignment/>
      <protection/>
    </xf>
    <xf numFmtId="0" fontId="28" fillId="5" borderId="1" xfId="22" applyFont="1" applyFill="1" applyBorder="1">
      <alignment/>
      <protection/>
    </xf>
    <xf numFmtId="0" fontId="1" fillId="5" borderId="4" xfId="22" applyFont="1" applyFill="1" applyBorder="1">
      <alignment/>
      <protection/>
    </xf>
    <xf numFmtId="0" fontId="1" fillId="5" borderId="14" xfId="22" applyFont="1" applyFill="1" applyBorder="1">
      <alignment/>
      <protection/>
    </xf>
    <xf numFmtId="0" fontId="11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1" fillId="2" borderId="0" xfId="0" applyFont="1" applyFill="1" applyBorder="1"/>
    <xf numFmtId="0" fontId="28" fillId="2" borderId="0" xfId="0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28" fillId="2" borderId="0" xfId="22" applyFont="1" applyFill="1" applyBorder="1" applyAlignment="1">
      <alignment horizontal="center"/>
      <protection/>
    </xf>
    <xf numFmtId="0" fontId="15" fillId="0" borderId="0" xfId="0" applyFont="1" applyFill="1" applyBorder="1"/>
    <xf numFmtId="2" fontId="31" fillId="0" borderId="1" xfId="0" applyNumberFormat="1" applyFont="1" applyFill="1" applyBorder="1" applyAlignment="1">
      <alignment horizontal="center"/>
    </xf>
    <xf numFmtId="0" fontId="8" fillId="0" borderId="0" xfId="22" applyFont="1" applyFill="1" applyBorder="1">
      <alignment/>
      <protection/>
    </xf>
    <xf numFmtId="0" fontId="28" fillId="0" borderId="0" xfId="22" applyFont="1" applyFill="1" applyBorder="1" applyAlignment="1">
      <alignment horizontal="center"/>
      <protection/>
    </xf>
    <xf numFmtId="0" fontId="21" fillId="0" borderId="0" xfId="22" applyFont="1" applyFill="1" applyBorder="1">
      <alignment/>
      <protection/>
    </xf>
    <xf numFmtId="0" fontId="21" fillId="0" borderId="0" xfId="22" applyFont="1" applyFill="1" applyBorder="1" applyAlignment="1" quotePrefix="1">
      <alignment horizontal="left"/>
      <protection/>
    </xf>
    <xf numFmtId="0" fontId="21" fillId="0" borderId="0" xfId="22" applyFont="1" applyFill="1" applyBorder="1" applyAlignment="1">
      <alignment horizontal="center"/>
      <protection/>
    </xf>
    <xf numFmtId="0" fontId="21" fillId="0" borderId="11" xfId="22" applyFont="1" applyFill="1" applyBorder="1" applyAlignment="1">
      <alignment horizontal="center"/>
      <protection/>
    </xf>
    <xf numFmtId="0" fontId="21" fillId="0" borderId="12" xfId="22" applyFont="1" applyFill="1" applyBorder="1" applyAlignment="1">
      <alignment horizontal="center"/>
      <protection/>
    </xf>
    <xf numFmtId="0" fontId="8" fillId="0" borderId="15" xfId="22" applyFont="1" applyFill="1" applyBorder="1">
      <alignment/>
      <protection/>
    </xf>
    <xf numFmtId="0" fontId="8" fillId="0" borderId="16" xfId="22" applyFont="1" applyFill="1" applyBorder="1">
      <alignment/>
      <protection/>
    </xf>
    <xf numFmtId="0" fontId="21" fillId="0" borderId="15" xfId="22" applyFont="1" applyFill="1" applyBorder="1" applyAlignment="1">
      <alignment horizontal="center"/>
      <protection/>
    </xf>
    <xf numFmtId="0" fontId="21" fillId="0" borderId="16" xfId="22" applyFont="1" applyFill="1" applyBorder="1" applyAlignment="1">
      <alignment horizontal="center"/>
      <protection/>
    </xf>
    <xf numFmtId="4" fontId="8" fillId="0" borderId="15" xfId="22" applyNumberFormat="1" applyFont="1" applyFill="1" applyBorder="1" applyAlignment="1">
      <alignment horizontal="center"/>
      <protection/>
    </xf>
    <xf numFmtId="4" fontId="8" fillId="0" borderId="16" xfId="22" applyNumberFormat="1" applyFont="1" applyFill="1" applyBorder="1" applyAlignment="1">
      <alignment horizontal="center"/>
      <protection/>
    </xf>
    <xf numFmtId="3" fontId="8" fillId="0" borderId="15" xfId="22" applyNumberFormat="1" applyFont="1" applyFill="1" applyBorder="1" applyAlignment="1">
      <alignment horizontal="center"/>
      <protection/>
    </xf>
    <xf numFmtId="3" fontId="8" fillId="0" borderId="16" xfId="22" applyNumberFormat="1" applyFont="1" applyFill="1" applyBorder="1" applyAlignment="1">
      <alignment horizontal="center"/>
      <protection/>
    </xf>
    <xf numFmtId="165" fontId="32" fillId="0" borderId="15" xfId="16" applyNumberFormat="1" applyFont="1" applyFill="1" applyBorder="1"/>
    <xf numFmtId="165" fontId="32" fillId="0" borderId="16" xfId="16" applyNumberFormat="1" applyFont="1" applyFill="1" applyBorder="1"/>
    <xf numFmtId="165" fontId="1" fillId="0" borderId="0" xfId="16" applyNumberFormat="1" applyFont="1" applyFill="1" applyBorder="1"/>
    <xf numFmtId="3" fontId="32" fillId="0" borderId="15" xfId="22" applyNumberFormat="1" applyFont="1" applyFill="1" applyBorder="1" applyAlignment="1">
      <alignment horizontal="center"/>
      <protection/>
    </xf>
    <xf numFmtId="3" fontId="32" fillId="0" borderId="16" xfId="22" applyNumberFormat="1" applyFont="1" applyFill="1" applyBorder="1" applyAlignment="1">
      <alignment horizontal="center"/>
      <protection/>
    </xf>
    <xf numFmtId="165" fontId="8" fillId="0" borderId="15" xfId="16" applyNumberFormat="1" applyFont="1" applyFill="1" applyBorder="1"/>
    <xf numFmtId="165" fontId="8" fillId="0" borderId="16" xfId="16" applyNumberFormat="1" applyFont="1" applyFill="1" applyBorder="1"/>
    <xf numFmtId="4" fontId="8" fillId="0" borderId="13" xfId="22" applyNumberFormat="1" applyFont="1" applyFill="1" applyBorder="1" applyAlignment="1">
      <alignment horizontal="center"/>
      <protection/>
    </xf>
    <xf numFmtId="4" fontId="8" fillId="0" borderId="14" xfId="22" applyNumberFormat="1" applyFont="1" applyFill="1" applyBorder="1" applyAlignment="1">
      <alignment horizontal="center"/>
      <protection/>
    </xf>
    <xf numFmtId="3" fontId="8" fillId="0" borderId="13" xfId="22" applyNumberFormat="1" applyFont="1" applyFill="1" applyBorder="1" applyAlignment="1">
      <alignment horizontal="center"/>
      <protection/>
    </xf>
    <xf numFmtId="3" fontId="8" fillId="0" borderId="14" xfId="22" applyNumberFormat="1" applyFont="1" applyFill="1" applyBorder="1" applyAlignment="1">
      <alignment horizontal="center"/>
      <protection/>
    </xf>
    <xf numFmtId="165" fontId="32" fillId="0" borderId="13" xfId="16" applyNumberFormat="1" applyFont="1" applyFill="1" applyBorder="1"/>
    <xf numFmtId="165" fontId="32" fillId="0" borderId="14" xfId="16" applyNumberFormat="1" applyFont="1" applyFill="1" applyBorder="1"/>
    <xf numFmtId="0" fontId="32" fillId="0" borderId="0" xfId="22" applyFont="1" applyFill="1" applyBorder="1">
      <alignment/>
      <protection/>
    </xf>
    <xf numFmtId="0" fontId="32" fillId="0" borderId="0" xfId="22" applyFont="1" applyFill="1" applyBorder="1" applyAlignment="1">
      <alignment horizontal="center"/>
      <protection/>
    </xf>
    <xf numFmtId="165" fontId="27" fillId="0" borderId="0" xfId="16" applyNumberFormat="1" applyFont="1" applyFill="1" applyBorder="1"/>
    <xf numFmtId="165" fontId="33" fillId="0" borderId="0" xfId="22" applyNumberFormat="1" applyFont="1" applyFill="1" applyBorder="1">
      <alignment/>
      <protection/>
    </xf>
    <xf numFmtId="165" fontId="28" fillId="0" borderId="0" xfId="22" applyNumberFormat="1" applyFont="1" applyFill="1" applyBorder="1">
      <alignment/>
      <protection/>
    </xf>
    <xf numFmtId="165" fontId="1" fillId="0" borderId="0" xfId="22" applyNumberFormat="1" applyFont="1" applyFill="1" applyBorder="1">
      <alignment/>
      <protection/>
    </xf>
    <xf numFmtId="0" fontId="8" fillId="0" borderId="0" xfId="22" applyFont="1" applyFill="1" applyBorder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$newRAM_20091116" xfId="21"/>
    <cellStyle name="Normal_ActiveExchange3" xfId="22"/>
    <cellStyle name="Normal_$newRAM" xfId="23"/>
    <cellStyle name="Normal__REP settlement benefits (2)" xfId="24"/>
  </cellStyles>
  <dxfs count="14">
    <dxf>
      <font>
        <b/>
        <i/>
        <color rgb="FFFF0000"/>
        <condense val="0"/>
        <extend val="0"/>
      </font>
      <border/>
    </dxf>
    <dxf>
      <font>
        <b/>
        <i/>
        <color rgb="FFFF0000"/>
        <condense val="0"/>
        <extend val="0"/>
      </font>
      <border/>
    </dxf>
    <dxf>
      <font>
        <b/>
        <i/>
        <color rgb="FFFF0000"/>
        <condense val="0"/>
        <extend val="0"/>
      </font>
      <border/>
    </dxf>
    <dxf>
      <font>
        <b/>
        <i/>
        <color rgb="FFFF0000"/>
        <condense val="0"/>
        <extend val="0"/>
      </font>
      <border/>
    </dxf>
    <dxf>
      <font>
        <b/>
        <i/>
        <color rgb="FFFF0000"/>
        <condense val="0"/>
        <extend val="0"/>
      </font>
      <border/>
    </dxf>
    <dxf>
      <font>
        <b/>
        <i/>
        <color rgb="FFFF0000"/>
        <condense val="0"/>
        <extend val="0"/>
      </font>
      <border/>
    </dxf>
    <dxf>
      <font>
        <b/>
        <i/>
        <color rgb="FFFF0000"/>
        <condense val="0"/>
        <extend val="0"/>
      </font>
      <border/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2" defaultPivotStyle="PivotStyleLight16">
    <tableStyle name="TableStyleMedium2 2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zoomScale="70" zoomScaleNormal="70" workbookViewId="0" topLeftCell="A1">
      <selection activeCell="M46" sqref="M46"/>
    </sheetView>
  </sheetViews>
  <sheetFormatPr defaultColWidth="9.140625" defaultRowHeight="15"/>
  <cols>
    <col min="1" max="1" width="5.28125" style="52" bestFit="1" customWidth="1"/>
    <col min="2" max="2" width="35.7109375" style="52" customWidth="1"/>
    <col min="3" max="3" width="2.8515625" style="52" hidden="1" customWidth="1"/>
    <col min="4" max="4" width="13.7109375" style="52" customWidth="1"/>
    <col min="5" max="5" width="13.421875" style="52" customWidth="1"/>
    <col min="6" max="6" width="13.8515625" style="52" customWidth="1"/>
    <col min="7" max="7" width="13.28125" style="52" customWidth="1"/>
    <col min="8" max="8" width="13.140625" style="52" customWidth="1"/>
    <col min="9" max="9" width="17.8515625" style="52" customWidth="1"/>
    <col min="10" max="10" width="13.8515625" style="52" customWidth="1"/>
    <col min="11" max="11" width="12.8515625" style="52" customWidth="1"/>
    <col min="12" max="12" width="13.7109375" style="52" customWidth="1"/>
    <col min="13" max="13" width="12.421875" style="52" customWidth="1"/>
    <col min="14" max="14" width="14.28125" style="52" customWidth="1"/>
    <col min="15" max="15" width="13.00390625" style="52" customWidth="1"/>
    <col min="16" max="16" width="13.8515625" style="52" customWidth="1"/>
    <col min="17" max="17" width="20.140625" style="52" bestFit="1" customWidth="1"/>
    <col min="18" max="16384" width="9.140625" style="52" customWidth="1"/>
  </cols>
  <sheetData>
    <row r="1" spans="1:21" ht="18.75">
      <c r="A1" s="1"/>
      <c r="B1" s="2" t="s">
        <v>21</v>
      </c>
      <c r="C1" s="2"/>
      <c r="D1" s="3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Q1" s="53" t="s">
        <v>20</v>
      </c>
      <c r="R1" s="51"/>
      <c r="S1" s="51"/>
      <c r="T1" s="51"/>
      <c r="U1" s="51"/>
    </row>
    <row r="2" spans="1:21" ht="15">
      <c r="A2" s="5" t="s">
        <v>108</v>
      </c>
      <c r="B2" s="6" t="s">
        <v>110</v>
      </c>
      <c r="C2" s="7"/>
      <c r="D2" s="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20.25">
      <c r="A3" s="8" t="s">
        <v>109</v>
      </c>
      <c r="C3" s="54"/>
      <c r="D3" s="55"/>
      <c r="E3" s="51"/>
      <c r="F3" s="56"/>
      <c r="G3" s="56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2:21" ht="15.75">
      <c r="B4" s="38" t="s">
        <v>22</v>
      </c>
      <c r="C4" s="38"/>
      <c r="D4" s="39"/>
      <c r="E4" s="39"/>
      <c r="F4" s="57">
        <v>2022</v>
      </c>
      <c r="G4" s="57">
        <v>2023</v>
      </c>
      <c r="H4" s="39" t="s">
        <v>23</v>
      </c>
      <c r="I4" s="39"/>
      <c r="J4" s="39"/>
      <c r="K4" s="39"/>
      <c r="L4" s="39" t="s">
        <v>24</v>
      </c>
      <c r="M4" s="39" t="s">
        <v>25</v>
      </c>
      <c r="N4" s="39" t="s">
        <v>24</v>
      </c>
      <c r="O4" s="39" t="s">
        <v>24</v>
      </c>
      <c r="P4" s="39" t="s">
        <v>24</v>
      </c>
      <c r="Q4" s="58"/>
      <c r="R4" s="58"/>
      <c r="S4" s="58"/>
      <c r="T4" s="58"/>
      <c r="U4" s="58"/>
    </row>
    <row r="5" spans="2:21" ht="15.75">
      <c r="B5" s="37"/>
      <c r="C5" s="37"/>
      <c r="D5" s="39"/>
      <c r="E5" s="39" t="s">
        <v>26</v>
      </c>
      <c r="F5" s="39" t="s">
        <v>27</v>
      </c>
      <c r="G5" s="39" t="s">
        <v>27</v>
      </c>
      <c r="H5" s="39" t="s">
        <v>27</v>
      </c>
      <c r="I5" s="39" t="s">
        <v>28</v>
      </c>
      <c r="J5" s="39" t="s">
        <v>29</v>
      </c>
      <c r="K5" s="39" t="s">
        <v>25</v>
      </c>
      <c r="L5" s="39" t="s">
        <v>30</v>
      </c>
      <c r="M5" s="39" t="s">
        <v>31</v>
      </c>
      <c r="N5" s="59" t="s">
        <v>32</v>
      </c>
      <c r="O5" s="39" t="s">
        <v>33</v>
      </c>
      <c r="P5" s="39" t="s">
        <v>34</v>
      </c>
      <c r="Q5" s="58"/>
      <c r="R5" s="58"/>
      <c r="S5" s="58"/>
      <c r="T5" s="58"/>
      <c r="U5" s="58"/>
    </row>
    <row r="6" spans="2:21" ht="15.75">
      <c r="B6" s="37"/>
      <c r="C6" s="37"/>
      <c r="D6" s="39" t="s">
        <v>35</v>
      </c>
      <c r="E6" s="39" t="s">
        <v>36</v>
      </c>
      <c r="F6" s="39" t="s">
        <v>37</v>
      </c>
      <c r="G6" s="39" t="s">
        <v>37</v>
      </c>
      <c r="H6" s="39" t="s">
        <v>37</v>
      </c>
      <c r="I6" s="39" t="s">
        <v>38</v>
      </c>
      <c r="J6" s="39" t="s">
        <v>39</v>
      </c>
      <c r="K6" s="39" t="s">
        <v>39</v>
      </c>
      <c r="L6" s="39" t="s">
        <v>40</v>
      </c>
      <c r="M6" s="39" t="s">
        <v>40</v>
      </c>
      <c r="N6" s="39" t="s">
        <v>41</v>
      </c>
      <c r="O6" s="39" t="s">
        <v>36</v>
      </c>
      <c r="P6" s="39" t="s">
        <v>38</v>
      </c>
      <c r="Q6" s="58"/>
      <c r="R6" s="58"/>
      <c r="S6" s="58"/>
      <c r="T6" s="58"/>
      <c r="U6" s="58"/>
    </row>
    <row r="7" spans="2:21" ht="15.75">
      <c r="B7" s="60"/>
      <c r="C7" s="60"/>
      <c r="D7" s="61" t="s">
        <v>42</v>
      </c>
      <c r="E7" s="61" t="s">
        <v>43</v>
      </c>
      <c r="F7" s="61" t="s">
        <v>44</v>
      </c>
      <c r="G7" s="61" t="s">
        <v>45</v>
      </c>
      <c r="H7" s="61" t="s">
        <v>46</v>
      </c>
      <c r="I7" s="61" t="s">
        <v>47</v>
      </c>
      <c r="J7" s="61" t="s">
        <v>48</v>
      </c>
      <c r="K7" s="61" t="s">
        <v>49</v>
      </c>
      <c r="L7" s="61" t="s">
        <v>50</v>
      </c>
      <c r="M7" s="61" t="s">
        <v>51</v>
      </c>
      <c r="N7" s="61" t="s">
        <v>52</v>
      </c>
      <c r="O7" s="61" t="s">
        <v>53</v>
      </c>
      <c r="P7" s="61" t="s">
        <v>54</v>
      </c>
      <c r="Q7" s="58"/>
      <c r="R7" s="58"/>
      <c r="S7" s="58"/>
      <c r="T7" s="58"/>
      <c r="U7" s="58"/>
    </row>
    <row r="8" spans="2:21" ht="15.75">
      <c r="B8" s="37" t="s">
        <v>6</v>
      </c>
      <c r="C8" s="37">
        <v>1</v>
      </c>
      <c r="D8" s="37">
        <v>62.93</v>
      </c>
      <c r="E8" s="62">
        <v>49.542532</v>
      </c>
      <c r="F8" s="63">
        <v>3971.45988</v>
      </c>
      <c r="G8" s="63">
        <v>3971.45988</v>
      </c>
      <c r="H8" s="63">
        <f>MAX(AVERAGE(F8:G8),0.0001)</f>
        <v>3971.45988</v>
      </c>
      <c r="I8" s="64">
        <f>MAX((D8-E8)*H8,0)</f>
        <v>53167.79205678383</v>
      </c>
      <c r="J8" s="37"/>
      <c r="K8" s="37"/>
      <c r="L8" s="64">
        <f aca="true" t="shared" si="0" ref="L8:L16">$L$17*(I8/$I$17)</f>
        <v>35222.45533288469</v>
      </c>
      <c r="M8" s="65">
        <f aca="true" t="shared" si="1" ref="M8:M13">$M$17*(I8/$I$19)</f>
        <v>0</v>
      </c>
      <c r="N8" s="62">
        <f aca="true" t="shared" si="2" ref="N8:N16">IF(H8=0,0,(L8+M8)/H8)</f>
        <v>8.868893655520118</v>
      </c>
      <c r="O8" s="62">
        <f aca="true" t="shared" si="3" ref="O8:O16">E8+N8</f>
        <v>58.41142565552012</v>
      </c>
      <c r="P8" s="64">
        <f>MAX((D8-O8)*H8,0)</f>
        <v>17945.336723899145</v>
      </c>
      <c r="Q8" s="58"/>
      <c r="R8" s="58"/>
      <c r="S8" s="58"/>
      <c r="T8" s="58"/>
      <c r="U8" s="58"/>
    </row>
    <row r="9" spans="2:21" ht="15.75">
      <c r="B9" s="37" t="s">
        <v>7</v>
      </c>
      <c r="C9" s="37">
        <v>1</v>
      </c>
      <c r="D9" s="37">
        <v>58.17</v>
      </c>
      <c r="E9" s="62">
        <v>49.542532</v>
      </c>
      <c r="F9" s="63">
        <v>6857.07396</v>
      </c>
      <c r="G9" s="63">
        <v>6857.07396</v>
      </c>
      <c r="H9" s="63">
        <f aca="true" t="shared" si="4" ref="H9:H13">MAX(AVERAGE(F9:G9),0.0001)</f>
        <v>6857.07396</v>
      </c>
      <c r="I9" s="64">
        <f aca="true" t="shared" si="5" ref="I9:I16">MAX((D9-E9)*H9,0)</f>
        <v>59159.18616353328</v>
      </c>
      <c r="J9" s="37"/>
      <c r="K9" s="37"/>
      <c r="L9" s="64">
        <f t="shared" si="0"/>
        <v>39191.617924427075</v>
      </c>
      <c r="M9" s="65">
        <f t="shared" si="1"/>
        <v>0</v>
      </c>
      <c r="N9" s="62">
        <f t="shared" si="2"/>
        <v>5.715501707149018</v>
      </c>
      <c r="O9" s="62">
        <f t="shared" si="3"/>
        <v>55.25803370714902</v>
      </c>
      <c r="P9" s="64">
        <f aca="true" t="shared" si="6" ref="P9:P16">MAX((D9-O9)*H9,0)</f>
        <v>19967.568239106215</v>
      </c>
      <c r="Q9" s="58"/>
      <c r="R9" s="58"/>
      <c r="S9" s="58"/>
      <c r="T9" s="58"/>
      <c r="U9" s="58"/>
    </row>
    <row r="10" spans="2:21" ht="15.75">
      <c r="B10" s="37" t="s">
        <v>8</v>
      </c>
      <c r="C10" s="37">
        <v>1</v>
      </c>
      <c r="D10" s="37">
        <v>68.34</v>
      </c>
      <c r="E10" s="62">
        <v>49.542532</v>
      </c>
      <c r="F10" s="63">
        <v>714.12396</v>
      </c>
      <c r="G10" s="63">
        <v>714.12396</v>
      </c>
      <c r="H10" s="63">
        <f t="shared" si="4"/>
        <v>714.12396</v>
      </c>
      <c r="I10" s="64">
        <f t="shared" si="5"/>
        <v>13423.722286133281</v>
      </c>
      <c r="J10" s="37"/>
      <c r="K10" s="37"/>
      <c r="L10" s="64">
        <f t="shared" si="0"/>
        <v>8892.91129711395</v>
      </c>
      <c r="M10" s="65">
        <f t="shared" si="1"/>
        <v>0</v>
      </c>
      <c r="N10" s="62">
        <f t="shared" si="2"/>
        <v>12.452895848941896</v>
      </c>
      <c r="O10" s="62">
        <f t="shared" si="3"/>
        <v>61.9954278489419</v>
      </c>
      <c r="P10" s="64">
        <f t="shared" si="6"/>
        <v>4530.81098901933</v>
      </c>
      <c r="Q10" s="58"/>
      <c r="R10" s="58"/>
      <c r="S10" s="58"/>
      <c r="T10" s="58"/>
      <c r="U10" s="58"/>
    </row>
    <row r="11" spans="2:21" ht="15.75">
      <c r="B11" s="37" t="s">
        <v>9</v>
      </c>
      <c r="C11" s="37">
        <v>1</v>
      </c>
      <c r="D11" s="37">
        <v>77.61</v>
      </c>
      <c r="E11" s="62">
        <v>49.542532</v>
      </c>
      <c r="F11" s="63">
        <v>9147.156959999998</v>
      </c>
      <c r="G11" s="63">
        <v>9147.156959999998</v>
      </c>
      <c r="H11" s="63">
        <f t="shared" si="4"/>
        <v>9147.156959999998</v>
      </c>
      <c r="I11" s="64">
        <f t="shared" si="5"/>
        <v>256737.53526577723</v>
      </c>
      <c r="J11" s="37"/>
      <c r="K11" s="37"/>
      <c r="L11" s="64">
        <f t="shared" si="0"/>
        <v>170082.78919154275</v>
      </c>
      <c r="M11" s="65">
        <f t="shared" si="1"/>
        <v>0</v>
      </c>
      <c r="N11" s="62">
        <f t="shared" si="2"/>
        <v>18.594060420664604</v>
      </c>
      <c r="O11" s="62">
        <f t="shared" si="3"/>
        <v>68.13659242066461</v>
      </c>
      <c r="P11" s="64">
        <f t="shared" si="6"/>
        <v>86654.74607423443</v>
      </c>
      <c r="Q11" s="58"/>
      <c r="R11" s="58"/>
      <c r="S11" s="58"/>
      <c r="T11" s="58"/>
      <c r="U11" s="58"/>
    </row>
    <row r="12" spans="2:21" ht="15.75">
      <c r="B12" s="37" t="s">
        <v>10</v>
      </c>
      <c r="C12" s="37">
        <v>1</v>
      </c>
      <c r="D12" s="37">
        <v>70.09</v>
      </c>
      <c r="E12" s="62">
        <v>49.542532</v>
      </c>
      <c r="F12" s="66">
        <v>8412.78864</v>
      </c>
      <c r="G12" s="66">
        <v>8412.78864</v>
      </c>
      <c r="H12" s="66">
        <f t="shared" si="4"/>
        <v>8412.78864</v>
      </c>
      <c r="I12" s="64">
        <f t="shared" si="5"/>
        <v>172861.50537116354</v>
      </c>
      <c r="J12" s="37"/>
      <c r="K12" s="37"/>
      <c r="L12" s="64">
        <f t="shared" si="0"/>
        <v>114516.8233657006</v>
      </c>
      <c r="M12" s="65">
        <f t="shared" si="1"/>
        <v>0</v>
      </c>
      <c r="N12" s="62">
        <f t="shared" si="2"/>
        <v>13.61223112407833</v>
      </c>
      <c r="O12" s="62">
        <f t="shared" si="3"/>
        <v>63.15476312407833</v>
      </c>
      <c r="P12" s="64">
        <f t="shared" si="6"/>
        <v>58344.68200546296</v>
      </c>
      <c r="Q12" s="58"/>
      <c r="R12" s="58"/>
      <c r="S12" s="58"/>
      <c r="T12" s="58"/>
      <c r="U12" s="58"/>
    </row>
    <row r="13" spans="2:21" ht="15.75">
      <c r="B13" s="37" t="s">
        <v>11</v>
      </c>
      <c r="C13" s="37">
        <v>1</v>
      </c>
      <c r="D13" s="37">
        <v>67.28</v>
      </c>
      <c r="E13" s="62">
        <v>49.542532</v>
      </c>
      <c r="F13" s="63">
        <v>11952.44184</v>
      </c>
      <c r="G13" s="63">
        <v>11952.44184</v>
      </c>
      <c r="H13" s="63">
        <f t="shared" si="4"/>
        <v>11952.44184</v>
      </c>
      <c r="I13" s="64">
        <f t="shared" si="5"/>
        <v>212006.0546588611</v>
      </c>
      <c r="J13" s="37"/>
      <c r="K13" s="37"/>
      <c r="L13" s="64">
        <f t="shared" si="0"/>
        <v>140449.19869058323</v>
      </c>
      <c r="M13" s="65">
        <f t="shared" si="1"/>
        <v>0</v>
      </c>
      <c r="N13" s="62">
        <f t="shared" si="2"/>
        <v>11.750669910859255</v>
      </c>
      <c r="O13" s="62">
        <f t="shared" si="3"/>
        <v>61.29320191085925</v>
      </c>
      <c r="P13" s="64">
        <f t="shared" si="6"/>
        <v>71556.85596827793</v>
      </c>
      <c r="Q13" s="58"/>
      <c r="R13" s="58"/>
      <c r="S13" s="58"/>
      <c r="T13" s="58"/>
      <c r="U13" s="58"/>
    </row>
    <row r="14" spans="2:21" ht="15.75">
      <c r="B14" s="67" t="s">
        <v>12</v>
      </c>
      <c r="C14" s="67">
        <v>0</v>
      </c>
      <c r="D14" s="67">
        <v>0</v>
      </c>
      <c r="E14" s="68">
        <v>0</v>
      </c>
      <c r="F14" s="69">
        <v>0</v>
      </c>
      <c r="G14" s="69">
        <v>0</v>
      </c>
      <c r="H14" s="69">
        <f aca="true" t="shared" si="7" ref="H14:H16">AVERAGE(F14:G14)</f>
        <v>0</v>
      </c>
      <c r="I14" s="70">
        <f t="shared" si="5"/>
        <v>0</v>
      </c>
      <c r="J14" s="67"/>
      <c r="K14" s="67"/>
      <c r="L14" s="70">
        <f t="shared" si="0"/>
        <v>0</v>
      </c>
      <c r="M14" s="67"/>
      <c r="N14" s="68">
        <f t="shared" si="2"/>
        <v>0</v>
      </c>
      <c r="O14" s="68">
        <f t="shared" si="3"/>
        <v>0</v>
      </c>
      <c r="P14" s="70">
        <f t="shared" si="6"/>
        <v>0</v>
      </c>
      <c r="Q14" s="58"/>
      <c r="R14" s="58"/>
      <c r="S14" s="58"/>
      <c r="T14" s="58"/>
      <c r="U14" s="58"/>
    </row>
    <row r="15" spans="2:21" ht="15.75">
      <c r="B15" s="37" t="s">
        <v>13</v>
      </c>
      <c r="C15" s="37">
        <v>0</v>
      </c>
      <c r="D15" s="37">
        <v>0</v>
      </c>
      <c r="E15" s="71">
        <v>0</v>
      </c>
      <c r="F15" s="63">
        <v>0</v>
      </c>
      <c r="G15" s="63">
        <v>0</v>
      </c>
      <c r="H15" s="63">
        <f t="shared" si="7"/>
        <v>0</v>
      </c>
      <c r="I15" s="65">
        <f t="shared" si="5"/>
        <v>0</v>
      </c>
      <c r="J15" s="37"/>
      <c r="K15" s="37"/>
      <c r="L15" s="65">
        <f t="shared" si="0"/>
        <v>0</v>
      </c>
      <c r="M15" s="37"/>
      <c r="N15" s="71">
        <f t="shared" si="2"/>
        <v>0</v>
      </c>
      <c r="O15" s="71">
        <f t="shared" si="3"/>
        <v>0</v>
      </c>
      <c r="P15" s="65">
        <f t="shared" si="6"/>
        <v>0</v>
      </c>
      <c r="Q15" s="58"/>
      <c r="R15" s="58"/>
      <c r="S15" s="58"/>
      <c r="T15" s="58"/>
      <c r="U15" s="58"/>
    </row>
    <row r="16" spans="2:21" ht="15.75">
      <c r="B16" s="37" t="s">
        <v>14</v>
      </c>
      <c r="C16" s="37">
        <v>1</v>
      </c>
      <c r="D16" s="71">
        <v>55.83</v>
      </c>
      <c r="E16" s="62">
        <v>49.717416</v>
      </c>
      <c r="F16" s="63">
        <v>3714.568610287463</v>
      </c>
      <c r="G16" s="63">
        <v>3730.5686399999995</v>
      </c>
      <c r="H16" s="63">
        <f t="shared" si="7"/>
        <v>3722.568625143731</v>
      </c>
      <c r="I16" s="64">
        <f t="shared" si="5"/>
        <v>22754.51341695556</v>
      </c>
      <c r="J16" s="37"/>
      <c r="K16" s="37"/>
      <c r="L16" s="64">
        <f t="shared" si="0"/>
        <v>15074.34861305249</v>
      </c>
      <c r="M16" s="37"/>
      <c r="N16" s="62">
        <f t="shared" si="2"/>
        <v>4.049448144819751</v>
      </c>
      <c r="O16" s="62">
        <f t="shared" si="3"/>
        <v>53.76686414481975</v>
      </c>
      <c r="P16" s="64">
        <f t="shared" si="6"/>
        <v>7680.164803903076</v>
      </c>
      <c r="Q16" s="58"/>
      <c r="R16" s="58"/>
      <c r="S16" s="58"/>
      <c r="T16" s="58"/>
      <c r="U16" s="58"/>
    </row>
    <row r="17" spans="2:21" ht="15.75">
      <c r="B17" s="72" t="s">
        <v>55</v>
      </c>
      <c r="C17" s="72"/>
      <c r="D17" s="72"/>
      <c r="E17" s="72"/>
      <c r="F17" s="73">
        <f>SUM(F8:F16)</f>
        <v>44769.61385028746</v>
      </c>
      <c r="G17" s="73">
        <f>SUM(G8:G16)</f>
        <v>44785.61388</v>
      </c>
      <c r="H17" s="73">
        <f>SUM(H8:H16)</f>
        <v>44777.61386514373</v>
      </c>
      <c r="I17" s="74">
        <f>SUM(I8:I16)</f>
        <v>790110.309219208</v>
      </c>
      <c r="J17" s="75">
        <v>259000</v>
      </c>
      <c r="K17" s="75">
        <v>0</v>
      </c>
      <c r="L17" s="74">
        <f>SUM(L19:L20)</f>
        <v>523430.1444153049</v>
      </c>
      <c r="M17" s="75">
        <f>K17</f>
        <v>0</v>
      </c>
      <c r="N17" s="72"/>
      <c r="O17" s="72"/>
      <c r="P17" s="74">
        <f>SUM(P8:P16)</f>
        <v>266680.1648039031</v>
      </c>
      <c r="Q17" s="58"/>
      <c r="R17" s="58"/>
      <c r="S17" s="58"/>
      <c r="T17" s="58"/>
      <c r="U17" s="58"/>
    </row>
    <row r="18" spans="2:21" ht="15.7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</row>
    <row r="19" spans="2:21" ht="15.75">
      <c r="B19" s="76" t="s">
        <v>56</v>
      </c>
      <c r="C19" s="77">
        <f>C66</f>
        <v>2</v>
      </c>
      <c r="D19" s="78" t="s">
        <v>57</v>
      </c>
      <c r="E19" s="79">
        <f>(L33-J17)*1000</f>
        <v>-947.531199984951</v>
      </c>
      <c r="F19" s="37"/>
      <c r="G19" s="37"/>
      <c r="H19" s="80" t="s">
        <v>58</v>
      </c>
      <c r="I19" s="81">
        <f>SUM(I8:I13)</f>
        <v>767355.7958022524</v>
      </c>
      <c r="J19" s="75">
        <f>J17</f>
        <v>259000</v>
      </c>
      <c r="K19" s="75">
        <f>J19+K17</f>
        <v>259000</v>
      </c>
      <c r="L19" s="82">
        <f>I19-K19</f>
        <v>508355.79580225237</v>
      </c>
      <c r="M19" s="37" t="s">
        <v>59</v>
      </c>
      <c r="N19" s="37"/>
      <c r="O19" s="37" t="s">
        <v>60</v>
      </c>
      <c r="P19" s="42">
        <f>SUM(P8:P13)</f>
        <v>259000</v>
      </c>
      <c r="Q19" s="58"/>
      <c r="R19" s="58"/>
      <c r="S19" s="58"/>
      <c r="T19" s="58"/>
      <c r="U19" s="58"/>
    </row>
    <row r="20" spans="2:21" ht="15.75">
      <c r="B20" s="37"/>
      <c r="C20" s="37"/>
      <c r="D20" s="37"/>
      <c r="E20" s="37"/>
      <c r="F20" s="37"/>
      <c r="G20" s="37"/>
      <c r="H20" s="80" t="s">
        <v>61</v>
      </c>
      <c r="I20" s="83">
        <f>SUM(I14:I16)</f>
        <v>22754.51341695556</v>
      </c>
      <c r="J20" s="84"/>
      <c r="K20" s="85">
        <f>I20*(K19/I19)</f>
        <v>7680.16480390307</v>
      </c>
      <c r="L20" s="86">
        <f>I20-K20</f>
        <v>15074.34861305249</v>
      </c>
      <c r="M20" s="37" t="s">
        <v>62</v>
      </c>
      <c r="N20" s="37"/>
      <c r="O20" s="37" t="s">
        <v>63</v>
      </c>
      <c r="P20" s="50">
        <f>SUM(P14:P16)</f>
        <v>7680.164803903076</v>
      </c>
      <c r="Q20" s="58"/>
      <c r="R20" s="58"/>
      <c r="S20" s="58"/>
      <c r="T20" s="58"/>
      <c r="U20" s="58"/>
    </row>
    <row r="21" spans="2:21" ht="15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58"/>
      <c r="Q21" s="58"/>
      <c r="R21" s="58"/>
      <c r="S21" s="58"/>
      <c r="T21" s="58"/>
      <c r="U21" s="58"/>
    </row>
    <row r="22" spans="2:21" ht="15.75">
      <c r="B22" s="38" t="s">
        <v>64</v>
      </c>
      <c r="C22" s="38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58"/>
      <c r="Q22" s="58"/>
      <c r="R22" s="58"/>
      <c r="S22" s="58"/>
      <c r="T22" s="58"/>
      <c r="U22" s="58"/>
    </row>
    <row r="23" spans="2:21" ht="15.75">
      <c r="B23" s="37"/>
      <c r="C23" s="37"/>
      <c r="D23" s="59" t="s">
        <v>24</v>
      </c>
      <c r="E23" s="87"/>
      <c r="F23" s="87"/>
      <c r="G23" s="87"/>
      <c r="H23" s="59" t="s">
        <v>65</v>
      </c>
      <c r="I23" s="59" t="s">
        <v>65</v>
      </c>
      <c r="J23" s="59" t="s">
        <v>65</v>
      </c>
      <c r="K23" s="59"/>
      <c r="L23" s="59" t="s">
        <v>65</v>
      </c>
      <c r="M23" s="87"/>
      <c r="N23" s="87"/>
      <c r="O23" s="57">
        <v>2022</v>
      </c>
      <c r="P23" s="57">
        <v>2023</v>
      </c>
      <c r="Q23" s="58"/>
      <c r="R23" s="58"/>
      <c r="S23" s="58"/>
      <c r="T23" s="58"/>
      <c r="U23" s="58"/>
    </row>
    <row r="24" spans="2:21" ht="15.75">
      <c r="B24" s="37"/>
      <c r="C24" s="37"/>
      <c r="D24" s="59" t="s">
        <v>34</v>
      </c>
      <c r="E24" s="59" t="s">
        <v>66</v>
      </c>
      <c r="F24" s="59" t="s">
        <v>67</v>
      </c>
      <c r="G24" s="59" t="s">
        <v>68</v>
      </c>
      <c r="H24" s="59" t="s">
        <v>30</v>
      </c>
      <c r="I24" s="59" t="s">
        <v>32</v>
      </c>
      <c r="J24" s="59" t="s">
        <v>33</v>
      </c>
      <c r="K24" s="59"/>
      <c r="L24" s="59" t="s">
        <v>34</v>
      </c>
      <c r="M24" s="87"/>
      <c r="N24" s="87"/>
      <c r="O24" s="59" t="s">
        <v>34</v>
      </c>
      <c r="P24" s="59" t="s">
        <v>34</v>
      </c>
      <c r="Q24" s="58"/>
      <c r="R24" s="58"/>
      <c r="S24" s="58"/>
      <c r="T24" s="58"/>
      <c r="U24" s="58"/>
    </row>
    <row r="25" spans="2:21" ht="15.75">
      <c r="B25" s="37"/>
      <c r="C25" s="37"/>
      <c r="D25" s="59" t="s">
        <v>38</v>
      </c>
      <c r="E25" s="59" t="s">
        <v>69</v>
      </c>
      <c r="F25" s="59" t="s">
        <v>69</v>
      </c>
      <c r="G25" s="59" t="s">
        <v>38</v>
      </c>
      <c r="H25" s="59" t="s">
        <v>40</v>
      </c>
      <c r="I25" s="59" t="s">
        <v>41</v>
      </c>
      <c r="J25" s="59" t="s">
        <v>36</v>
      </c>
      <c r="K25" s="59"/>
      <c r="L25" s="59" t="s">
        <v>38</v>
      </c>
      <c r="M25" s="87"/>
      <c r="N25" s="87"/>
      <c r="O25" s="59" t="s">
        <v>38</v>
      </c>
      <c r="P25" s="59" t="s">
        <v>38</v>
      </c>
      <c r="Q25" s="58"/>
      <c r="R25" s="58"/>
      <c r="S25" s="58"/>
      <c r="T25" s="58"/>
      <c r="U25" s="58"/>
    </row>
    <row r="26" spans="2:21" ht="15.75">
      <c r="B26" s="60"/>
      <c r="C26" s="60"/>
      <c r="D26" s="88" t="s">
        <v>70</v>
      </c>
      <c r="E26" s="88" t="s">
        <v>71</v>
      </c>
      <c r="F26" s="88" t="s">
        <v>72</v>
      </c>
      <c r="G26" s="88" t="s">
        <v>73</v>
      </c>
      <c r="H26" s="88" t="s">
        <v>74</v>
      </c>
      <c r="I26" s="88" t="s">
        <v>75</v>
      </c>
      <c r="J26" s="88" t="s">
        <v>76</v>
      </c>
      <c r="K26" s="88"/>
      <c r="L26" s="88" t="s">
        <v>77</v>
      </c>
      <c r="M26" s="87"/>
      <c r="N26" s="87"/>
      <c r="O26" s="88" t="s">
        <v>78</v>
      </c>
      <c r="P26" s="88" t="s">
        <v>79</v>
      </c>
      <c r="Q26" s="58"/>
      <c r="R26" s="58"/>
      <c r="S26" s="58"/>
      <c r="T26" s="58"/>
      <c r="U26" s="58"/>
    </row>
    <row r="27" spans="2:21" ht="15.75">
      <c r="B27" s="37" t="str">
        <f aca="true" t="shared" si="8" ref="B27:B32">B8</f>
        <v>Avista Corporation</v>
      </c>
      <c r="C27" s="37"/>
      <c r="D27" s="64">
        <f aca="true" t="shared" si="9" ref="D27:D32">P8</f>
        <v>17945.336723899145</v>
      </c>
      <c r="E27" s="65">
        <v>2004.778</v>
      </c>
      <c r="F27" s="42">
        <f>J41</f>
        <v>0</v>
      </c>
      <c r="G27" s="50">
        <f aca="true" t="shared" si="10" ref="G27:G32">D27-E27+F27</f>
        <v>15940.558723899145</v>
      </c>
      <c r="H27" s="50">
        <f aca="true" t="shared" si="11" ref="H27:H32">I8-G27</f>
        <v>37227.23333288469</v>
      </c>
      <c r="I27" s="62">
        <f aca="true" t="shared" si="12" ref="I27:I32">H27/H8</f>
        <v>9.373689891809933</v>
      </c>
      <c r="J27" s="89">
        <f aca="true" t="shared" si="13" ref="J27:J32">ROUND(E8+I27,$C$19)</f>
        <v>58.92</v>
      </c>
      <c r="K27" s="37"/>
      <c r="L27" s="50">
        <f aca="true" t="shared" si="14" ref="L27:L32">MAX((D8-J27)*H8,0)</f>
        <v>15925.554118799992</v>
      </c>
      <c r="M27" s="37"/>
      <c r="N27" s="37" t="s">
        <v>80</v>
      </c>
      <c r="O27" s="50">
        <f aca="true" t="shared" si="15" ref="O27:O32">MAX((D8-J27)*F8,0)</f>
        <v>15925.554118799992</v>
      </c>
      <c r="P27" s="50">
        <f aca="true" t="shared" si="16" ref="P27:P32">MAX((D8-J27)*G8,0)</f>
        <v>15925.554118799992</v>
      </c>
      <c r="Q27" s="58"/>
      <c r="R27" s="58"/>
      <c r="S27" s="58"/>
      <c r="T27" s="58"/>
      <c r="U27" s="58"/>
    </row>
    <row r="28" spans="2:21" ht="15.75">
      <c r="B28" s="37" t="str">
        <f t="shared" si="8"/>
        <v>Idaho Power Company</v>
      </c>
      <c r="C28" s="37"/>
      <c r="D28" s="64">
        <f t="shared" si="9"/>
        <v>19967.568239106215</v>
      </c>
      <c r="E28" s="65">
        <v>0</v>
      </c>
      <c r="F28" s="42">
        <f aca="true" t="shared" si="17" ref="F28:F32">J42</f>
        <v>0</v>
      </c>
      <c r="G28" s="50">
        <f t="shared" si="10"/>
        <v>19967.568239106215</v>
      </c>
      <c r="H28" s="50">
        <f t="shared" si="11"/>
        <v>39191.61792442707</v>
      </c>
      <c r="I28" s="62">
        <f t="shared" si="12"/>
        <v>5.715501707149017</v>
      </c>
      <c r="J28" s="89">
        <f t="shared" si="13"/>
        <v>55.26</v>
      </c>
      <c r="K28" s="37"/>
      <c r="L28" s="50">
        <f t="shared" si="14"/>
        <v>19954.085223600025</v>
      </c>
      <c r="M28" s="37"/>
      <c r="N28" s="37" t="s">
        <v>81</v>
      </c>
      <c r="O28" s="50">
        <f t="shared" si="15"/>
        <v>19954.085223600025</v>
      </c>
      <c r="P28" s="50">
        <f t="shared" si="16"/>
        <v>19954.085223600025</v>
      </c>
      <c r="Q28" s="58"/>
      <c r="R28" s="58"/>
      <c r="S28" s="58"/>
      <c r="T28" s="58"/>
      <c r="U28" s="58"/>
    </row>
    <row r="29" spans="2:21" ht="15.75">
      <c r="B29" s="37" t="str">
        <f t="shared" si="8"/>
        <v>NorthWestern Energy, LLC</v>
      </c>
      <c r="C29" s="37"/>
      <c r="D29" s="64">
        <f t="shared" si="9"/>
        <v>4530.81098901933</v>
      </c>
      <c r="E29" s="65">
        <v>0</v>
      </c>
      <c r="F29" s="50">
        <f t="shared" si="17"/>
        <v>67.56759264438953</v>
      </c>
      <c r="G29" s="50">
        <f t="shared" si="10"/>
        <v>4598.378581663719</v>
      </c>
      <c r="H29" s="50">
        <f t="shared" si="11"/>
        <v>8825.343704469562</v>
      </c>
      <c r="I29" s="62">
        <f t="shared" si="12"/>
        <v>12.35827979286616</v>
      </c>
      <c r="J29" s="89">
        <f t="shared" si="13"/>
        <v>61.9</v>
      </c>
      <c r="K29" s="37"/>
      <c r="L29" s="50">
        <f t="shared" si="14"/>
        <v>4598.958302400004</v>
      </c>
      <c r="M29" s="37"/>
      <c r="N29" s="37" t="s">
        <v>82</v>
      </c>
      <c r="O29" s="50">
        <f t="shared" si="15"/>
        <v>4598.958302400004</v>
      </c>
      <c r="P29" s="50">
        <f t="shared" si="16"/>
        <v>4598.958302400004</v>
      </c>
      <c r="Q29" s="58"/>
      <c r="R29" s="58"/>
      <c r="S29" s="58"/>
      <c r="T29" s="58"/>
      <c r="U29" s="58"/>
    </row>
    <row r="30" spans="2:21" ht="15.75">
      <c r="B30" s="37" t="str">
        <f t="shared" si="8"/>
        <v>PacifiCorp</v>
      </c>
      <c r="C30" s="37"/>
      <c r="D30" s="64">
        <f t="shared" si="9"/>
        <v>86654.74607423443</v>
      </c>
      <c r="E30" s="65">
        <v>0</v>
      </c>
      <c r="F30" s="42">
        <f t="shared" si="17"/>
        <v>0</v>
      </c>
      <c r="G30" s="50">
        <f t="shared" si="10"/>
        <v>86654.74607423443</v>
      </c>
      <c r="H30" s="50">
        <f t="shared" si="11"/>
        <v>170082.7891915428</v>
      </c>
      <c r="I30" s="62">
        <f t="shared" si="12"/>
        <v>18.59406042066461</v>
      </c>
      <c r="J30" s="89">
        <f t="shared" si="13"/>
        <v>68.14</v>
      </c>
      <c r="K30" s="37"/>
      <c r="L30" s="50">
        <f t="shared" si="14"/>
        <v>86623.57641119997</v>
      </c>
      <c r="M30" s="37"/>
      <c r="N30" s="37" t="s">
        <v>9</v>
      </c>
      <c r="O30" s="50">
        <f t="shared" si="15"/>
        <v>86623.57641119997</v>
      </c>
      <c r="P30" s="50">
        <f t="shared" si="16"/>
        <v>86623.57641119997</v>
      </c>
      <c r="Q30" s="58"/>
      <c r="R30" s="58"/>
      <c r="S30" s="58"/>
      <c r="T30" s="58"/>
      <c r="U30" s="58"/>
    </row>
    <row r="31" spans="2:21" ht="15.75">
      <c r="B31" s="37" t="str">
        <f t="shared" si="8"/>
        <v>Portland General Electric Company</v>
      </c>
      <c r="C31" s="37"/>
      <c r="D31" s="64">
        <f t="shared" si="9"/>
        <v>58344.68200546296</v>
      </c>
      <c r="E31" s="65">
        <f>MIN(D31,0)</f>
        <v>0</v>
      </c>
      <c r="F31" s="50">
        <f t="shared" si="17"/>
        <v>870.0891995419194</v>
      </c>
      <c r="G31" s="50">
        <f t="shared" si="10"/>
        <v>59214.77120500488</v>
      </c>
      <c r="H31" s="50">
        <f t="shared" si="11"/>
        <v>113646.73416615865</v>
      </c>
      <c r="I31" s="62">
        <f t="shared" si="12"/>
        <v>13.508806536016653</v>
      </c>
      <c r="J31" s="89">
        <f t="shared" si="13"/>
        <v>63.05</v>
      </c>
      <c r="K31" s="37"/>
      <c r="L31" s="50">
        <f t="shared" si="14"/>
        <v>59226.032025600056</v>
      </c>
      <c r="M31" s="37"/>
      <c r="N31" s="37" t="s">
        <v>83</v>
      </c>
      <c r="O31" s="50">
        <f t="shared" si="15"/>
        <v>59226.032025600056</v>
      </c>
      <c r="P31" s="50">
        <f t="shared" si="16"/>
        <v>59226.032025600056</v>
      </c>
      <c r="Q31" s="58"/>
      <c r="R31" s="58"/>
      <c r="S31" s="58"/>
      <c r="T31" s="58"/>
      <c r="U31" s="58"/>
    </row>
    <row r="32" spans="2:21" ht="15.75">
      <c r="B32" s="37" t="str">
        <f t="shared" si="8"/>
        <v>Puget Sound Energy, Inc.</v>
      </c>
      <c r="C32" s="37"/>
      <c r="D32" s="64">
        <f t="shared" si="9"/>
        <v>71556.85596827793</v>
      </c>
      <c r="E32" s="65">
        <f>MIN(D32,0)</f>
        <v>0</v>
      </c>
      <c r="F32" s="50">
        <f t="shared" si="17"/>
        <v>1067.1212078136912</v>
      </c>
      <c r="G32" s="50">
        <f t="shared" si="10"/>
        <v>72623.97717609162</v>
      </c>
      <c r="H32" s="50">
        <f t="shared" si="11"/>
        <v>139382.0774827695</v>
      </c>
      <c r="I32" s="62">
        <f t="shared" si="12"/>
        <v>11.661389308443562</v>
      </c>
      <c r="J32" s="89">
        <f t="shared" si="13"/>
        <v>61.2</v>
      </c>
      <c r="K32" s="37"/>
      <c r="L32" s="50">
        <f t="shared" si="14"/>
        <v>72670.84638719997</v>
      </c>
      <c r="M32" s="37"/>
      <c r="N32" s="37" t="s">
        <v>84</v>
      </c>
      <c r="O32" s="50">
        <f t="shared" si="15"/>
        <v>72670.84638719997</v>
      </c>
      <c r="P32" s="50">
        <f t="shared" si="16"/>
        <v>72670.84638719997</v>
      </c>
      <c r="Q32" s="58"/>
      <c r="R32" s="58"/>
      <c r="S32" s="58"/>
      <c r="T32" s="58"/>
      <c r="U32" s="58"/>
    </row>
    <row r="33" spans="2:21" ht="15.75">
      <c r="B33" s="37" t="s">
        <v>55</v>
      </c>
      <c r="C33" s="37"/>
      <c r="D33" s="90">
        <f>SUM(D27:D32)</f>
        <v>259000</v>
      </c>
      <c r="E33" s="90">
        <f>SUM(E27:E32)</f>
        <v>2004.778</v>
      </c>
      <c r="F33" s="90">
        <f>SUM(F27:F32)</f>
        <v>2004.778</v>
      </c>
      <c r="G33" s="74">
        <f>SUM(G27:G32)</f>
        <v>259000</v>
      </c>
      <c r="H33" s="74">
        <f>SUM(H27:H32)</f>
        <v>508355.79580225225</v>
      </c>
      <c r="I33" s="90"/>
      <c r="J33" s="90"/>
      <c r="K33" s="90"/>
      <c r="L33" s="74">
        <f>SUM(L27:L32)</f>
        <v>258999.05246880002</v>
      </c>
      <c r="M33" s="37"/>
      <c r="N33" s="37" t="s">
        <v>60</v>
      </c>
      <c r="O33" s="74">
        <f>SUM(O27:O32)</f>
        <v>258999.05246880002</v>
      </c>
      <c r="P33" s="74">
        <f>SUM(P27:P32)</f>
        <v>258999.05246880002</v>
      </c>
      <c r="Q33" s="58"/>
      <c r="R33" s="58"/>
      <c r="S33" s="58"/>
      <c r="T33" s="58"/>
      <c r="U33" s="58"/>
    </row>
    <row r="34" spans="2:21" ht="15.7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8"/>
      <c r="Q34" s="58"/>
      <c r="R34" s="58"/>
      <c r="S34" s="58"/>
      <c r="T34" s="58"/>
      <c r="U34" s="58"/>
    </row>
    <row r="35" spans="2:21" ht="15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 t="s">
        <v>85</v>
      </c>
      <c r="O35" s="42">
        <f>MAX((D14-O14)*F14,0)</f>
        <v>0</v>
      </c>
      <c r="P35" s="42">
        <f>MAX((D14-O14)*G14,0)</f>
        <v>0</v>
      </c>
      <c r="Q35" s="58"/>
      <c r="R35" s="58"/>
      <c r="S35" s="58"/>
      <c r="T35" s="58"/>
      <c r="U35" s="58"/>
    </row>
    <row r="36" spans="2:21" ht="15.7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 t="s">
        <v>13</v>
      </c>
      <c r="O36" s="42">
        <f>MAX((D15-O15)*F15,0)</f>
        <v>0</v>
      </c>
      <c r="P36" s="42">
        <f>MAX((D15-O15)*G15,0)</f>
        <v>0</v>
      </c>
      <c r="Q36" s="58"/>
      <c r="R36" s="58"/>
      <c r="S36" s="58"/>
      <c r="T36" s="58"/>
      <c r="U36" s="58"/>
    </row>
    <row r="37" spans="2:21" ht="15.75">
      <c r="B37" s="38" t="s">
        <v>86</v>
      </c>
      <c r="C37" s="3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 t="s">
        <v>87</v>
      </c>
      <c r="O37" s="50">
        <f>MAX((D16-O16)*F16,0)</f>
        <v>7663.659686411134</v>
      </c>
      <c r="P37" s="50">
        <f>MAX((D16-O16)*G16,0)</f>
        <v>7696.669921395019</v>
      </c>
      <c r="Q37" s="58"/>
      <c r="R37" s="58"/>
      <c r="S37" s="58"/>
      <c r="T37" s="58"/>
      <c r="U37" s="58"/>
    </row>
    <row r="38" spans="2:21" ht="15.75">
      <c r="B38" s="37"/>
      <c r="C38" s="37"/>
      <c r="D38" s="91" t="str">
        <f>LEFT(B8,6)</f>
        <v>Avista</v>
      </c>
      <c r="E38" s="91" t="str">
        <f>LEFT(B9,5)</f>
        <v>Idaho</v>
      </c>
      <c r="F38" s="91" t="str">
        <f>LEFT(B10,12)</f>
        <v>NorthWestern</v>
      </c>
      <c r="G38" s="91" t="str">
        <f>B11</f>
        <v>PacifiCorp</v>
      </c>
      <c r="H38" s="91" t="str">
        <f>LEFT(B12,8)</f>
        <v>Portland</v>
      </c>
      <c r="I38" s="91" t="str">
        <f>LEFT(B13,11)</f>
        <v>Puget Sound</v>
      </c>
      <c r="J38" s="40" t="s">
        <v>55</v>
      </c>
      <c r="K38" s="37"/>
      <c r="L38" s="37"/>
      <c r="M38" s="37"/>
      <c r="N38" s="37" t="s">
        <v>63</v>
      </c>
      <c r="O38" s="74">
        <f>SUM(O35:O37)</f>
        <v>7663.659686411134</v>
      </c>
      <c r="P38" s="74">
        <f>SUM(P35:P37)</f>
        <v>7696.669921395019</v>
      </c>
      <c r="Q38" s="58"/>
      <c r="R38" s="58"/>
      <c r="S38" s="58"/>
      <c r="T38" s="58"/>
      <c r="U38" s="58"/>
    </row>
    <row r="39" spans="2:21" ht="15.75">
      <c r="B39" s="37"/>
      <c r="C39" s="37"/>
      <c r="D39" s="65">
        <f>E27</f>
        <v>2004.778</v>
      </c>
      <c r="E39" s="65">
        <f>E28</f>
        <v>0</v>
      </c>
      <c r="F39" s="65">
        <f>E29</f>
        <v>0</v>
      </c>
      <c r="G39" s="65">
        <f>E30</f>
        <v>0</v>
      </c>
      <c r="H39" s="65">
        <f>E31</f>
        <v>0</v>
      </c>
      <c r="I39" s="65">
        <f>E32</f>
        <v>0</v>
      </c>
      <c r="J39" s="40"/>
      <c r="K39" s="37"/>
      <c r="L39" s="37"/>
      <c r="M39" s="37"/>
      <c r="N39" s="37" t="s">
        <v>88</v>
      </c>
      <c r="O39" s="50">
        <f>SUM(O33,O38)</f>
        <v>266662.71215521113</v>
      </c>
      <c r="P39" s="50">
        <f>SUM(P33,P38)</f>
        <v>266695.722390195</v>
      </c>
      <c r="Q39" s="58"/>
      <c r="R39" s="58"/>
      <c r="S39" s="58"/>
      <c r="T39" s="58"/>
      <c r="U39" s="58"/>
    </row>
    <row r="40" spans="2:21" ht="15.75">
      <c r="B40" s="37"/>
      <c r="C40" s="37"/>
      <c r="D40" s="92" t="s">
        <v>89</v>
      </c>
      <c r="E40" s="92" t="s">
        <v>90</v>
      </c>
      <c r="F40" s="92" t="s">
        <v>91</v>
      </c>
      <c r="G40" s="92" t="s">
        <v>92</v>
      </c>
      <c r="H40" s="92" t="s">
        <v>93</v>
      </c>
      <c r="I40" s="92" t="s">
        <v>94</v>
      </c>
      <c r="J40" s="92" t="s">
        <v>95</v>
      </c>
      <c r="K40" s="37"/>
      <c r="L40" s="37"/>
      <c r="M40" s="37"/>
      <c r="N40" s="37"/>
      <c r="O40" s="37"/>
      <c r="P40" s="58"/>
      <c r="Q40" s="58"/>
      <c r="R40" s="58"/>
      <c r="S40" s="58"/>
      <c r="T40" s="58"/>
      <c r="U40" s="58"/>
    </row>
    <row r="41" spans="2:21" ht="15.75">
      <c r="B41" s="37" t="str">
        <f aca="true" t="shared" si="18" ref="B41:B46">B8</f>
        <v>Avista Corporation</v>
      </c>
      <c r="C41" s="37"/>
      <c r="D41" s="65"/>
      <c r="E41" s="65">
        <f>E$39*0.92*($I8/SUM($I$8,$I$10:$I$13))+E$39*0.08*($I8/SUM($I$8,$I$11:$I$13))</f>
        <v>0</v>
      </c>
      <c r="F41" s="65">
        <f>F$39*($I8/SUM($I$8,$I$11:$I$13))</f>
        <v>0</v>
      </c>
      <c r="G41" s="65"/>
      <c r="H41" s="65"/>
      <c r="I41" s="65"/>
      <c r="J41" s="65">
        <f aca="true" t="shared" si="19" ref="J41:J46">SUM(D41:I41)</f>
        <v>0</v>
      </c>
      <c r="K41" s="37"/>
      <c r="L41" s="37"/>
      <c r="M41" s="37"/>
      <c r="N41" s="37" t="s">
        <v>96</v>
      </c>
      <c r="O41" s="42">
        <f>K17</f>
        <v>0</v>
      </c>
      <c r="P41" s="42">
        <f>K17</f>
        <v>0</v>
      </c>
      <c r="Q41" s="58"/>
      <c r="R41" s="58"/>
      <c r="S41" s="58"/>
      <c r="T41" s="58"/>
      <c r="U41" s="58"/>
    </row>
    <row r="42" spans="2:21" ht="15.75">
      <c r="B42" s="37" t="str">
        <f t="shared" si="18"/>
        <v>Idaho Power Company</v>
      </c>
      <c r="C42" s="37"/>
      <c r="D42" s="65"/>
      <c r="E42" s="65"/>
      <c r="F42" s="65"/>
      <c r="G42" s="65"/>
      <c r="H42" s="65"/>
      <c r="I42" s="65"/>
      <c r="J42" s="65">
        <f t="shared" si="19"/>
        <v>0</v>
      </c>
      <c r="K42" s="37"/>
      <c r="L42" s="37"/>
      <c r="M42" s="37"/>
      <c r="N42" s="37" t="s">
        <v>97</v>
      </c>
      <c r="O42" s="74">
        <f>O39+O41</f>
        <v>266662.71215521113</v>
      </c>
      <c r="P42" s="74">
        <f>P39+P41</f>
        <v>266695.722390195</v>
      </c>
      <c r="Q42" s="93"/>
      <c r="R42" s="58"/>
      <c r="S42" s="58"/>
      <c r="T42" s="58"/>
      <c r="U42" s="58"/>
    </row>
    <row r="43" spans="2:21" ht="15.75">
      <c r="B43" s="37" t="str">
        <f t="shared" si="18"/>
        <v>NorthWestern Energy, LLC</v>
      </c>
      <c r="C43" s="37"/>
      <c r="D43" s="64">
        <f>D$39*($I10/SUM($I$10,$I$12:$I$13))</f>
        <v>67.56759264438953</v>
      </c>
      <c r="E43" s="65">
        <f>E$39*0.92*($I10/SUM($I$8,$I$10:$I$13))</f>
        <v>0</v>
      </c>
      <c r="F43" s="65"/>
      <c r="G43" s="65">
        <f>G$39*($I10/SUM($I$10,$I$12:$I$13))</f>
        <v>0</v>
      </c>
      <c r="H43" s="65">
        <f>H$39*($I10/SUM($I$10,$I$13))</f>
        <v>0</v>
      </c>
      <c r="I43" s="65">
        <f>I39</f>
        <v>0</v>
      </c>
      <c r="J43" s="64">
        <f t="shared" si="19"/>
        <v>67.56759264438953</v>
      </c>
      <c r="K43" s="37"/>
      <c r="L43" s="37"/>
      <c r="M43" s="37"/>
      <c r="N43" s="37"/>
      <c r="O43" s="37"/>
      <c r="P43" s="58"/>
      <c r="Q43" s="93"/>
      <c r="R43" s="58"/>
      <c r="S43" s="58"/>
      <c r="T43" s="58"/>
      <c r="U43" s="58"/>
    </row>
    <row r="44" spans="2:21" ht="15.75">
      <c r="B44" s="37" t="str">
        <f t="shared" si="18"/>
        <v>PacifiCorp</v>
      </c>
      <c r="C44" s="37"/>
      <c r="D44" s="65"/>
      <c r="E44" s="65">
        <f>E$39*0.92*($I11/SUM($I$8,$I$10:$I$13))+E$39*0.08*($I11/SUM($I$8,$I$11:$I$13))</f>
        <v>0</v>
      </c>
      <c r="F44" s="65">
        <f>F$39*($I11/SUM($I$8,$I$11:$I$13))</f>
        <v>0</v>
      </c>
      <c r="G44" s="65"/>
      <c r="H44" s="65"/>
      <c r="I44" s="65"/>
      <c r="J44" s="65">
        <f t="shared" si="19"/>
        <v>0</v>
      </c>
      <c r="K44" s="37"/>
      <c r="L44" s="37"/>
      <c r="M44" s="37"/>
      <c r="N44" s="37"/>
      <c r="O44" s="37"/>
      <c r="P44" s="58"/>
      <c r="Q44" s="58"/>
      <c r="R44" s="58"/>
      <c r="S44" s="58"/>
      <c r="T44" s="58"/>
      <c r="U44" s="58"/>
    </row>
    <row r="45" spans="2:21" ht="15.75">
      <c r="B45" s="37" t="str">
        <f t="shared" si="18"/>
        <v>Portland General Electric Company</v>
      </c>
      <c r="C45" s="37"/>
      <c r="D45" s="64">
        <f>D$39*(I12/SUM($I$10,$I$12:$I$13))</f>
        <v>870.0891995419194</v>
      </c>
      <c r="E45" s="65">
        <f>E$39*0.92*($I12/SUM($I$8,$I$10:$I$13))+E$39*0.08*($I12/SUM($I$8,$I$11:$I$13))</f>
        <v>0</v>
      </c>
      <c r="F45" s="65">
        <f>F$39*($I12/SUM($I$8,$I$11:$I$13))</f>
        <v>0</v>
      </c>
      <c r="G45" s="65">
        <f>G$39*($I12/SUM($I$10,$I$12:$I$13))</f>
        <v>0</v>
      </c>
      <c r="H45" s="65"/>
      <c r="I45" s="65"/>
      <c r="J45" s="64">
        <f t="shared" si="19"/>
        <v>870.0891995419194</v>
      </c>
      <c r="K45" s="37"/>
      <c r="L45" s="37"/>
      <c r="M45" s="37"/>
      <c r="N45" s="37"/>
      <c r="O45" s="37"/>
      <c r="P45" s="58"/>
      <c r="Q45" s="58"/>
      <c r="R45" s="58"/>
      <c r="S45" s="58"/>
      <c r="T45" s="58"/>
      <c r="U45" s="58"/>
    </row>
    <row r="46" spans="2:21" ht="15.75">
      <c r="B46" s="37" t="str">
        <f t="shared" si="18"/>
        <v>Puget Sound Energy, Inc.</v>
      </c>
      <c r="C46" s="37"/>
      <c r="D46" s="94">
        <f>D$39*(I13/SUM($I$10,$I$12:$I$13))</f>
        <v>1067.1212078136912</v>
      </c>
      <c r="E46" s="95">
        <f>E$39*0.92*($I13/SUM($I$8,$I$10:$I$13))+E$39*0.08*($I13/SUM($I$8,$I$11:$I$13))</f>
        <v>0</v>
      </c>
      <c r="F46" s="95">
        <f>F$39*($I13/SUM($I$8,$I$11:$I$13))</f>
        <v>0</v>
      </c>
      <c r="G46" s="95">
        <f>G$39*($I13/SUM($I$10,$I$12:$I$13))</f>
        <v>0</v>
      </c>
      <c r="H46" s="95">
        <f>H$39*($I13/SUM($I$10,$I$13))</f>
        <v>0</v>
      </c>
      <c r="I46" s="95"/>
      <c r="J46" s="94">
        <f t="shared" si="19"/>
        <v>1067.1212078136912</v>
      </c>
      <c r="K46" s="37"/>
      <c r="L46" s="37"/>
      <c r="M46" s="37"/>
      <c r="N46" s="37"/>
      <c r="O46" s="37"/>
      <c r="P46" s="58"/>
      <c r="Q46" s="58"/>
      <c r="R46" s="58"/>
      <c r="S46" s="58"/>
      <c r="T46" s="58"/>
      <c r="U46" s="58"/>
    </row>
    <row r="47" spans="2:21" ht="15.75">
      <c r="B47" s="58"/>
      <c r="C47" s="58"/>
      <c r="D47" s="42">
        <f>SUM(D41:D46)</f>
        <v>2004.778</v>
      </c>
      <c r="E47" s="42">
        <f>SUM(E41:E46)</f>
        <v>0</v>
      </c>
      <c r="F47" s="42">
        <f aca="true" t="shared" si="20" ref="F47:I47">SUM(F41:F46)</f>
        <v>0</v>
      </c>
      <c r="G47" s="42">
        <f t="shared" si="20"/>
        <v>0</v>
      </c>
      <c r="H47" s="42">
        <f t="shared" si="20"/>
        <v>0</v>
      </c>
      <c r="I47" s="42">
        <f t="shared" si="20"/>
        <v>0</v>
      </c>
      <c r="J47" s="42">
        <f>SUM(J41:J46)</f>
        <v>2004.778</v>
      </c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54" ht="15">
      <c r="D54" s="52" t="s">
        <v>98</v>
      </c>
    </row>
    <row r="55" spans="2:11" ht="15">
      <c r="B55" s="96"/>
      <c r="C55" s="97"/>
      <c r="D55" s="97">
        <v>1</v>
      </c>
      <c r="E55" s="97">
        <v>2</v>
      </c>
      <c r="F55" s="97">
        <v>3</v>
      </c>
      <c r="G55" s="97">
        <v>4</v>
      </c>
      <c r="H55" s="97">
        <v>5</v>
      </c>
      <c r="I55" s="97">
        <v>6</v>
      </c>
      <c r="J55" s="97">
        <v>7</v>
      </c>
      <c r="K55" s="98">
        <v>8</v>
      </c>
    </row>
    <row r="56" spans="2:11" ht="15.75">
      <c r="B56" s="99" t="str">
        <f aca="true" t="shared" si="21" ref="B56:B61">B41</f>
        <v>Avista Corporation</v>
      </c>
      <c r="C56" s="100"/>
      <c r="D56" s="101">
        <f aca="true" t="shared" si="22" ref="D56:K61">($D8-ROUND($E8+$I27,D$55))*$H8</f>
        <v>16004.983316400005</v>
      </c>
      <c r="E56" s="101">
        <f t="shared" si="22"/>
        <v>15925.554118799992</v>
      </c>
      <c r="F56" s="101">
        <f t="shared" si="22"/>
        <v>15941.43995832001</v>
      </c>
      <c r="G56" s="101">
        <f t="shared" si="22"/>
        <v>15940.645666343984</v>
      </c>
      <c r="H56" s="101">
        <f t="shared" si="22"/>
        <v>15940.566237146388</v>
      </c>
      <c r="I56" s="101">
        <f t="shared" si="22"/>
        <v>15940.558294226648</v>
      </c>
      <c r="J56" s="101">
        <f t="shared" si="22"/>
        <v>15940.55869137264</v>
      </c>
      <c r="K56" s="102">
        <f t="shared" si="22"/>
        <v>15940.558731087214</v>
      </c>
    </row>
    <row r="57" spans="2:11" ht="15.75">
      <c r="B57" s="99" t="str">
        <f t="shared" si="21"/>
        <v>Idaho Power Company</v>
      </c>
      <c r="C57" s="100"/>
      <c r="D57" s="101">
        <f t="shared" si="22"/>
        <v>19679.80226520003</v>
      </c>
      <c r="E57" s="101">
        <f t="shared" si="22"/>
        <v>19954.085223600025</v>
      </c>
      <c r="F57" s="101">
        <f t="shared" si="22"/>
        <v>19967.799371519992</v>
      </c>
      <c r="G57" s="101">
        <f t="shared" si="22"/>
        <v>19967.799371519992</v>
      </c>
      <c r="H57" s="101">
        <f t="shared" si="22"/>
        <v>19967.593659301223</v>
      </c>
      <c r="I57" s="101">
        <f t="shared" si="22"/>
        <v>19967.566231005356</v>
      </c>
      <c r="J57" s="101">
        <f t="shared" si="22"/>
        <v>19967.568288127568</v>
      </c>
      <c r="K57" s="102">
        <f t="shared" si="22"/>
        <v>19967.568219556822</v>
      </c>
    </row>
    <row r="58" spans="2:11" ht="15.75">
      <c r="B58" s="99" t="str">
        <f t="shared" si="21"/>
        <v>NorthWestern Energy, LLC</v>
      </c>
      <c r="C58" s="100"/>
      <c r="D58" s="101">
        <f t="shared" si="22"/>
        <v>4598.958302400004</v>
      </c>
      <c r="E58" s="101">
        <f t="shared" si="22"/>
        <v>4598.958302400004</v>
      </c>
      <c r="F58" s="101">
        <f t="shared" si="22"/>
        <v>4598.24417844</v>
      </c>
      <c r="G58" s="101">
        <f t="shared" si="22"/>
        <v>4598.387003232005</v>
      </c>
      <c r="H58" s="101">
        <f t="shared" si="22"/>
        <v>4598.379861992403</v>
      </c>
      <c r="I58" s="101">
        <f t="shared" si="22"/>
        <v>4598.378433744481</v>
      </c>
      <c r="J58" s="101">
        <f t="shared" si="22"/>
        <v>4598.378576569275</v>
      </c>
      <c r="K58" s="102">
        <f t="shared" si="22"/>
        <v>4598.378583710515</v>
      </c>
    </row>
    <row r="59" spans="2:11" ht="15.75">
      <c r="B59" s="99" t="str">
        <f t="shared" si="21"/>
        <v>PacifiCorp</v>
      </c>
      <c r="C59" s="100"/>
      <c r="D59" s="101">
        <f t="shared" si="22"/>
        <v>86989.46268960003</v>
      </c>
      <c r="E59" s="101">
        <f t="shared" si="22"/>
        <v>86623.57641119997</v>
      </c>
      <c r="F59" s="101">
        <f t="shared" si="22"/>
        <v>86651.01788207998</v>
      </c>
      <c r="G59" s="101">
        <f t="shared" si="22"/>
        <v>86654.67674486397</v>
      </c>
      <c r="H59" s="101">
        <f t="shared" si="22"/>
        <v>86654.7682164336</v>
      </c>
      <c r="I59" s="101">
        <f t="shared" si="22"/>
        <v>86654.74992211972</v>
      </c>
      <c r="J59" s="101">
        <f t="shared" si="22"/>
        <v>86654.7462632569</v>
      </c>
      <c r="K59" s="102">
        <f t="shared" si="22"/>
        <v>86654.74608031374</v>
      </c>
    </row>
    <row r="60" spans="2:11" ht="15.75">
      <c r="B60" s="99" t="str">
        <f t="shared" si="21"/>
        <v>Portland General Electric Company</v>
      </c>
      <c r="C60" s="100"/>
      <c r="D60" s="101">
        <f t="shared" si="22"/>
        <v>58805.39259360002</v>
      </c>
      <c r="E60" s="101">
        <f t="shared" si="22"/>
        <v>59226.032025600056</v>
      </c>
      <c r="F60" s="101">
        <f t="shared" si="22"/>
        <v>59217.61923696002</v>
      </c>
      <c r="G60" s="101">
        <f t="shared" si="22"/>
        <v>59215.09540036805</v>
      </c>
      <c r="H60" s="101">
        <f t="shared" si="22"/>
        <v>59214.758888822405</v>
      </c>
      <c r="I60" s="101">
        <f t="shared" si="22"/>
        <v>59214.767301611086</v>
      </c>
      <c r="J60" s="101">
        <f t="shared" si="22"/>
        <v>59214.7715080054</v>
      </c>
      <c r="K60" s="102">
        <f t="shared" si="22"/>
        <v>59214.77117149382</v>
      </c>
    </row>
    <row r="61" spans="2:11" ht="15.75">
      <c r="B61" s="99" t="str">
        <f t="shared" si="21"/>
        <v>Puget Sound Energy, Inc.</v>
      </c>
      <c r="C61" s="100"/>
      <c r="D61" s="103">
        <f t="shared" si="22"/>
        <v>72670.84638719997</v>
      </c>
      <c r="E61" s="103">
        <f t="shared" si="22"/>
        <v>72670.84638719997</v>
      </c>
      <c r="F61" s="103">
        <f t="shared" si="22"/>
        <v>72623.03661984</v>
      </c>
      <c r="G61" s="103">
        <f t="shared" si="22"/>
        <v>72624.23186402404</v>
      </c>
      <c r="H61" s="103">
        <f t="shared" si="22"/>
        <v>72623.99281518724</v>
      </c>
      <c r="I61" s="103">
        <f t="shared" si="22"/>
        <v>72623.98086274536</v>
      </c>
      <c r="J61" s="103">
        <f t="shared" si="22"/>
        <v>72623.97727701285</v>
      </c>
      <c r="K61" s="104">
        <f t="shared" si="22"/>
        <v>72623.97715748842</v>
      </c>
    </row>
    <row r="62" spans="2:11" ht="15">
      <c r="B62" s="99"/>
      <c r="C62" s="100"/>
      <c r="D62" s="105">
        <f aca="true" t="shared" si="23" ref="D62:K62">SUM(D56:D61)</f>
        <v>258749.44555440007</v>
      </c>
      <c r="E62" s="105">
        <f t="shared" si="23"/>
        <v>258999.05246880002</v>
      </c>
      <c r="F62" s="105">
        <f t="shared" si="23"/>
        <v>258999.15724715998</v>
      </c>
      <c r="G62" s="105">
        <f t="shared" si="23"/>
        <v>259000.83605035205</v>
      </c>
      <c r="H62" s="105">
        <f t="shared" si="23"/>
        <v>259000.0596788833</v>
      </c>
      <c r="I62" s="105">
        <f t="shared" si="23"/>
        <v>259000.00104545266</v>
      </c>
      <c r="J62" s="105">
        <f t="shared" si="23"/>
        <v>259000.0006043446</v>
      </c>
      <c r="K62" s="106">
        <f t="shared" si="23"/>
        <v>258999.9999436505</v>
      </c>
    </row>
    <row r="63" spans="2:11" ht="15">
      <c r="B63" s="99"/>
      <c r="C63" s="100"/>
      <c r="D63" s="100"/>
      <c r="E63" s="100"/>
      <c r="F63" s="100"/>
      <c r="G63" s="100"/>
      <c r="H63" s="100"/>
      <c r="I63" s="100"/>
      <c r="J63" s="100"/>
      <c r="K63" s="107"/>
    </row>
    <row r="64" spans="2:11" ht="15">
      <c r="B64" s="99"/>
      <c r="C64" s="100"/>
      <c r="D64" s="108">
        <f>(D62-$J$17)*1000</f>
        <v>-250554.4455999334</v>
      </c>
      <c r="E64" s="108">
        <f aca="true" t="shared" si="24" ref="E64:K64">(E62-$J$17)*1000</f>
        <v>-947.531199984951</v>
      </c>
      <c r="F64" s="108">
        <f t="shared" si="24"/>
        <v>-842.7528400206938</v>
      </c>
      <c r="G64" s="108">
        <f t="shared" si="24"/>
        <v>836.0503520525526</v>
      </c>
      <c r="H64" s="108">
        <f t="shared" si="24"/>
        <v>59.67888329178095</v>
      </c>
      <c r="I64" s="108">
        <f t="shared" si="24"/>
        <v>1.0454526636749506</v>
      </c>
      <c r="J64" s="108">
        <f t="shared" si="24"/>
        <v>0.6043445901013911</v>
      </c>
      <c r="K64" s="109">
        <f t="shared" si="24"/>
        <v>-0.05634949775412679</v>
      </c>
    </row>
    <row r="65" spans="2:11" ht="15">
      <c r="B65" s="99"/>
      <c r="C65" s="100"/>
      <c r="D65" s="100"/>
      <c r="E65" s="100"/>
      <c r="F65" s="100"/>
      <c r="G65" s="100"/>
      <c r="H65" s="100"/>
      <c r="I65" s="100"/>
      <c r="J65" s="100"/>
      <c r="K65" s="107"/>
    </row>
    <row r="66" spans="2:11" ht="15">
      <c r="B66" s="110"/>
      <c r="C66" s="111">
        <f>MIN(D66:K66)</f>
        <v>2</v>
      </c>
      <c r="D66" s="112">
        <f aca="true" t="shared" si="25" ref="D66:K66">IF(ABS(D64)&lt;1000,D55,999)</f>
        <v>999</v>
      </c>
      <c r="E66" s="112">
        <f t="shared" si="25"/>
        <v>2</v>
      </c>
      <c r="F66" s="112">
        <f t="shared" si="25"/>
        <v>3</v>
      </c>
      <c r="G66" s="112">
        <f t="shared" si="25"/>
        <v>4</v>
      </c>
      <c r="H66" s="112">
        <f t="shared" si="25"/>
        <v>5</v>
      </c>
      <c r="I66" s="112">
        <f t="shared" si="25"/>
        <v>6</v>
      </c>
      <c r="J66" s="112">
        <f t="shared" si="25"/>
        <v>7</v>
      </c>
      <c r="K66" s="113">
        <f t="shared" si="25"/>
        <v>8</v>
      </c>
    </row>
  </sheetData>
  <conditionalFormatting sqref="C2">
    <cfRule type="expression" priority="2" dxfId="0" stopIfTrue="1">
      <formula>B1 &gt; 30</formula>
    </cfRule>
  </conditionalFormatting>
  <conditionalFormatting sqref="B2">
    <cfRule type="expression" priority="1" dxfId="0" stopIfTrue="1">
      <formula>A1 &gt; 30</formula>
    </cfRule>
  </conditionalFormatting>
  <printOptions/>
  <pageMargins left="0.7" right="0.7" top="0.75" bottom="0.75" header="0.3" footer="0.3"/>
  <pageSetup orientation="portrait" paperSize="9"/>
  <ignoredErrors>
    <ignoredError sqref="H8: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1"/>
  <sheetViews>
    <sheetView workbookViewId="0" topLeftCell="A1">
      <selection activeCell="H53" sqref="H53"/>
    </sheetView>
  </sheetViews>
  <sheetFormatPr defaultColWidth="9.140625" defaultRowHeight="15"/>
  <cols>
    <col min="1" max="1" width="10.28125" style="51" customWidth="1"/>
    <col min="2" max="2" width="17.8515625" style="51" customWidth="1"/>
    <col min="3" max="3" width="7.57421875" style="52" customWidth="1"/>
    <col min="4" max="4" width="3.00390625" style="52" customWidth="1"/>
    <col min="5" max="5" width="10.421875" style="52" customWidth="1"/>
    <col min="6" max="6" width="9.7109375" style="52" customWidth="1"/>
    <col min="7" max="7" width="2.8515625" style="52" customWidth="1"/>
    <col min="8" max="9" width="11.00390625" style="52" customWidth="1"/>
    <col min="10" max="10" width="2.7109375" style="52" customWidth="1"/>
    <col min="11" max="11" width="12.57421875" style="52" bestFit="1" customWidth="1"/>
    <col min="12" max="20" width="12.140625" style="52" bestFit="1" customWidth="1"/>
    <col min="21" max="16384" width="9.140625" style="52" customWidth="1"/>
  </cols>
  <sheetData>
    <row r="1" spans="1:14" s="116" customFormat="1" ht="28.5" customHeight="1">
      <c r="A1" s="114"/>
      <c r="B1" s="115" t="s">
        <v>99</v>
      </c>
      <c r="C1" s="114"/>
      <c r="D1" s="114"/>
      <c r="E1" s="114"/>
      <c r="F1" s="114"/>
      <c r="G1" s="114"/>
      <c r="H1" s="114"/>
      <c r="I1" s="114"/>
      <c r="J1" s="114"/>
      <c r="N1" s="53" t="s">
        <v>20</v>
      </c>
    </row>
    <row r="2" spans="1:10" s="116" customFormat="1" ht="15">
      <c r="A2" s="5"/>
      <c r="B2" s="6"/>
      <c r="C2" s="117"/>
      <c r="D2" s="117"/>
      <c r="E2" s="117"/>
      <c r="F2" s="117"/>
      <c r="G2" s="117"/>
      <c r="H2" s="117"/>
      <c r="I2" s="117"/>
      <c r="J2" s="117"/>
    </row>
    <row r="3" spans="1:10" s="116" customFormat="1" ht="15.75">
      <c r="A3" s="8"/>
      <c r="C3" s="118"/>
      <c r="D3" s="118"/>
      <c r="E3" s="118"/>
      <c r="F3" s="118"/>
      <c r="G3" s="118"/>
      <c r="H3" s="118"/>
      <c r="I3" s="118"/>
      <c r="J3" s="118"/>
    </row>
    <row r="4" spans="1:20" s="51" customFormat="1" ht="14.25">
      <c r="A4" s="8"/>
      <c r="M4" s="119"/>
      <c r="N4" s="119"/>
      <c r="O4" s="119"/>
      <c r="P4" s="119"/>
      <c r="Q4" s="119"/>
      <c r="R4" s="119"/>
      <c r="S4" s="119"/>
      <c r="T4" s="119"/>
    </row>
    <row r="5" spans="1:30" s="51" customFormat="1" ht="15.75">
      <c r="A5" s="8"/>
      <c r="B5" s="120" t="s">
        <v>100</v>
      </c>
      <c r="C5" s="121">
        <v>49.542532</v>
      </c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123"/>
      <c r="O5" s="123"/>
      <c r="P5" s="123"/>
      <c r="Q5" s="123"/>
      <c r="R5" s="123"/>
      <c r="S5" s="123"/>
      <c r="T5" s="123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s="51" customFormat="1" ht="15.75">
      <c r="A6" s="8"/>
      <c r="B6" s="120" t="s">
        <v>101</v>
      </c>
      <c r="C6" s="121">
        <v>49.717416</v>
      </c>
      <c r="D6" s="122"/>
      <c r="E6" s="124" t="s">
        <v>102</v>
      </c>
      <c r="F6" s="122"/>
      <c r="G6" s="122"/>
      <c r="H6" s="124" t="s">
        <v>103</v>
      </c>
      <c r="I6" s="122"/>
      <c r="J6" s="122"/>
      <c r="K6" s="124" t="s">
        <v>104</v>
      </c>
      <c r="L6" s="122"/>
      <c r="M6" s="123"/>
      <c r="N6" s="123"/>
      <c r="O6" s="123"/>
      <c r="P6" s="123"/>
      <c r="Q6" s="123"/>
      <c r="R6" s="123"/>
      <c r="S6" s="123"/>
      <c r="T6" s="123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119" s="51" customFormat="1" ht="14.25">
      <c r="A7" s="8"/>
      <c r="B7" s="122"/>
      <c r="C7" s="122"/>
      <c r="D7" s="122"/>
      <c r="E7" s="122"/>
      <c r="F7" s="122"/>
      <c r="G7" s="122"/>
      <c r="H7" s="122"/>
      <c r="I7" s="122"/>
      <c r="J7" s="122"/>
      <c r="K7" s="125" t="s">
        <v>106</v>
      </c>
      <c r="L7" s="126"/>
      <c r="M7" s="123"/>
      <c r="N7" s="123"/>
      <c r="O7" s="123"/>
      <c r="P7" s="123"/>
      <c r="Q7" s="123"/>
      <c r="R7" s="123"/>
      <c r="S7" s="123"/>
      <c r="T7" s="123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</row>
    <row r="8" spans="1:119" s="51" customFormat="1" ht="14.25">
      <c r="A8" s="8"/>
      <c r="B8" s="122"/>
      <c r="C8" s="122"/>
      <c r="D8" s="122"/>
      <c r="E8" s="127">
        <v>2022</v>
      </c>
      <c r="F8" s="128">
        <v>2023</v>
      </c>
      <c r="G8" s="122"/>
      <c r="H8" s="127">
        <v>2022</v>
      </c>
      <c r="I8" s="128">
        <v>2023</v>
      </c>
      <c r="J8" s="122"/>
      <c r="K8" s="127">
        <v>2022</v>
      </c>
      <c r="L8" s="128">
        <v>2023</v>
      </c>
      <c r="M8" s="123"/>
      <c r="N8" s="123"/>
      <c r="O8" s="123"/>
      <c r="P8" s="123"/>
      <c r="Q8" s="123"/>
      <c r="R8" s="123"/>
      <c r="S8" s="123"/>
      <c r="T8" s="123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</row>
    <row r="9" spans="1:119" s="51" customFormat="1" ht="14.25">
      <c r="A9" s="8"/>
      <c r="B9" s="122"/>
      <c r="C9" s="122"/>
      <c r="D9" s="122"/>
      <c r="E9" s="129"/>
      <c r="F9" s="130"/>
      <c r="G9" s="122"/>
      <c r="H9" s="129"/>
      <c r="I9" s="130"/>
      <c r="J9" s="122"/>
      <c r="K9" s="131"/>
      <c r="L9" s="132"/>
      <c r="M9" s="123"/>
      <c r="N9" s="123"/>
      <c r="O9" s="123"/>
      <c r="P9" s="123"/>
      <c r="Q9" s="123"/>
      <c r="R9" s="123"/>
      <c r="S9" s="123"/>
      <c r="T9" s="12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</row>
    <row r="10" spans="2:12" ht="15">
      <c r="B10" s="122"/>
      <c r="C10" s="122"/>
      <c r="D10" s="122"/>
      <c r="E10" s="129"/>
      <c r="F10" s="130"/>
      <c r="G10" s="122"/>
      <c r="H10" s="129"/>
      <c r="I10" s="130"/>
      <c r="J10" s="122"/>
      <c r="K10" s="129"/>
      <c r="L10" s="130"/>
    </row>
    <row r="11" spans="2:20" ht="15">
      <c r="B11" s="122" t="s">
        <v>6</v>
      </c>
      <c r="C11" s="92">
        <v>1</v>
      </c>
      <c r="D11" s="92"/>
      <c r="E11" s="133">
        <v>62.93</v>
      </c>
      <c r="F11" s="134">
        <v>62.93</v>
      </c>
      <c r="G11" s="92"/>
      <c r="H11" s="135">
        <v>3971.45988</v>
      </c>
      <c r="I11" s="136">
        <v>3971.45988</v>
      </c>
      <c r="J11" s="92"/>
      <c r="K11" s="137">
        <v>53167.79205678383</v>
      </c>
      <c r="L11" s="138">
        <v>53167.79205678383</v>
      </c>
      <c r="M11" s="139"/>
      <c r="N11" s="139"/>
      <c r="O11" s="139"/>
      <c r="P11" s="139"/>
      <c r="Q11" s="139"/>
      <c r="R11" s="139"/>
      <c r="S11" s="139"/>
      <c r="T11" s="139"/>
    </row>
    <row r="12" spans="2:20" ht="15">
      <c r="B12" s="122" t="s">
        <v>7</v>
      </c>
      <c r="C12" s="92">
        <v>1</v>
      </c>
      <c r="D12" s="92"/>
      <c r="E12" s="133">
        <v>58.17</v>
      </c>
      <c r="F12" s="134">
        <v>58.17</v>
      </c>
      <c r="G12" s="92"/>
      <c r="H12" s="135">
        <v>6857.07396</v>
      </c>
      <c r="I12" s="136">
        <v>6857.07396</v>
      </c>
      <c r="J12" s="92"/>
      <c r="K12" s="137">
        <v>59159.18616353328</v>
      </c>
      <c r="L12" s="138">
        <v>59159.18616353328</v>
      </c>
      <c r="M12" s="139"/>
      <c r="N12" s="139"/>
      <c r="O12" s="139"/>
      <c r="P12" s="139"/>
      <c r="Q12" s="139"/>
      <c r="R12" s="139"/>
      <c r="S12" s="139"/>
      <c r="T12" s="139"/>
    </row>
    <row r="13" spans="2:20" ht="15">
      <c r="B13" s="122" t="s">
        <v>8</v>
      </c>
      <c r="C13" s="92">
        <v>1</v>
      </c>
      <c r="D13" s="92"/>
      <c r="E13" s="133">
        <v>68.34</v>
      </c>
      <c r="F13" s="134">
        <v>68.34</v>
      </c>
      <c r="G13" s="92"/>
      <c r="H13" s="135">
        <v>714.12396</v>
      </c>
      <c r="I13" s="136">
        <v>714.12396</v>
      </c>
      <c r="J13" s="92"/>
      <c r="K13" s="137">
        <v>13423.722286133281</v>
      </c>
      <c r="L13" s="138">
        <v>13423.722286133281</v>
      </c>
      <c r="M13" s="139"/>
      <c r="N13" s="139"/>
      <c r="O13" s="139"/>
      <c r="P13" s="139"/>
      <c r="Q13" s="139"/>
      <c r="R13" s="139"/>
      <c r="S13" s="139"/>
      <c r="T13" s="139"/>
    </row>
    <row r="14" spans="2:20" ht="15">
      <c r="B14" s="122" t="s">
        <v>9</v>
      </c>
      <c r="C14" s="92">
        <v>1</v>
      </c>
      <c r="D14" s="92"/>
      <c r="E14" s="133">
        <v>77.61</v>
      </c>
      <c r="F14" s="134">
        <v>77.61</v>
      </c>
      <c r="G14" s="92"/>
      <c r="H14" s="135">
        <v>9147.156959999998</v>
      </c>
      <c r="I14" s="136">
        <v>9147.156959999998</v>
      </c>
      <c r="J14" s="92"/>
      <c r="K14" s="137">
        <v>256737.53526577723</v>
      </c>
      <c r="L14" s="138">
        <v>256737.53526577723</v>
      </c>
      <c r="M14" s="139"/>
      <c r="N14" s="139"/>
      <c r="O14" s="139"/>
      <c r="P14" s="139"/>
      <c r="Q14" s="139"/>
      <c r="R14" s="139"/>
      <c r="S14" s="139"/>
      <c r="T14" s="139"/>
    </row>
    <row r="15" spans="2:20" ht="15">
      <c r="B15" s="122" t="s">
        <v>10</v>
      </c>
      <c r="C15" s="92">
        <v>1</v>
      </c>
      <c r="D15" s="92"/>
      <c r="E15" s="133">
        <v>70.09</v>
      </c>
      <c r="F15" s="134">
        <v>70.09</v>
      </c>
      <c r="G15" s="92"/>
      <c r="H15" s="140">
        <v>8412.78864</v>
      </c>
      <c r="I15" s="141">
        <v>8412.78864</v>
      </c>
      <c r="J15" s="92"/>
      <c r="K15" s="137">
        <v>172861.50537116354</v>
      </c>
      <c r="L15" s="138">
        <v>172861.50537116354</v>
      </c>
      <c r="M15" s="139"/>
      <c r="N15" s="139"/>
      <c r="O15" s="139"/>
      <c r="P15" s="139"/>
      <c r="Q15" s="139"/>
      <c r="R15" s="139"/>
      <c r="S15" s="139"/>
      <c r="T15" s="139"/>
    </row>
    <row r="16" spans="2:20" ht="15">
      <c r="B16" s="122" t="s">
        <v>11</v>
      </c>
      <c r="C16" s="92">
        <v>1</v>
      </c>
      <c r="D16" s="92"/>
      <c r="E16" s="133">
        <v>67.28</v>
      </c>
      <c r="F16" s="134">
        <v>67.28</v>
      </c>
      <c r="G16" s="92"/>
      <c r="H16" s="135">
        <v>11952.44184</v>
      </c>
      <c r="I16" s="136">
        <v>11952.44184</v>
      </c>
      <c r="J16" s="92"/>
      <c r="K16" s="137">
        <v>212006.0546588611</v>
      </c>
      <c r="L16" s="138">
        <v>212006.0546588611</v>
      </c>
      <c r="M16" s="139"/>
      <c r="N16" s="139"/>
      <c r="O16" s="139"/>
      <c r="P16" s="139"/>
      <c r="Q16" s="139"/>
      <c r="R16" s="139"/>
      <c r="S16" s="139"/>
      <c r="T16" s="139"/>
    </row>
    <row r="17" spans="2:20" ht="15">
      <c r="B17" s="122" t="s">
        <v>12</v>
      </c>
      <c r="C17" s="92">
        <v>0</v>
      </c>
      <c r="D17" s="92"/>
      <c r="E17" s="133">
        <v>42.14</v>
      </c>
      <c r="F17" s="134">
        <v>42.14</v>
      </c>
      <c r="G17" s="92"/>
      <c r="H17" s="135">
        <v>0</v>
      </c>
      <c r="I17" s="136">
        <v>0</v>
      </c>
      <c r="J17" s="92"/>
      <c r="K17" s="142">
        <v>0</v>
      </c>
      <c r="L17" s="143">
        <v>0</v>
      </c>
      <c r="M17" s="139"/>
      <c r="N17" s="139"/>
      <c r="O17" s="139"/>
      <c r="P17" s="139"/>
      <c r="Q17" s="139"/>
      <c r="R17" s="139"/>
      <c r="S17" s="139"/>
      <c r="T17" s="139"/>
    </row>
    <row r="18" spans="2:20" ht="15">
      <c r="B18" s="122" t="s">
        <v>13</v>
      </c>
      <c r="C18" s="92">
        <v>0</v>
      </c>
      <c r="D18" s="92"/>
      <c r="E18" s="133">
        <v>0</v>
      </c>
      <c r="F18" s="134">
        <v>0</v>
      </c>
      <c r="G18" s="92"/>
      <c r="H18" s="135">
        <v>0</v>
      </c>
      <c r="I18" s="136">
        <v>0</v>
      </c>
      <c r="J18" s="92"/>
      <c r="K18" s="142">
        <v>0</v>
      </c>
      <c r="L18" s="143">
        <v>0</v>
      </c>
      <c r="M18" s="139"/>
      <c r="N18" s="139"/>
      <c r="O18" s="139"/>
      <c r="P18" s="139"/>
      <c r="Q18" s="139"/>
      <c r="R18" s="139"/>
      <c r="S18" s="139"/>
      <c r="T18" s="139"/>
    </row>
    <row r="19" spans="2:20" ht="15">
      <c r="B19" s="122" t="s">
        <v>14</v>
      </c>
      <c r="C19" s="92">
        <v>1</v>
      </c>
      <c r="D19" s="92"/>
      <c r="E19" s="144">
        <v>55.83</v>
      </c>
      <c r="F19" s="145">
        <v>55.83</v>
      </c>
      <c r="G19" s="92"/>
      <c r="H19" s="146">
        <v>3714.568610287463</v>
      </c>
      <c r="I19" s="147">
        <v>3730.5686399999995</v>
      </c>
      <c r="J19" s="92"/>
      <c r="K19" s="148">
        <v>22705.612654145374</v>
      </c>
      <c r="L19" s="149">
        <v>22803.41417976575</v>
      </c>
      <c r="M19" s="139"/>
      <c r="N19" s="139"/>
      <c r="O19" s="139"/>
      <c r="P19" s="139"/>
      <c r="Q19" s="139"/>
      <c r="R19" s="139"/>
      <c r="S19" s="139"/>
      <c r="T19" s="139"/>
    </row>
    <row r="20" spans="2:20" ht="15" hidden="1">
      <c r="B20" s="122" t="s">
        <v>107</v>
      </c>
      <c r="C20" s="92">
        <v>0</v>
      </c>
      <c r="D20" s="92"/>
      <c r="E20" s="133">
        <v>0</v>
      </c>
      <c r="F20" s="134">
        <v>0</v>
      </c>
      <c r="G20" s="92"/>
      <c r="H20" s="135">
        <v>0</v>
      </c>
      <c r="I20" s="136">
        <v>0</v>
      </c>
      <c r="J20" s="92"/>
      <c r="K20" s="137">
        <v>0</v>
      </c>
      <c r="L20" s="138">
        <v>0</v>
      </c>
      <c r="M20" s="139"/>
      <c r="N20" s="139"/>
      <c r="O20" s="139"/>
      <c r="P20" s="139"/>
      <c r="Q20" s="139"/>
      <c r="R20" s="139"/>
      <c r="S20" s="139"/>
      <c r="T20" s="139"/>
    </row>
    <row r="21" spans="2:20" ht="15" hidden="1">
      <c r="B21" s="150" t="s">
        <v>107</v>
      </c>
      <c r="C21" s="151">
        <v>0</v>
      </c>
      <c r="D21" s="151"/>
      <c r="E21" s="133">
        <v>0</v>
      </c>
      <c r="F21" s="134">
        <v>0</v>
      </c>
      <c r="G21" s="151"/>
      <c r="H21" s="135">
        <v>0</v>
      </c>
      <c r="I21" s="136">
        <v>0</v>
      </c>
      <c r="J21" s="151"/>
      <c r="K21" s="137">
        <v>0</v>
      </c>
      <c r="L21" s="138">
        <v>0</v>
      </c>
      <c r="M21" s="152"/>
      <c r="N21" s="152"/>
      <c r="O21" s="152"/>
      <c r="P21" s="152"/>
      <c r="Q21" s="152"/>
      <c r="R21" s="152"/>
      <c r="S21" s="152"/>
      <c r="T21" s="152"/>
    </row>
    <row r="22" spans="2:20" ht="15" hidden="1">
      <c r="B22" s="150" t="s">
        <v>107</v>
      </c>
      <c r="C22" s="151">
        <v>0</v>
      </c>
      <c r="D22" s="151"/>
      <c r="E22" s="133">
        <v>0</v>
      </c>
      <c r="F22" s="134">
        <v>0</v>
      </c>
      <c r="G22" s="151"/>
      <c r="H22" s="135">
        <v>0</v>
      </c>
      <c r="I22" s="136">
        <v>0</v>
      </c>
      <c r="J22" s="151"/>
      <c r="K22" s="137">
        <v>0</v>
      </c>
      <c r="L22" s="138">
        <v>0</v>
      </c>
      <c r="M22" s="152"/>
      <c r="N22" s="152"/>
      <c r="O22" s="152"/>
      <c r="P22" s="152"/>
      <c r="Q22" s="152"/>
      <c r="R22" s="152"/>
      <c r="S22" s="152"/>
      <c r="T22" s="152"/>
    </row>
    <row r="23" spans="2:20" ht="15" hidden="1">
      <c r="B23" s="150" t="s">
        <v>107</v>
      </c>
      <c r="C23" s="151">
        <v>0</v>
      </c>
      <c r="D23" s="151"/>
      <c r="E23" s="133">
        <v>0</v>
      </c>
      <c r="F23" s="134">
        <v>0</v>
      </c>
      <c r="G23" s="151"/>
      <c r="H23" s="135">
        <v>0</v>
      </c>
      <c r="I23" s="136">
        <v>0</v>
      </c>
      <c r="J23" s="151"/>
      <c r="K23" s="137">
        <v>0</v>
      </c>
      <c r="L23" s="138">
        <v>0</v>
      </c>
      <c r="M23" s="152"/>
      <c r="N23" s="152"/>
      <c r="O23" s="152"/>
      <c r="P23" s="152"/>
      <c r="Q23" s="152"/>
      <c r="R23" s="152"/>
      <c r="S23" s="152"/>
      <c r="T23" s="152"/>
    </row>
    <row r="24" spans="2:20" ht="15" hidden="1">
      <c r="B24" s="150" t="s">
        <v>107</v>
      </c>
      <c r="C24" s="151">
        <v>0</v>
      </c>
      <c r="D24" s="151"/>
      <c r="E24" s="133">
        <v>0</v>
      </c>
      <c r="F24" s="134">
        <v>0</v>
      </c>
      <c r="G24" s="151"/>
      <c r="H24" s="135">
        <v>0</v>
      </c>
      <c r="I24" s="136">
        <v>0</v>
      </c>
      <c r="J24" s="151"/>
      <c r="K24" s="137">
        <v>0</v>
      </c>
      <c r="L24" s="138">
        <v>0</v>
      </c>
      <c r="M24" s="152"/>
      <c r="N24" s="152"/>
      <c r="O24" s="152"/>
      <c r="P24" s="152"/>
      <c r="Q24" s="152"/>
      <c r="R24" s="152"/>
      <c r="S24" s="152"/>
      <c r="T24" s="152"/>
    </row>
    <row r="25" spans="2:20" ht="15" hidden="1">
      <c r="B25" s="150" t="s">
        <v>107</v>
      </c>
      <c r="C25" s="151">
        <v>0</v>
      </c>
      <c r="D25" s="151"/>
      <c r="E25" s="133">
        <v>0</v>
      </c>
      <c r="F25" s="134">
        <v>0</v>
      </c>
      <c r="G25" s="151"/>
      <c r="H25" s="135">
        <v>0</v>
      </c>
      <c r="I25" s="136">
        <v>0</v>
      </c>
      <c r="J25" s="151"/>
      <c r="K25" s="137">
        <v>0</v>
      </c>
      <c r="L25" s="138">
        <v>0</v>
      </c>
      <c r="M25" s="152"/>
      <c r="N25" s="152"/>
      <c r="O25" s="152"/>
      <c r="P25" s="152"/>
      <c r="Q25" s="152"/>
      <c r="R25" s="152"/>
      <c r="S25" s="152"/>
      <c r="T25" s="152"/>
    </row>
    <row r="26" spans="2:20" ht="15" hidden="1">
      <c r="B26" s="150" t="s">
        <v>107</v>
      </c>
      <c r="C26" s="151">
        <v>0</v>
      </c>
      <c r="D26" s="151"/>
      <c r="E26" s="133">
        <v>0</v>
      </c>
      <c r="F26" s="134">
        <v>0</v>
      </c>
      <c r="G26" s="151"/>
      <c r="H26" s="135">
        <v>0</v>
      </c>
      <c r="I26" s="136">
        <v>0</v>
      </c>
      <c r="J26" s="151"/>
      <c r="K26" s="137">
        <v>0</v>
      </c>
      <c r="L26" s="138">
        <v>0</v>
      </c>
      <c r="M26" s="152"/>
      <c r="N26" s="152"/>
      <c r="O26" s="152"/>
      <c r="P26" s="152"/>
      <c r="Q26" s="152"/>
      <c r="R26" s="152"/>
      <c r="S26" s="152"/>
      <c r="T26" s="152"/>
    </row>
    <row r="27" spans="2:20" ht="15" hidden="1">
      <c r="B27" s="150" t="s">
        <v>107</v>
      </c>
      <c r="C27" s="151">
        <v>0</v>
      </c>
      <c r="D27" s="151"/>
      <c r="E27" s="133">
        <v>0</v>
      </c>
      <c r="F27" s="134">
        <v>0</v>
      </c>
      <c r="G27" s="151"/>
      <c r="H27" s="135">
        <v>0</v>
      </c>
      <c r="I27" s="136">
        <v>0</v>
      </c>
      <c r="J27" s="151"/>
      <c r="K27" s="137">
        <v>0</v>
      </c>
      <c r="L27" s="138">
        <v>0</v>
      </c>
      <c r="M27" s="152"/>
      <c r="N27" s="152"/>
      <c r="O27" s="152"/>
      <c r="P27" s="152"/>
      <c r="Q27" s="152"/>
      <c r="R27" s="152"/>
      <c r="S27" s="152"/>
      <c r="T27" s="152"/>
    </row>
    <row r="28" spans="2:20" ht="15" hidden="1">
      <c r="B28" s="150" t="s">
        <v>107</v>
      </c>
      <c r="C28" s="151">
        <v>0</v>
      </c>
      <c r="D28" s="151"/>
      <c r="E28" s="133">
        <v>0</v>
      </c>
      <c r="F28" s="134">
        <v>0</v>
      </c>
      <c r="G28" s="151"/>
      <c r="H28" s="135">
        <v>0</v>
      </c>
      <c r="I28" s="136">
        <v>0</v>
      </c>
      <c r="J28" s="151"/>
      <c r="K28" s="137">
        <v>0</v>
      </c>
      <c r="L28" s="138">
        <v>0</v>
      </c>
      <c r="M28" s="152"/>
      <c r="N28" s="152"/>
      <c r="O28" s="152"/>
      <c r="P28" s="152"/>
      <c r="Q28" s="152"/>
      <c r="R28" s="152"/>
      <c r="S28" s="152"/>
      <c r="T28" s="152"/>
    </row>
    <row r="29" spans="2:20" ht="15" hidden="1">
      <c r="B29" s="150" t="s">
        <v>107</v>
      </c>
      <c r="C29" s="151">
        <v>0</v>
      </c>
      <c r="D29" s="151"/>
      <c r="E29" s="133">
        <v>0</v>
      </c>
      <c r="F29" s="134">
        <v>0</v>
      </c>
      <c r="G29" s="151"/>
      <c r="H29" s="135">
        <v>0</v>
      </c>
      <c r="I29" s="136">
        <v>0</v>
      </c>
      <c r="J29" s="151"/>
      <c r="K29" s="137">
        <v>0</v>
      </c>
      <c r="L29" s="138">
        <v>0</v>
      </c>
      <c r="M29" s="152"/>
      <c r="N29" s="152"/>
      <c r="O29" s="152"/>
      <c r="P29" s="152"/>
      <c r="Q29" s="152"/>
      <c r="R29" s="152"/>
      <c r="S29" s="152"/>
      <c r="T29" s="152"/>
    </row>
    <row r="30" spans="2:20" ht="15" hidden="1">
      <c r="B30" s="150" t="s">
        <v>107</v>
      </c>
      <c r="C30" s="151">
        <v>0</v>
      </c>
      <c r="D30" s="151"/>
      <c r="E30" s="144">
        <v>0</v>
      </c>
      <c r="F30" s="145">
        <v>0</v>
      </c>
      <c r="G30" s="151"/>
      <c r="H30" s="146">
        <v>0</v>
      </c>
      <c r="I30" s="147">
        <v>0</v>
      </c>
      <c r="J30" s="151"/>
      <c r="K30" s="148">
        <v>0</v>
      </c>
      <c r="L30" s="149">
        <v>0</v>
      </c>
      <c r="M30" s="152"/>
      <c r="N30" s="152"/>
      <c r="O30" s="152"/>
      <c r="P30" s="152"/>
      <c r="Q30" s="152"/>
      <c r="R30" s="152"/>
      <c r="S30" s="152"/>
      <c r="T30" s="152"/>
    </row>
    <row r="31" spans="2:20" ht="15">
      <c r="B31" s="122" t="s">
        <v>55</v>
      </c>
      <c r="C31" s="122"/>
      <c r="D31" s="122"/>
      <c r="E31" s="122"/>
      <c r="F31" s="122"/>
      <c r="G31" s="122"/>
      <c r="H31" s="122"/>
      <c r="I31" s="122"/>
      <c r="J31" s="122"/>
      <c r="K31" s="153">
        <v>790061.4084563977</v>
      </c>
      <c r="L31" s="153">
        <v>790159.2099820181</v>
      </c>
      <c r="M31" s="154"/>
      <c r="N31" s="154"/>
      <c r="O31" s="154"/>
      <c r="P31" s="154"/>
      <c r="Q31" s="155"/>
      <c r="R31" s="155"/>
      <c r="S31" s="155"/>
      <c r="T31" s="155"/>
    </row>
    <row r="32" spans="2:12" ht="15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2:16" ht="15">
      <c r="B33" s="122"/>
      <c r="C33" s="122"/>
      <c r="D33" s="122"/>
      <c r="E33" s="122"/>
      <c r="F33" s="122"/>
      <c r="G33" s="122"/>
      <c r="H33" s="122"/>
      <c r="I33" s="122"/>
      <c r="J33" s="156" t="s">
        <v>105</v>
      </c>
      <c r="K33" s="153">
        <v>767355.7958022524</v>
      </c>
      <c r="L33" s="153">
        <v>767355.7958022524</v>
      </c>
      <c r="M33" s="154"/>
      <c r="N33" s="154"/>
      <c r="O33" s="154"/>
      <c r="P33" s="154"/>
    </row>
    <row r="34" spans="2:16" ht="15">
      <c r="B34" s="52"/>
      <c r="K34" s="155"/>
      <c r="L34" s="155"/>
      <c r="M34" s="155"/>
      <c r="N34" s="155"/>
      <c r="O34" s="155"/>
      <c r="P34" s="155"/>
    </row>
    <row r="35" ht="15">
      <c r="B35" s="52"/>
    </row>
    <row r="36" spans="2:16" ht="15">
      <c r="B36" s="52"/>
      <c r="M36" s="155"/>
      <c r="N36" s="155"/>
      <c r="O36" s="155"/>
      <c r="P36" s="155"/>
    </row>
    <row r="37" ht="15">
      <c r="B37" s="52"/>
    </row>
    <row r="38" spans="2:16" ht="15">
      <c r="B38" s="52"/>
      <c r="O38" s="155"/>
      <c r="P38" s="155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  <row r="57" ht="15">
      <c r="B57" s="52"/>
    </row>
    <row r="58" ht="15">
      <c r="B58" s="52"/>
    </row>
    <row r="59" ht="15">
      <c r="B59" s="52"/>
    </row>
    <row r="60" ht="15">
      <c r="B60" s="52"/>
    </row>
    <row r="61" ht="15">
      <c r="B61" s="52"/>
    </row>
    <row r="62" ht="15">
      <c r="B62" s="52"/>
    </row>
    <row r="63" ht="15">
      <c r="B63" s="52"/>
    </row>
    <row r="64" ht="15">
      <c r="B64" s="52"/>
    </row>
    <row r="65" ht="15">
      <c r="B65" s="52"/>
    </row>
    <row r="66" ht="15">
      <c r="B66" s="52"/>
    </row>
    <row r="67" ht="15">
      <c r="B67" s="52"/>
    </row>
    <row r="68" ht="15">
      <c r="B68" s="52"/>
    </row>
    <row r="69" ht="15">
      <c r="B69" s="52"/>
    </row>
    <row r="70" ht="15">
      <c r="B70" s="52"/>
    </row>
    <row r="71" ht="15">
      <c r="B71" s="52"/>
    </row>
    <row r="72" ht="15">
      <c r="B72" s="52"/>
    </row>
    <row r="73" ht="15">
      <c r="B73" s="52"/>
    </row>
    <row r="74" ht="15">
      <c r="B74" s="52"/>
    </row>
    <row r="75" ht="15">
      <c r="B75" s="52"/>
    </row>
    <row r="76" ht="15">
      <c r="B76" s="52"/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  <row r="100" ht="15">
      <c r="B100" s="52"/>
    </row>
    <row r="101" ht="15">
      <c r="B101" s="52"/>
    </row>
    <row r="102" ht="15">
      <c r="B102" s="52"/>
    </row>
    <row r="103" ht="15">
      <c r="B103" s="52"/>
    </row>
    <row r="104" ht="15">
      <c r="B104" s="52"/>
    </row>
    <row r="105" ht="15">
      <c r="B105" s="52"/>
    </row>
    <row r="106" ht="15">
      <c r="B106" s="52"/>
    </row>
    <row r="107" ht="15">
      <c r="B107" s="52"/>
    </row>
    <row r="108" ht="15">
      <c r="B108" s="52"/>
    </row>
    <row r="109" ht="15">
      <c r="B109" s="52"/>
    </row>
    <row r="110" ht="15">
      <c r="B110" s="52"/>
    </row>
    <row r="111" ht="15">
      <c r="B111" s="52"/>
    </row>
    <row r="112" ht="15">
      <c r="B112" s="52"/>
    </row>
    <row r="113" ht="15">
      <c r="B113" s="52"/>
    </row>
    <row r="114" ht="15">
      <c r="B114" s="52"/>
    </row>
    <row r="115" ht="15">
      <c r="B115" s="52"/>
    </row>
    <row r="116" ht="15">
      <c r="B116" s="52"/>
    </row>
    <row r="117" ht="15">
      <c r="B117" s="52"/>
    </row>
    <row r="118" ht="15">
      <c r="B118" s="52"/>
    </row>
    <row r="119" ht="15">
      <c r="B119" s="52"/>
    </row>
    <row r="120" ht="15">
      <c r="B120" s="52"/>
    </row>
    <row r="121" ht="15">
      <c r="B121" s="52"/>
    </row>
  </sheetData>
  <conditionalFormatting sqref="B2">
    <cfRule type="expression" priority="1" dxfId="0" stopIfTrue="1">
      <formula>A1 &gt; 30</formula>
    </cfRule>
  </conditionalFormatting>
  <conditionalFormatting sqref="C2:J2">
    <cfRule type="expression" priority="2" dxfId="0" stopIfTrue="1">
      <formula>#REF! &gt; 30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90" zoomScaleNormal="90" workbookViewId="0" topLeftCell="A1">
      <selection activeCell="B3" sqref="A2:B3"/>
    </sheetView>
  </sheetViews>
  <sheetFormatPr defaultColWidth="9.140625" defaultRowHeight="15"/>
  <cols>
    <col min="1" max="1" width="9.140625" style="14" customWidth="1"/>
    <col min="2" max="2" width="38.57421875" style="14" customWidth="1"/>
    <col min="3" max="3" width="7.421875" style="14" hidden="1" customWidth="1"/>
    <col min="4" max="5" width="19.57421875" style="14" customWidth="1"/>
    <col min="6" max="9" width="17.140625" style="14" customWidth="1"/>
    <col min="10" max="10" width="17.00390625" style="14" customWidth="1"/>
    <col min="11" max="11" width="16.140625" style="14" customWidth="1"/>
    <col min="12" max="16384" width="9.140625" style="14" customWidth="1"/>
  </cols>
  <sheetData>
    <row r="1" spans="1:15" ht="18.75">
      <c r="A1" s="30"/>
      <c r="B1" s="2" t="s">
        <v>16</v>
      </c>
      <c r="C1" s="31"/>
      <c r="D1" s="31"/>
      <c r="E1" s="31"/>
      <c r="F1" s="31"/>
      <c r="G1" s="31"/>
      <c r="H1" s="31"/>
      <c r="I1" s="31"/>
      <c r="J1" s="31"/>
      <c r="K1" s="32" t="s">
        <v>20</v>
      </c>
      <c r="L1" s="31"/>
      <c r="M1" s="33"/>
      <c r="N1" s="31"/>
      <c r="O1" s="31"/>
    </row>
    <row r="2" spans="1:15" ht="15">
      <c r="A2" s="5"/>
      <c r="B2" s="6"/>
      <c r="C2" s="33"/>
      <c r="D2" s="33"/>
      <c r="E2" s="33"/>
      <c r="F2" s="34"/>
      <c r="G2" s="33"/>
      <c r="H2" s="33"/>
      <c r="I2" s="33"/>
      <c r="J2" s="33"/>
      <c r="K2" s="33"/>
      <c r="L2" s="33"/>
      <c r="M2" s="33"/>
      <c r="N2" s="31"/>
      <c r="O2" s="31"/>
    </row>
    <row r="3" spans="1:15" ht="20.25">
      <c r="A3" s="35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5">
      <c r="A4" s="36"/>
    </row>
    <row r="5" ht="15">
      <c r="A5" s="36"/>
    </row>
    <row r="6" spans="1:9" ht="15">
      <c r="A6" s="36"/>
      <c r="C6" s="37"/>
      <c r="E6" s="37"/>
      <c r="F6" s="37"/>
      <c r="I6" s="37"/>
    </row>
    <row r="7" spans="1:9" ht="15">
      <c r="A7" s="36"/>
      <c r="B7" s="38" t="s">
        <v>17</v>
      </c>
      <c r="C7" s="37"/>
      <c r="D7" s="39">
        <v>2022</v>
      </c>
      <c r="E7" s="39">
        <v>2023</v>
      </c>
      <c r="F7" s="39">
        <v>2024</v>
      </c>
      <c r="G7" s="39">
        <v>2025</v>
      </c>
      <c r="H7" s="39">
        <v>2026</v>
      </c>
      <c r="I7" s="39">
        <v>2027</v>
      </c>
    </row>
    <row r="8" spans="1:9" ht="15">
      <c r="A8" s="36"/>
      <c r="C8" s="37"/>
      <c r="D8" s="37"/>
      <c r="E8" s="37"/>
      <c r="F8" s="37"/>
      <c r="G8" s="37"/>
      <c r="H8" s="37"/>
      <c r="I8" s="37"/>
    </row>
    <row r="9" spans="1:9" ht="15">
      <c r="A9" s="36"/>
      <c r="B9" s="37" t="s">
        <v>6</v>
      </c>
      <c r="C9" s="40">
        <v>1</v>
      </c>
      <c r="D9" s="41">
        <v>62.93</v>
      </c>
      <c r="E9" s="41">
        <v>62.93</v>
      </c>
      <c r="F9" s="41">
        <v>64.32</v>
      </c>
      <c r="G9" s="41">
        <v>64.32</v>
      </c>
      <c r="H9" s="41">
        <v>65.67</v>
      </c>
      <c r="I9" s="41">
        <v>65.67</v>
      </c>
    </row>
    <row r="10" spans="1:9" ht="15">
      <c r="A10" s="36"/>
      <c r="B10" s="37" t="s">
        <v>7</v>
      </c>
      <c r="C10" s="40">
        <v>1</v>
      </c>
      <c r="D10" s="41">
        <v>58.17</v>
      </c>
      <c r="E10" s="41">
        <v>58.17</v>
      </c>
      <c r="F10" s="41">
        <v>58.4</v>
      </c>
      <c r="G10" s="41">
        <v>58.4</v>
      </c>
      <c r="H10" s="41">
        <v>59.21</v>
      </c>
      <c r="I10" s="41">
        <v>59.21</v>
      </c>
    </row>
    <row r="11" spans="1:9" ht="15">
      <c r="A11" s="36"/>
      <c r="B11" s="37" t="s">
        <v>8</v>
      </c>
      <c r="C11" s="40">
        <v>1</v>
      </c>
      <c r="D11" s="41">
        <v>68.34</v>
      </c>
      <c r="E11" s="41">
        <v>68.34</v>
      </c>
      <c r="F11" s="41">
        <v>69.47</v>
      </c>
      <c r="G11" s="41">
        <v>69.47</v>
      </c>
      <c r="H11" s="41">
        <v>69.62</v>
      </c>
      <c r="I11" s="41">
        <v>69.62</v>
      </c>
    </row>
    <row r="12" spans="1:9" ht="15">
      <c r="A12" s="36"/>
      <c r="B12" s="37" t="s">
        <v>9</v>
      </c>
      <c r="C12" s="40">
        <v>1</v>
      </c>
      <c r="D12" s="41">
        <v>77.61</v>
      </c>
      <c r="E12" s="41">
        <v>77.61</v>
      </c>
      <c r="F12" s="41">
        <v>78.34</v>
      </c>
      <c r="G12" s="41">
        <v>78.34</v>
      </c>
      <c r="H12" s="41">
        <v>79.01</v>
      </c>
      <c r="I12" s="41">
        <v>79.01</v>
      </c>
    </row>
    <row r="13" spans="1:9" ht="15">
      <c r="A13" s="36"/>
      <c r="B13" s="37" t="s">
        <v>10</v>
      </c>
      <c r="C13" s="40">
        <v>1</v>
      </c>
      <c r="D13" s="41">
        <v>70.09</v>
      </c>
      <c r="E13" s="41">
        <v>70.09</v>
      </c>
      <c r="F13" s="41">
        <v>87.52</v>
      </c>
      <c r="G13" s="41">
        <v>87.52</v>
      </c>
      <c r="H13" s="41">
        <v>94.94</v>
      </c>
      <c r="I13" s="41">
        <v>94.94</v>
      </c>
    </row>
    <row r="14" spans="1:9" ht="15">
      <c r="A14" s="36"/>
      <c r="B14" s="37" t="s">
        <v>11</v>
      </c>
      <c r="C14" s="40">
        <v>1</v>
      </c>
      <c r="D14" s="41">
        <v>67.28</v>
      </c>
      <c r="E14" s="41">
        <v>67.28</v>
      </c>
      <c r="F14" s="41">
        <v>69.32</v>
      </c>
      <c r="G14" s="41">
        <v>69.32</v>
      </c>
      <c r="H14" s="41">
        <v>74.05</v>
      </c>
      <c r="I14" s="41">
        <v>74.05</v>
      </c>
    </row>
    <row r="15" spans="1:9" ht="15">
      <c r="A15" s="36"/>
      <c r="B15" s="37" t="s">
        <v>12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</row>
    <row r="16" spans="1:9" ht="15" hidden="1">
      <c r="A16" s="36"/>
      <c r="B16" s="37" t="s">
        <v>13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</row>
    <row r="17" spans="1:9" ht="15">
      <c r="A17" s="36"/>
      <c r="B17" s="37" t="s">
        <v>14</v>
      </c>
      <c r="C17" s="40">
        <v>1</v>
      </c>
      <c r="D17" s="41">
        <v>55.83</v>
      </c>
      <c r="E17" s="41">
        <v>55.83</v>
      </c>
      <c r="F17" s="41">
        <v>57.58</v>
      </c>
      <c r="G17" s="41">
        <v>57.58</v>
      </c>
      <c r="H17" s="41">
        <v>59.89</v>
      </c>
      <c r="I17" s="41">
        <v>59.89</v>
      </c>
    </row>
    <row r="18" spans="1:9" ht="15">
      <c r="A18" s="36"/>
      <c r="B18" s="37"/>
      <c r="C18" s="37"/>
      <c r="D18" s="42"/>
      <c r="E18" s="42"/>
      <c r="F18" s="42"/>
      <c r="G18" s="42"/>
      <c r="H18" s="42"/>
      <c r="I18" s="42"/>
    </row>
    <row r="19" spans="1:9" ht="15">
      <c r="A19" s="36"/>
      <c r="B19" s="38" t="s">
        <v>18</v>
      </c>
      <c r="C19" s="37"/>
      <c r="D19" s="39">
        <v>2022</v>
      </c>
      <c r="E19" s="39">
        <v>2023</v>
      </c>
      <c r="F19" s="39">
        <v>2024</v>
      </c>
      <c r="G19" s="39">
        <v>2025</v>
      </c>
      <c r="H19" s="39">
        <v>2026</v>
      </c>
      <c r="I19" s="39">
        <v>2027</v>
      </c>
    </row>
    <row r="20" spans="1:11" ht="15">
      <c r="A20" s="36"/>
      <c r="B20" s="38"/>
      <c r="C20" s="37"/>
      <c r="E20" s="37"/>
      <c r="F20" s="37"/>
      <c r="G20" s="37"/>
      <c r="H20" s="37"/>
      <c r="I20" s="37"/>
      <c r="J20" s="42"/>
      <c r="K20" s="42"/>
    </row>
    <row r="21" spans="1:11" ht="15">
      <c r="A21" s="36"/>
      <c r="B21" s="14" t="s">
        <v>6</v>
      </c>
      <c r="D21" s="43">
        <v>3971.45988</v>
      </c>
      <c r="E21" s="43">
        <v>3971.45988</v>
      </c>
      <c r="F21" s="43">
        <v>4021.0727853168</v>
      </c>
      <c r="G21" s="43">
        <v>4021.0766697960007</v>
      </c>
      <c r="H21" s="43">
        <v>4031.3397047645567</v>
      </c>
      <c r="I21" s="43">
        <v>4042.3883761459197</v>
      </c>
      <c r="J21" s="37"/>
      <c r="K21" s="37"/>
    </row>
    <row r="22" spans="1:9" ht="15">
      <c r="A22" s="36"/>
      <c r="B22" s="14" t="s">
        <v>7</v>
      </c>
      <c r="D22" s="43">
        <v>6857.07396</v>
      </c>
      <c r="E22" s="43">
        <v>6857.07396</v>
      </c>
      <c r="F22" s="43">
        <v>6859.975689216</v>
      </c>
      <c r="G22" s="43">
        <v>6859.971198600001</v>
      </c>
      <c r="H22" s="43">
        <v>6919.222637723136</v>
      </c>
      <c r="I22" s="43">
        <v>6938.174870264042</v>
      </c>
    </row>
    <row r="23" spans="1:9" ht="15">
      <c r="A23" s="36"/>
      <c r="B23" s="14" t="s">
        <v>8</v>
      </c>
      <c r="D23" s="43">
        <v>714.12396</v>
      </c>
      <c r="E23" s="43">
        <v>714.12396</v>
      </c>
      <c r="F23" s="43">
        <v>714.67256448</v>
      </c>
      <c r="G23" s="43">
        <v>714.67135488</v>
      </c>
      <c r="H23" s="43">
        <v>718.4216664575999</v>
      </c>
      <c r="I23" s="43">
        <v>720.38872571904</v>
      </c>
    </row>
    <row r="24" spans="1:9" ht="15">
      <c r="A24" s="36"/>
      <c r="B24" s="14" t="s">
        <v>9</v>
      </c>
      <c r="D24" s="43">
        <v>9147.156959999998</v>
      </c>
      <c r="E24" s="43">
        <v>9147.156959999998</v>
      </c>
      <c r="F24" s="43">
        <v>9299.480255999999</v>
      </c>
      <c r="G24" s="43">
        <v>9299.47584</v>
      </c>
      <c r="H24" s="43">
        <v>9274.07184</v>
      </c>
      <c r="I24" s="43">
        <v>9299.47584</v>
      </c>
    </row>
    <row r="25" spans="1:9" ht="15">
      <c r="A25" s="36"/>
      <c r="B25" s="14" t="s">
        <v>10</v>
      </c>
      <c r="D25" s="44">
        <v>8412.78864</v>
      </c>
      <c r="E25" s="44">
        <v>8412.78864</v>
      </c>
      <c r="F25" s="43">
        <v>11071.806770073601</v>
      </c>
      <c r="G25" s="43">
        <v>11071.803847488</v>
      </c>
      <c r="H25" s="43">
        <v>11112.221889868186</v>
      </c>
      <c r="I25" s="43">
        <v>11142.663392111921</v>
      </c>
    </row>
    <row r="26" spans="1:9" ht="15">
      <c r="A26" s="36"/>
      <c r="B26" s="14" t="s">
        <v>11</v>
      </c>
      <c r="D26" s="43">
        <v>11952.44184</v>
      </c>
      <c r="E26" s="43">
        <v>11952.44184</v>
      </c>
      <c r="F26" s="43">
        <v>12080.018306707201</v>
      </c>
      <c r="G26" s="43">
        <v>12080.013082272</v>
      </c>
      <c r="H26" s="43">
        <v>12140.979491987224</v>
      </c>
      <c r="I26" s="43">
        <v>12174.237184313723</v>
      </c>
    </row>
    <row r="27" spans="1:9" ht="15">
      <c r="A27" s="36"/>
      <c r="B27" s="14" t="s">
        <v>12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</row>
    <row r="28" spans="1:9" ht="15" hidden="1">
      <c r="A28" s="36"/>
      <c r="B28" s="14" t="s">
        <v>13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>
      <c r="A29" s="36"/>
      <c r="B29" s="14" t="s">
        <v>14</v>
      </c>
      <c r="D29" s="45">
        <v>3714.568610287463</v>
      </c>
      <c r="E29" s="45">
        <v>3730.5686399999995</v>
      </c>
      <c r="F29" s="45">
        <v>3530.86220644517</v>
      </c>
      <c r="G29" s="45">
        <v>3521.2150419466857</v>
      </c>
      <c r="H29" s="45">
        <v>3521.2150419466857</v>
      </c>
      <c r="I29" s="45">
        <v>3521.2150419466857</v>
      </c>
    </row>
    <row r="30" spans="1:9" ht="15">
      <c r="A30" s="36"/>
      <c r="D30" s="44">
        <v>44769.61385028746</v>
      </c>
      <c r="E30" s="44">
        <v>44785.61388</v>
      </c>
      <c r="F30" s="43">
        <v>47577.888578238766</v>
      </c>
      <c r="G30" s="43">
        <v>47568.22703498269</v>
      </c>
      <c r="H30" s="43">
        <v>47717.47227274739</v>
      </c>
      <c r="I30" s="43">
        <v>47838.543430501326</v>
      </c>
    </row>
    <row r="31" spans="1:9" ht="15">
      <c r="A31" s="36"/>
      <c r="D31" s="46"/>
      <c r="E31" s="46"/>
      <c r="F31" s="46"/>
      <c r="G31" s="46"/>
      <c r="H31" s="46"/>
      <c r="I31" s="46"/>
    </row>
    <row r="32" spans="1:9" ht="15">
      <c r="A32" s="36"/>
      <c r="B32" s="38" t="s">
        <v>19</v>
      </c>
      <c r="D32" s="39">
        <v>2022</v>
      </c>
      <c r="E32" s="39">
        <v>2023</v>
      </c>
      <c r="F32" s="39">
        <v>2024</v>
      </c>
      <c r="G32" s="39">
        <v>2025</v>
      </c>
      <c r="H32" s="39">
        <v>2026</v>
      </c>
      <c r="I32" s="39">
        <v>2027</v>
      </c>
    </row>
    <row r="33" spans="1:9" ht="15">
      <c r="A33" s="36"/>
      <c r="D33" s="37"/>
      <c r="E33" s="37"/>
      <c r="F33" s="37"/>
      <c r="G33" s="37"/>
      <c r="H33" s="37"/>
      <c r="I33" s="37"/>
    </row>
    <row r="34" spans="1:9" ht="15">
      <c r="A34" s="36"/>
      <c r="B34" s="14" t="s">
        <v>6</v>
      </c>
      <c r="D34" s="47">
        <v>249923.9702484</v>
      </c>
      <c r="E34" s="47">
        <v>249923.9702484</v>
      </c>
      <c r="F34" s="47">
        <v>258635.40155157656</v>
      </c>
      <c r="G34" s="47">
        <v>258635.65140127874</v>
      </c>
      <c r="H34" s="47">
        <v>264738.07841188845</v>
      </c>
      <c r="I34" s="47">
        <v>265463.64466150256</v>
      </c>
    </row>
    <row r="35" spans="1:9" ht="15">
      <c r="A35" s="36"/>
      <c r="B35" s="14" t="s">
        <v>7</v>
      </c>
      <c r="D35" s="47">
        <v>398875.9922532</v>
      </c>
      <c r="E35" s="47">
        <v>398875.9922532</v>
      </c>
      <c r="F35" s="47">
        <v>400622.58025021444</v>
      </c>
      <c r="G35" s="47">
        <v>400622.31799824006</v>
      </c>
      <c r="H35" s="47">
        <v>409687.1723795869</v>
      </c>
      <c r="I35" s="47">
        <v>410809.3340683339</v>
      </c>
    </row>
    <row r="36" spans="1:9" ht="15">
      <c r="A36" s="36"/>
      <c r="B36" s="14" t="s">
        <v>8</v>
      </c>
      <c r="D36" s="47">
        <v>48803.2314264</v>
      </c>
      <c r="E36" s="47">
        <v>48803.2314264</v>
      </c>
      <c r="F36" s="47">
        <v>49648.303054425596</v>
      </c>
      <c r="G36" s="47">
        <v>49648.2190235136</v>
      </c>
      <c r="H36" s="47">
        <v>50016.51641877811</v>
      </c>
      <c r="I36" s="47">
        <v>50153.463084559575</v>
      </c>
    </row>
    <row r="37" spans="1:9" ht="15">
      <c r="A37" s="36"/>
      <c r="B37" s="14" t="s">
        <v>9</v>
      </c>
      <c r="D37" s="47">
        <v>709910.8516655999</v>
      </c>
      <c r="E37" s="47">
        <v>709910.8516655999</v>
      </c>
      <c r="F37" s="47">
        <v>728521.28325504</v>
      </c>
      <c r="G37" s="47">
        <v>728520.9373055999</v>
      </c>
      <c r="H37" s="47">
        <v>732744.4160784001</v>
      </c>
      <c r="I37" s="47">
        <v>734751.5861184</v>
      </c>
    </row>
    <row r="38" spans="1:9" ht="15">
      <c r="A38" s="36"/>
      <c r="B38" s="14" t="s">
        <v>10</v>
      </c>
      <c r="D38" s="48">
        <v>589652.3557776001</v>
      </c>
      <c r="E38" s="48">
        <v>589652.3557776001</v>
      </c>
      <c r="F38" s="47">
        <v>969004.5285168415</v>
      </c>
      <c r="G38" s="47">
        <v>969004.2727321497</v>
      </c>
      <c r="H38" s="47">
        <v>1054994.3462240854</v>
      </c>
      <c r="I38" s="47">
        <v>1057884.4624471057</v>
      </c>
    </row>
    <row r="39" spans="1:9" ht="15">
      <c r="A39" s="36"/>
      <c r="B39" s="14" t="s">
        <v>11</v>
      </c>
      <c r="D39" s="47">
        <v>804160.2869952</v>
      </c>
      <c r="E39" s="47">
        <v>804160.2869952</v>
      </c>
      <c r="F39" s="47">
        <v>837386.8690209431</v>
      </c>
      <c r="G39" s="47">
        <v>837386.506863095</v>
      </c>
      <c r="H39" s="47">
        <v>899039.5313816539</v>
      </c>
      <c r="I39" s="47">
        <v>901502.2634984311</v>
      </c>
    </row>
    <row r="40" spans="1:9" ht="15">
      <c r="A40" s="36"/>
      <c r="B40" s="14" t="s">
        <v>12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5" hidden="1">
      <c r="A41" s="36"/>
      <c r="B41" s="14" t="s">
        <v>13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5">
      <c r="A42" s="36"/>
      <c r="B42" s="14" t="s">
        <v>14</v>
      </c>
      <c r="D42" s="49">
        <v>207384.36551234906</v>
      </c>
      <c r="E42" s="49">
        <v>208277.64717119996</v>
      </c>
      <c r="F42" s="49">
        <v>203307.0458471129</v>
      </c>
      <c r="G42" s="49">
        <v>202751.56211529014</v>
      </c>
      <c r="H42" s="49">
        <v>210885.568862187</v>
      </c>
      <c r="I42" s="49">
        <v>210885.568862187</v>
      </c>
    </row>
    <row r="43" spans="1:9" ht="15">
      <c r="A43" s="36"/>
      <c r="D43" s="50">
        <v>3008711.0538787493</v>
      </c>
      <c r="E43" s="50">
        <v>3009604.3355376</v>
      </c>
      <c r="F43" s="42">
        <v>3447126.011496154</v>
      </c>
      <c r="G43" s="42">
        <v>3446569.467439167</v>
      </c>
      <c r="H43" s="42">
        <v>3622105.6297565796</v>
      </c>
      <c r="I43" s="42">
        <v>3631450.32274052</v>
      </c>
    </row>
    <row r="44" ht="15">
      <c r="A44" s="36"/>
    </row>
    <row r="45" ht="15">
      <c r="A45" s="36"/>
    </row>
    <row r="46" ht="15">
      <c r="A46" s="36"/>
    </row>
    <row r="47" ht="15">
      <c r="A47" s="36"/>
    </row>
    <row r="48" ht="15">
      <c r="A48" s="36"/>
    </row>
    <row r="49" ht="15">
      <c r="A49" s="36"/>
    </row>
    <row r="50" ht="15">
      <c r="A50" s="36"/>
    </row>
    <row r="51" ht="15">
      <c r="A51" s="36"/>
    </row>
    <row r="52" ht="15">
      <c r="A52" s="36"/>
    </row>
  </sheetData>
  <conditionalFormatting sqref="B2">
    <cfRule type="expression" priority="1" dxfId="0" stopIfTrue="1">
      <formula>A1 &gt; 30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 topLeftCell="A13">
      <selection activeCell="C43" sqref="C43"/>
    </sheetView>
  </sheetViews>
  <sheetFormatPr defaultColWidth="9.140625" defaultRowHeight="15"/>
  <cols>
    <col min="1" max="1" width="12.421875" style="10" customWidth="1"/>
    <col min="2" max="2" width="12.57421875" style="13" customWidth="1"/>
    <col min="3" max="3" width="30.28125" style="13" bestFit="1" customWidth="1"/>
    <col min="4" max="9" width="12.57421875" style="13" customWidth="1"/>
    <col min="10" max="11" width="9.140625" style="13" customWidth="1"/>
    <col min="12" max="12" width="11.57421875" style="13" bestFit="1" customWidth="1"/>
    <col min="13" max="16384" width="9.140625" style="13" customWidth="1"/>
  </cols>
  <sheetData>
    <row r="1" spans="1:12" s="3" customFormat="1" ht="18.75">
      <c r="A1" s="1"/>
      <c r="B1" s="2" t="s">
        <v>0</v>
      </c>
      <c r="L1" s="4" t="s">
        <v>1</v>
      </c>
    </row>
    <row r="2" spans="1:9" s="3" customFormat="1" ht="12.75">
      <c r="A2" s="5"/>
      <c r="B2" s="6"/>
      <c r="C2" s="7"/>
      <c r="D2" s="7"/>
      <c r="E2" s="7"/>
      <c r="F2" s="7"/>
      <c r="H2" s="7"/>
      <c r="I2" s="7"/>
    </row>
    <row r="3" spans="1:3" s="10" customFormat="1" ht="20.25">
      <c r="A3" s="8"/>
      <c r="B3" s="6"/>
      <c r="C3" s="9"/>
    </row>
    <row r="5" spans="2:4" ht="15">
      <c r="B5" s="11"/>
      <c r="C5" s="11" t="s">
        <v>2</v>
      </c>
      <c r="D5" s="12">
        <v>5.55</v>
      </c>
    </row>
    <row r="6" spans="2:3" ht="15">
      <c r="B6" s="11"/>
      <c r="C6" s="11"/>
    </row>
    <row r="7" spans="2:9" ht="15">
      <c r="B7" s="14"/>
      <c r="C7" s="14"/>
      <c r="D7" s="14"/>
      <c r="E7" s="14"/>
      <c r="F7" s="14"/>
      <c r="G7" s="14"/>
      <c r="H7" s="14"/>
      <c r="I7" s="14"/>
    </row>
    <row r="8" spans="2:12" ht="15">
      <c r="B8" s="15" t="s">
        <v>3</v>
      </c>
      <c r="C8" s="15" t="s">
        <v>4</v>
      </c>
      <c r="D8" s="16">
        <v>2022</v>
      </c>
      <c r="E8" s="16">
        <v>2023</v>
      </c>
      <c r="F8" s="16">
        <v>2024</v>
      </c>
      <c r="G8" s="16">
        <v>2025</v>
      </c>
      <c r="H8" s="16">
        <v>2026</v>
      </c>
      <c r="I8" s="16">
        <v>2027</v>
      </c>
      <c r="L8" s="13" t="s">
        <v>5</v>
      </c>
    </row>
    <row r="9" spans="2:9" ht="15">
      <c r="B9" s="17">
        <v>10016</v>
      </c>
      <c r="C9" s="18" t="s">
        <v>6</v>
      </c>
      <c r="D9" s="19">
        <v>62.93</v>
      </c>
      <c r="E9" s="19">
        <v>62.93</v>
      </c>
      <c r="F9" s="19">
        <v>64.32</v>
      </c>
      <c r="G9" s="19">
        <v>64.32</v>
      </c>
      <c r="H9" s="19">
        <v>65.67</v>
      </c>
      <c r="I9" s="19">
        <v>65.67</v>
      </c>
    </row>
    <row r="10" spans="2:9" ht="15">
      <c r="B10" s="17">
        <v>10205</v>
      </c>
      <c r="C10" s="18" t="s">
        <v>7</v>
      </c>
      <c r="D10" s="19">
        <v>58.17</v>
      </c>
      <c r="E10" s="19">
        <v>58.17</v>
      </c>
      <c r="F10" s="19">
        <v>58.4</v>
      </c>
      <c r="G10" s="19">
        <v>58.4</v>
      </c>
      <c r="H10" s="19">
        <v>59.21</v>
      </c>
      <c r="I10" s="19">
        <v>59.21</v>
      </c>
    </row>
    <row r="11" spans="2:9" ht="15">
      <c r="B11" s="17">
        <v>10262</v>
      </c>
      <c r="C11" s="18" t="s">
        <v>8</v>
      </c>
      <c r="D11" s="19">
        <v>68.34</v>
      </c>
      <c r="E11" s="19">
        <v>68.34</v>
      </c>
      <c r="F11" s="19">
        <v>69.47</v>
      </c>
      <c r="G11" s="19">
        <v>69.47</v>
      </c>
      <c r="H11" s="19">
        <v>69.62</v>
      </c>
      <c r="I11" s="19">
        <v>69.62</v>
      </c>
    </row>
    <row r="12" spans="2:9" ht="15">
      <c r="B12" s="17">
        <v>10300</v>
      </c>
      <c r="C12" s="18" t="s">
        <v>9</v>
      </c>
      <c r="D12" s="19">
        <v>77.61</v>
      </c>
      <c r="E12" s="19">
        <v>77.61</v>
      </c>
      <c r="F12" s="19">
        <v>78.34</v>
      </c>
      <c r="G12" s="19">
        <v>78.34</v>
      </c>
      <c r="H12" s="19">
        <v>79.01</v>
      </c>
      <c r="I12" s="19">
        <v>79.01</v>
      </c>
    </row>
    <row r="13" spans="2:9" ht="15">
      <c r="B13" s="20">
        <v>10314</v>
      </c>
      <c r="C13" s="21" t="s">
        <v>10</v>
      </c>
      <c r="D13" s="19">
        <v>70.09</v>
      </c>
      <c r="E13" s="19">
        <v>70.09</v>
      </c>
      <c r="F13" s="19">
        <v>87.52</v>
      </c>
      <c r="G13" s="19">
        <v>87.52</v>
      </c>
      <c r="H13" s="19">
        <v>94.94</v>
      </c>
      <c r="I13" s="19">
        <v>94.94</v>
      </c>
    </row>
    <row r="14" spans="2:9" ht="15">
      <c r="B14" s="17">
        <v>10325</v>
      </c>
      <c r="C14" s="18" t="s">
        <v>11</v>
      </c>
      <c r="D14" s="19">
        <v>67.28</v>
      </c>
      <c r="E14" s="19">
        <v>67.28</v>
      </c>
      <c r="F14" s="19">
        <v>69.32</v>
      </c>
      <c r="G14" s="19">
        <v>69.32</v>
      </c>
      <c r="H14" s="19">
        <v>74.05</v>
      </c>
      <c r="I14" s="19">
        <v>74.05</v>
      </c>
    </row>
    <row r="15" spans="2:9" ht="15">
      <c r="B15" s="17">
        <v>10103</v>
      </c>
      <c r="C15" s="18" t="s">
        <v>12</v>
      </c>
      <c r="D15" s="19">
        <v>42.14</v>
      </c>
      <c r="E15" s="19">
        <v>42.14</v>
      </c>
      <c r="F15" s="19">
        <v>43.34</v>
      </c>
      <c r="G15" s="19">
        <v>43.34</v>
      </c>
      <c r="H15" s="19">
        <v>45.07</v>
      </c>
      <c r="I15" s="19">
        <v>45.07</v>
      </c>
    </row>
    <row r="16" spans="2:9" ht="15">
      <c r="B16" s="22">
        <v>10183</v>
      </c>
      <c r="C16" s="23" t="s">
        <v>13</v>
      </c>
      <c r="D16" s="19"/>
      <c r="E16" s="19"/>
      <c r="F16" s="19"/>
      <c r="G16" s="19"/>
      <c r="H16" s="19"/>
      <c r="I16" s="19"/>
    </row>
    <row r="17" spans="2:9" ht="15">
      <c r="B17" s="17">
        <v>10354</v>
      </c>
      <c r="C17" s="18" t="s">
        <v>14</v>
      </c>
      <c r="D17" s="19">
        <v>55.83</v>
      </c>
      <c r="E17" s="19">
        <v>55.83</v>
      </c>
      <c r="F17" s="19">
        <v>57.58</v>
      </c>
      <c r="G17" s="19">
        <v>57.58</v>
      </c>
      <c r="H17" s="19">
        <v>59.89</v>
      </c>
      <c r="I17" s="19">
        <v>59.89</v>
      </c>
    </row>
    <row r="18" spans="4:9" ht="15">
      <c r="D18" s="24"/>
      <c r="E18" s="24"/>
      <c r="F18" s="24"/>
      <c r="G18" s="24"/>
      <c r="H18" s="24"/>
      <c r="I18" s="24"/>
    </row>
    <row r="19" spans="4:9" ht="15">
      <c r="D19" s="25"/>
      <c r="E19" s="25"/>
      <c r="F19" s="25"/>
      <c r="G19" s="25"/>
      <c r="H19" s="25"/>
      <c r="I19" s="25"/>
    </row>
    <row r="20" spans="4:9" ht="15">
      <c r="D20" s="25"/>
      <c r="E20" s="25"/>
      <c r="F20" s="25"/>
      <c r="G20" s="25"/>
      <c r="H20" s="25"/>
      <c r="I20" s="25"/>
    </row>
    <row r="21" spans="4:9" ht="15">
      <c r="D21" s="25"/>
      <c r="E21" s="25"/>
      <c r="F21" s="25"/>
      <c r="G21" s="25"/>
      <c r="H21" s="25"/>
      <c r="I21" s="25"/>
    </row>
    <row r="22" spans="4:9" ht="15">
      <c r="D22" s="25"/>
      <c r="E22" s="25"/>
      <c r="F22" s="25"/>
      <c r="G22" s="25"/>
      <c r="H22" s="25"/>
      <c r="I22" s="25"/>
    </row>
    <row r="23" spans="4:9" ht="15">
      <c r="D23" s="25"/>
      <c r="E23" s="25"/>
      <c r="F23" s="25"/>
      <c r="G23" s="25"/>
      <c r="H23" s="25"/>
      <c r="I23" s="25"/>
    </row>
    <row r="24" spans="4:9" ht="15">
      <c r="D24" s="25"/>
      <c r="E24" s="25"/>
      <c r="F24" s="25"/>
      <c r="G24" s="25"/>
      <c r="H24" s="25"/>
      <c r="I24" s="25"/>
    </row>
    <row r="25" spans="4:9" ht="15">
      <c r="D25" s="25"/>
      <c r="E25" s="25"/>
      <c r="F25" s="25"/>
      <c r="G25" s="25"/>
      <c r="H25" s="25"/>
      <c r="I25" s="25"/>
    </row>
    <row r="26" spans="4:9" ht="15">
      <c r="D26" s="25"/>
      <c r="E26" s="25"/>
      <c r="F26" s="25"/>
      <c r="G26" s="25"/>
      <c r="H26" s="25"/>
      <c r="I26" s="25"/>
    </row>
    <row r="27" spans="5:9" ht="15">
      <c r="E27" s="25"/>
      <c r="F27" s="25"/>
      <c r="G27" s="25"/>
      <c r="H27" s="25"/>
      <c r="I27" s="25"/>
    </row>
    <row r="28" spans="4:9" ht="15">
      <c r="D28" s="25"/>
      <c r="E28" s="25"/>
      <c r="F28" s="25"/>
      <c r="G28" s="25"/>
      <c r="H28" s="25"/>
      <c r="I28" s="25"/>
    </row>
    <row r="29" spans="2:9" ht="15">
      <c r="B29" s="14"/>
      <c r="C29" s="14"/>
      <c r="D29" s="14"/>
      <c r="E29" s="14"/>
      <c r="F29" s="14"/>
      <c r="G29" s="14"/>
      <c r="H29" s="14"/>
      <c r="I29" s="14"/>
    </row>
    <row r="30" spans="2:9" ht="15">
      <c r="B30" s="11"/>
      <c r="C30" s="15" t="s">
        <v>15</v>
      </c>
      <c r="D30" s="26">
        <v>2022</v>
      </c>
      <c r="E30" s="26">
        <v>2023</v>
      </c>
      <c r="F30" s="26">
        <v>2024</v>
      </c>
      <c r="G30" s="26">
        <v>2025</v>
      </c>
      <c r="H30" s="26">
        <v>2026</v>
      </c>
      <c r="I30" s="26">
        <v>2027</v>
      </c>
    </row>
    <row r="31" spans="2:9" ht="15">
      <c r="B31" s="17">
        <v>10016</v>
      </c>
      <c r="C31" s="18" t="s">
        <v>6</v>
      </c>
      <c r="D31" s="27">
        <v>453.363</v>
      </c>
      <c r="E31" s="27">
        <v>453.363</v>
      </c>
      <c r="F31" s="27">
        <v>457.77240270000004</v>
      </c>
      <c r="G31" s="27">
        <v>459.0270171000001</v>
      </c>
      <c r="H31" s="27">
        <v>460.1985964343101</v>
      </c>
      <c r="I31" s="27">
        <v>461.4598602906301</v>
      </c>
    </row>
    <row r="32" spans="2:9" ht="15">
      <c r="B32" s="17">
        <v>10205</v>
      </c>
      <c r="C32" s="18" t="s">
        <v>7</v>
      </c>
      <c r="D32" s="27">
        <v>782.771</v>
      </c>
      <c r="E32" s="27">
        <v>782.771</v>
      </c>
      <c r="F32" s="27">
        <v>780.962624</v>
      </c>
      <c r="G32" s="27">
        <v>783.1017350000001</v>
      </c>
      <c r="H32" s="27">
        <v>789.8655979136</v>
      </c>
      <c r="I32" s="27">
        <v>792.0290947790002</v>
      </c>
    </row>
    <row r="33" spans="2:9" ht="15">
      <c r="B33" s="17">
        <v>10262</v>
      </c>
      <c r="C33" s="18" t="s">
        <v>8</v>
      </c>
      <c r="D33" s="27">
        <v>81.521</v>
      </c>
      <c r="E33" s="27">
        <v>81.521</v>
      </c>
      <c r="F33" s="27">
        <v>81.36072</v>
      </c>
      <c r="G33" s="27">
        <v>81.583488</v>
      </c>
      <c r="H33" s="27">
        <v>82.01160576</v>
      </c>
      <c r="I33" s="27">
        <v>82.236155904</v>
      </c>
    </row>
    <row r="34" spans="2:9" ht="15">
      <c r="B34" s="17">
        <v>10300</v>
      </c>
      <c r="C34" s="18" t="s">
        <v>9</v>
      </c>
      <c r="D34" s="27">
        <v>1044.196</v>
      </c>
      <c r="E34" s="27">
        <v>1044.196</v>
      </c>
      <c r="F34" s="27">
        <v>1058.684</v>
      </c>
      <c r="G34" s="27">
        <v>1061.584</v>
      </c>
      <c r="H34" s="27">
        <v>1058.684</v>
      </c>
      <c r="I34" s="27">
        <v>1061.584</v>
      </c>
    </row>
    <row r="35" spans="2:9" ht="15">
      <c r="B35" s="17">
        <v>10314</v>
      </c>
      <c r="C35" s="18" t="s">
        <v>10</v>
      </c>
      <c r="D35" s="29">
        <v>960.364</v>
      </c>
      <c r="E35" s="29">
        <v>960.364</v>
      </c>
      <c r="F35" s="27">
        <v>1260.4515904</v>
      </c>
      <c r="G35" s="27">
        <v>1263.9045488</v>
      </c>
      <c r="H35" s="27">
        <v>1268.51848057856</v>
      </c>
      <c r="I35" s="27">
        <v>1271.9935379123199</v>
      </c>
    </row>
    <row r="36" spans="2:9" ht="15">
      <c r="B36" s="17">
        <v>10325</v>
      </c>
      <c r="C36" s="18" t="s">
        <v>11</v>
      </c>
      <c r="D36" s="27">
        <v>1364.434</v>
      </c>
      <c r="E36" s="27">
        <v>1364.434</v>
      </c>
      <c r="F36" s="27">
        <v>1375.2297708</v>
      </c>
      <c r="G36" s="27">
        <v>1378.9969272</v>
      </c>
      <c r="H36" s="27">
        <v>1385.9565630122402</v>
      </c>
      <c r="I36" s="27">
        <v>1389.7531032321601</v>
      </c>
    </row>
    <row r="37" spans="2:9" ht="15">
      <c r="B37" s="17">
        <v>10103</v>
      </c>
      <c r="C37" s="18" t="s">
        <v>12</v>
      </c>
      <c r="D37" s="27">
        <v>289.376</v>
      </c>
      <c r="E37" s="27">
        <v>289.397</v>
      </c>
      <c r="F37" s="27">
        <v>296.99004205391793</v>
      </c>
      <c r="G37" s="27">
        <v>296.99004205391793</v>
      </c>
      <c r="H37" s="27">
        <v>296.99004205391793</v>
      </c>
      <c r="I37" s="27">
        <v>296.99004205391793</v>
      </c>
    </row>
    <row r="38" spans="2:9" ht="15">
      <c r="B38" s="22">
        <v>10183</v>
      </c>
      <c r="C38" s="23" t="s">
        <v>13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2:9" ht="15">
      <c r="B39" s="17">
        <v>10354</v>
      </c>
      <c r="C39" s="18" t="s">
        <v>14</v>
      </c>
      <c r="D39" s="27">
        <v>424.037512589893</v>
      </c>
      <c r="E39" s="27">
        <v>425.864</v>
      </c>
      <c r="F39" s="27">
        <v>401.9651874368363</v>
      </c>
      <c r="G39" s="27">
        <v>401.9651874368363</v>
      </c>
      <c r="H39" s="27">
        <v>401.9651874368363</v>
      </c>
      <c r="I39" s="27">
        <v>401.9651874368363</v>
      </c>
    </row>
    <row r="40" spans="4:9" ht="15">
      <c r="D40" s="28"/>
      <c r="E40" s="28"/>
      <c r="F40" s="28"/>
      <c r="G40" s="28"/>
      <c r="H40" s="28"/>
      <c r="I40" s="28"/>
    </row>
    <row r="41" spans="4:9" ht="15">
      <c r="D41" s="28"/>
      <c r="E41" s="28"/>
      <c r="F41" s="28"/>
      <c r="G41" s="28"/>
      <c r="H41" s="28"/>
      <c r="I41" s="28"/>
    </row>
    <row r="42" spans="4:9" ht="15">
      <c r="D42" s="28"/>
      <c r="E42" s="28"/>
      <c r="F42" s="28"/>
      <c r="G42" s="28"/>
      <c r="H42" s="28"/>
      <c r="I42" s="28"/>
    </row>
    <row r="43" spans="4:9" ht="15">
      <c r="D43" s="28"/>
      <c r="E43" s="28"/>
      <c r="F43" s="28"/>
      <c r="G43" s="28"/>
      <c r="H43" s="28"/>
      <c r="I43" s="28"/>
    </row>
    <row r="44" spans="4:9" ht="15">
      <c r="D44" s="28"/>
      <c r="E44" s="28"/>
      <c r="F44" s="28"/>
      <c r="G44" s="28"/>
      <c r="H44" s="28"/>
      <c r="I44" s="28"/>
    </row>
    <row r="45" spans="4:9" ht="15">
      <c r="D45" s="28"/>
      <c r="E45" s="28"/>
      <c r="F45" s="28"/>
      <c r="G45" s="28"/>
      <c r="H45" s="28"/>
      <c r="I45" s="28"/>
    </row>
    <row r="46" spans="4:9" ht="15">
      <c r="D46" s="28"/>
      <c r="E46" s="28"/>
      <c r="F46" s="28"/>
      <c r="G46" s="28"/>
      <c r="H46" s="28"/>
      <c r="I46" s="28"/>
    </row>
    <row r="47" spans="4:9" ht="15">
      <c r="D47" s="28"/>
      <c r="E47" s="28"/>
      <c r="F47" s="28"/>
      <c r="G47" s="28"/>
      <c r="H47" s="28"/>
      <c r="I47" s="28"/>
    </row>
    <row r="48" spans="4:9" ht="15">
      <c r="D48" s="28"/>
      <c r="E48" s="28"/>
      <c r="F48" s="28"/>
      <c r="G48" s="28"/>
      <c r="H48" s="28"/>
      <c r="I48" s="28"/>
    </row>
    <row r="49" spans="4:9" ht="15">
      <c r="D49" s="28"/>
      <c r="E49" s="28"/>
      <c r="F49" s="28"/>
      <c r="G49" s="28"/>
      <c r="H49" s="28"/>
      <c r="I49" s="28"/>
    </row>
    <row r="50" spans="4:9" ht="15">
      <c r="D50" s="28"/>
      <c r="E50" s="28"/>
      <c r="F50" s="28"/>
      <c r="G50" s="28"/>
      <c r="H50" s="28"/>
      <c r="I50" s="28"/>
    </row>
  </sheetData>
  <conditionalFormatting sqref="B3">
    <cfRule type="expression" priority="2" dxfId="0" stopIfTrue="1">
      <formula>A2 &gt; 30</formula>
    </cfRule>
  </conditionalFormatting>
  <conditionalFormatting sqref="B2">
    <cfRule type="expression" priority="1" dxfId="0" stopIfTrue="1">
      <formula>A1 &gt; 30</formula>
    </cfRule>
  </conditionalFormatting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E17D87B0A0545AE9B4C7D0EF2487C" ma:contentTypeVersion="0" ma:contentTypeDescription="Create a new document." ma:contentTypeScope="" ma:versionID="ca2a47ddfabaaf22a27f940a921c65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50C69-5C82-4412-8276-C881345DA32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3A41D7-6B06-406E-99FE-BFB9F3309B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3C49F-664C-419D-8C6E-8CBB08858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RAM2022_Errata_Excerpt</dc:title>
  <dc:subject/>
  <dc:creator>Adams,Stephanie A (BPA) - PSR-6</dc:creator>
  <cp:keywords/>
  <dc:description/>
  <cp:lastModifiedBy>Adams,Stephanie A (BPA) - PSR-6</cp:lastModifiedBy>
  <dcterms:created xsi:type="dcterms:W3CDTF">2021-08-25T17:44:05Z</dcterms:created>
  <dcterms:modified xsi:type="dcterms:W3CDTF">2021-08-25T17:58:43Z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0x0101006A2E17D87B0A0545AE9B4C7D0EF2487C</vt:lpwstr>
  </property>
</Properties>
</file>