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2668" yWindow="1020" windowWidth="26112" windowHeight="11580" activeTab="0"/>
  </bookViews>
  <sheets>
    <sheet name="Rate Calculations" sheetId="10" r:id="rId1"/>
    <sheet name="Sum of Billing Determinants" sheetId="16" r:id="rId2"/>
    <sheet name="PF Customer Bill Amounts" sheetId="17" r:id="rId3"/>
  </sheets>
  <definedNames>
    <definedName name="FirstYear">#REF!</definedName>
    <definedName name="Options">#REF!</definedName>
    <definedName name="_xlnm.Print_Area" localSheetId="0">'Rate Calculations'!$A$1:$L$33</definedName>
    <definedName name="_xlnm.Print_Area" localSheetId="1">'Sum of Billing Determinants'!$A$1:$O$9</definedName>
    <definedName name="SecondYear">#REF!</definedName>
    <definedName name="Spread">#REF!</definedName>
    <definedName name="_xlnm.Print_Titles" localSheetId="2">'PF Customer Bill Amounts'!$B:$C,'PF Customer Bill Amounts'!$2:$4</definedName>
  </definedNames>
  <calcPr calcId="162913"/>
</workbook>
</file>

<file path=xl/sharedStrings.xml><?xml version="1.0" encoding="utf-8"?>
<sst xmlns="http://schemas.openxmlformats.org/spreadsheetml/2006/main" count="321" uniqueCount="183">
  <si>
    <t>BESID</t>
  </si>
  <si>
    <t>Preference Customer</t>
  </si>
  <si>
    <t>Alder Mutual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</si>
  <si>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</si>
  <si>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</si>
  <si>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</si>
  <si>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</si>
  <si>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</si>
  <si>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</si>
  <si>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</si>
  <si>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</si>
  <si>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</si>
  <si>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</si>
  <si>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</si>
  <si>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</si>
  <si>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</si>
  <si>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</si>
  <si>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</si>
  <si>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</si>
  <si>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</si>
  <si>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</si>
  <si>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</si>
  <si>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</si>
  <si>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</si>
  <si>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</si>
  <si>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</si>
  <si>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</si>
  <si>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</si>
  <si>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</si>
  <si>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</si>
  <si>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</si>
  <si>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</si>
  <si>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</si>
  <si>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</si>
  <si>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</si>
  <si>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</si>
  <si>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</si>
  <si>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</si>
  <si>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</si>
  <si>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</si>
  <si>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</si>
  <si>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</si>
  <si>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</si>
  <si>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</si>
  <si>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</si>
  <si>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</si>
  <si>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</si>
  <si>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</si>
  <si>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</si>
  <si>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</si>
  <si>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</si>
  <si>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</si>
  <si>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</si>
  <si>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</si>
  <si>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</si>
  <si>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</si>
  <si>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</si>
  <si>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</si>
  <si>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</si>
  <si>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</si>
  <si>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</si>
  <si>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</si>
  <si>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</si>
  <si>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</si>
  <si>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</si>
  <si>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</si>
  <si>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</si>
  <si>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</si>
  <si>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</si>
  <si>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</si>
  <si>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</si>
  <si>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</si>
  <si>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</si>
  <si>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</si>
  <si>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</si>
  <si>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</si>
  <si>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</si>
  <si>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</si>
  <si>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</si>
  <si>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</si>
  <si>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</si>
  <si>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</si>
  <si>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</si>
  <si>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</si>
  <si>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</si>
  <si>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</si>
  <si>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</si>
  <si>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</si>
  <si>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</si>
  <si>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</si>
  <si>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</si>
  <si>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</si>
  <si>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</si>
  <si>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</si>
  <si>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</si>
  <si>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</si>
  <si>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</si>
  <si>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</si>
  <si>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</si>
  <si>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</si>
  <si>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</si>
  <si>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</si>
  <si>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</si>
  <si>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</si>
  <si>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</si>
  <si>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</si>
  <si>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</si>
  <si>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</si>
  <si>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</si>
  <si>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</si>
  <si>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</si>
  <si>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</si>
  <si>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</si>
  <si>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</si>
  <si>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</si>
  <si>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</si>
  <si>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</si>
  <si>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</si>
  <si>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</si>
  <si>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</si>
  <si>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</si>
  <si>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</si>
  <si>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</si>
  <si>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</si>
  <si>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</si>
  <si>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</si>
  <si>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</si>
  <si>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</si>
  <si>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</si>
  <si>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Kalispel Tribe Utility</t>
  </si>
  <si>
    <t>Hermiston, City of</t>
  </si>
  <si>
    <t>Port of Seattle - SETAC In'tl. Airport</t>
  </si>
  <si>
    <t>Weiser, City of</t>
  </si>
  <si>
    <t>Jefferson County PUD #1</t>
  </si>
  <si>
    <t>System Shaped Load (MWh)</t>
  </si>
  <si>
    <t>Sum of Billing Determinants (BD) (MWh)</t>
  </si>
  <si>
    <t>Total</t>
  </si>
  <si>
    <t>PF Melded Load (MWh)</t>
  </si>
  <si>
    <t>IP Load (MWh)</t>
  </si>
  <si>
    <t>NR Load (MWh)</t>
  </si>
  <si>
    <t>C</t>
  </si>
  <si>
    <t>Adjusted Load Shaping Charge True-Up rate:</t>
  </si>
  <si>
    <t>Adjusted PF Melded Equivalent Energy Scalar rate:</t>
  </si>
  <si>
    <t>HLH ($/MWh)</t>
  </si>
  <si>
    <t>LLH ($/MWh)</t>
  </si>
  <si>
    <t>A</t>
  </si>
  <si>
    <t>B</t>
  </si>
  <si>
    <t>D</t>
  </si>
  <si>
    <t>E</t>
  </si>
  <si>
    <t>F</t>
  </si>
  <si>
    <t>Sum of Annual Billing Determinants (MWh):</t>
  </si>
  <si>
    <t>Sum of Dec - Sept Billing Determinants (MWh):</t>
  </si>
  <si>
    <t>RHWM</t>
  </si>
  <si>
    <t>PNGC Aggregate</t>
  </si>
  <si>
    <t>RT1SC HLH (MWh)</t>
  </si>
  <si>
    <t>RT1SC LLH (MWh)</t>
  </si>
  <si>
    <t>Sum of Billing Determinants</t>
  </si>
  <si>
    <t>PF System Shaped Loads (MWh)</t>
  </si>
  <si>
    <t>(the amounts below may differ from billed amounts due to rounding)</t>
  </si>
  <si>
    <t xml:space="preserve">https://www.bpa.gov/Finance/RateInformation/Documents/2022%20Power%20Rate%20Schedules%20and%20GRSPs.final.pdf </t>
  </si>
  <si>
    <t>(a) Power DD Credit Rate:</t>
  </si>
  <si>
    <t>FY2022</t>
  </si>
  <si>
    <t>Power RDC Amount being used for a Power DD:</t>
  </si>
  <si>
    <t>Power DD Credit rate ($/MWh):</t>
  </si>
  <si>
    <t>(b) Adjusted PF Tier 1 Equivalent Energy Rates:</t>
  </si>
  <si>
    <t>(c) Annual Power DD Credit Rate and Other Adjustments:</t>
  </si>
  <si>
    <t>TOCA 2022</t>
  </si>
  <si>
    <t>TOCA 2023</t>
  </si>
  <si>
    <t>Non-Slice TOCA 2022</t>
  </si>
  <si>
    <t>Non-Slice TOCA 2023</t>
  </si>
  <si>
    <t>Slice Percentage 2022</t>
  </si>
  <si>
    <t>Slice Percentage 2023</t>
  </si>
  <si>
    <t>TOCA Load 2022*</t>
  </si>
  <si>
    <t>TOCA Load 2023*</t>
  </si>
  <si>
    <t>Oregon Trail Elec Coop</t>
  </si>
  <si>
    <t>South Side Elec</t>
  </si>
  <si>
    <t>* Tier 1 portion of the Forecast Net Requirement, before considering Above-RHWM Load service.</t>
  </si>
  <si>
    <t>TOCAs as of 09292021</t>
  </si>
  <si>
    <t>BP22 Power Rate Schedules and GRSPs section II.P.2 - Power Dividend Distribution (DD) Credit Rate</t>
  </si>
  <si>
    <t>Applicable LDD 2022</t>
  </si>
  <si>
    <t>Annual Power DD Credit Rate ($/MWh):</t>
  </si>
  <si>
    <t>December 15, 2021</t>
  </si>
  <si>
    <t xml:space="preserve">FY 2022 Power Dividend Distribution Credit Estimates by PF Customer net Low Density Discount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</si>
</sst>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_);_(* \(#,##0.0000000\);_(* &quot;-&quot;??_);_(@_)"/>
    <numFmt numFmtId="165" formatCode="0.000"/>
    <numFmt numFmtId="166" formatCode="&quot;$&quot;#,##0"/>
    <numFmt numFmtId="167" formatCode="&quot;$&quot;#,##0.00"/>
    <numFmt numFmtId="168" formatCode="_(* #,##0.0000000_);_(* \(#,##0.0000000\);_(* &quot;-&quot;???????_);_(@_)"/>
    <numFmt numFmtId="169" formatCode="#,##0.00000_);\(#,##0.00000\)"/>
    <numFmt numFmtId="170" formatCode="[$-409]mmm\-yy;@"/>
    <numFmt numFmtId="171" formatCode="&quot;$&quot;#,##0.0000"/>
    <numFmt numFmtId="172" formatCode="#,##0.000"/>
    <numFmt numFmtId="173" formatCode="#,##0.000_);\(#,##0.000\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double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/>
    <xf numFmtId="0" fontId="4" fillId="0" borderId="0" xfId="0" applyFont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0" fontId="4" fillId="0" borderId="0" xfId="0" applyFont="1" applyAlignment="1">
      <alignment horizontal="center"/>
    </xf>
    <xf numFmtId="3" fontId="0" fillId="0" borderId="0" xfId="0" applyNumberFormat="1"/>
    <xf numFmtId="0" fontId="8" fillId="0" borderId="0" xfId="0" applyFont="1"/>
    <xf numFmtId="4" fontId="0" fillId="0" borderId="0" xfId="0" applyNumberFormat="1"/>
    <xf numFmtId="4" fontId="4" fillId="0" borderId="0" xfId="0" applyNumberFormat="1" applyFont="1" applyFill="1"/>
    <xf numFmtId="0" fontId="8" fillId="0" borderId="0" xfId="0" applyFont="1" applyAlignment="1">
      <alignment horizontal="left"/>
    </xf>
    <xf numFmtId="166" fontId="4" fillId="0" borderId="0" xfId="0" applyNumberFormat="1" applyFont="1" applyFill="1" applyBorder="1"/>
    <xf numFmtId="167" fontId="4" fillId="0" borderId="0" xfId="0" applyNumberFormat="1" applyFont="1"/>
    <xf numFmtId="5" fontId="0" fillId="0" borderId="0" xfId="0" applyNumberFormat="1"/>
    <xf numFmtId="170" fontId="0" fillId="0" borderId="0" xfId="0" applyNumberFormat="1" applyAlignment="1">
      <alignment horizontal="left"/>
    </xf>
    <xf numFmtId="170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171" fontId="0" fillId="0" borderId="0" xfId="0" applyNumberFormat="1"/>
    <xf numFmtId="0" fontId="7" fillId="0" borderId="0" xfId="26"/>
    <xf numFmtId="167" fontId="4" fillId="2" borderId="1" xfId="0" applyNumberFormat="1" applyFont="1" applyFill="1" applyBorder="1"/>
    <xf numFmtId="4" fontId="4" fillId="0" borderId="0" xfId="0" applyNumberFormat="1" applyFont="1"/>
    <xf numFmtId="0" fontId="6" fillId="0" borderId="0" xfId="27" applyFont="1">
      <alignment/>
      <protection/>
    </xf>
    <xf numFmtId="0" fontId="2" fillId="0" borderId="0" xfId="27">
      <alignment/>
      <protection/>
    </xf>
    <xf numFmtId="0" fontId="9" fillId="0" borderId="0" xfId="27" applyFont="1" applyAlignment="1">
      <alignment horizontal="center" vertical="center"/>
      <protection/>
    </xf>
    <xf numFmtId="0" fontId="10" fillId="0" borderId="0" xfId="27" applyFont="1" applyFill="1" applyAlignment="1">
      <alignment horizontal="center" vertical="center" wrapText="1"/>
      <protection/>
    </xf>
    <xf numFmtId="170" fontId="10" fillId="0" borderId="0" xfId="27" applyNumberFormat="1" applyFont="1" applyFill="1" applyAlignment="1">
      <alignment horizontal="center" vertical="center" wrapText="1"/>
      <protection/>
    </xf>
    <xf numFmtId="0" fontId="9" fillId="0" borderId="0" xfId="27" applyFont="1">
      <alignment/>
      <protection/>
    </xf>
    <xf numFmtId="164" fontId="9" fillId="0" borderId="0" xfId="28" applyNumberFormat="1" applyFont="1"/>
    <xf numFmtId="165" fontId="9" fillId="0" borderId="0" xfId="28" applyNumberFormat="1" applyFont="1"/>
    <xf numFmtId="169" fontId="9" fillId="0" borderId="0" xfId="28" applyNumberFormat="1" applyFont="1"/>
    <xf numFmtId="5" fontId="9" fillId="0" borderId="0" xfId="28" applyNumberFormat="1" applyFont="1"/>
    <xf numFmtId="168" fontId="2" fillId="0" borderId="0" xfId="27" applyNumberFormat="1">
      <alignment/>
      <protection/>
    </xf>
    <xf numFmtId="0" fontId="11" fillId="0" borderId="0" xfId="27" applyFont="1">
      <alignment/>
      <protection/>
    </xf>
    <xf numFmtId="3" fontId="9" fillId="0" borderId="0" xfId="27" applyNumberFormat="1" applyFont="1">
      <alignment/>
      <protection/>
    </xf>
    <xf numFmtId="0" fontId="11" fillId="0" borderId="0" xfId="29" applyFont="1">
      <alignment/>
      <protection/>
    </xf>
    <xf numFmtId="3" fontId="9" fillId="0" borderId="0" xfId="29" applyNumberFormat="1" applyFont="1">
      <alignment/>
      <protection/>
    </xf>
    <xf numFmtId="172" fontId="9" fillId="0" borderId="0" xfId="27" applyNumberFormat="1" applyFont="1">
      <alignment/>
      <protection/>
    </xf>
    <xf numFmtId="173" fontId="12" fillId="0" borderId="0" xfId="0" applyNumberFormat="1" applyFont="1"/>
    <xf numFmtId="173" fontId="9" fillId="0" borderId="0" xfId="27" applyNumberFormat="1" applyFont="1">
      <alignment/>
      <protection/>
    </xf>
    <xf numFmtId="9" fontId="0" fillId="0" borderId="0" xfId="15" applyFont="1"/>
    <xf numFmtId="0" fontId="3" fillId="0" borderId="0" xfId="27" applyFont="1">
      <alignment/>
      <protection/>
    </xf>
    <xf numFmtId="0" fontId="8" fillId="0" borderId="0" xfId="0" applyFont="1" quotePrefix="1"/>
    <xf numFmtId="44" fontId="2" fillId="0" borderId="0" xfId="16" applyFont="1"/>
    <xf numFmtId="9" fontId="2" fillId="0" borderId="0" xfId="15" applyFont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Comma 2" xfId="22"/>
    <cellStyle name="Normal 4" xfId="23"/>
    <cellStyle name="Comma 3" xfId="24"/>
    <cellStyle name="Normal 3 2" xfId="25"/>
    <cellStyle name="Hyperlink" xfId="26"/>
    <cellStyle name="Normal 4 2" xfId="27"/>
    <cellStyle name="Comma 3 2" xfId="28"/>
    <cellStyle name="Normal 3 2 2" xfId="29"/>
  </cellStyles>
  <dxfs count="1">
    <dxf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pa.gov/Finance/RateInformation/Documents/2022%20Power%20Rate%20Schedules%20and%20GRSPs.final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  <pageSetUpPr fitToPage="1"/>
  </sheetPr>
  <dimension ref="A1:R38"/>
  <sheetViews>
    <sheetView tabSelected="1" workbookViewId="0" topLeftCell="A1">
      <selection activeCell="H20" sqref="H20"/>
    </sheetView>
  </sheetViews>
  <sheetFormatPr defaultColWidth="9.140625" defaultRowHeight="15"/>
  <cols>
    <col min="1" max="1" width="8.140625" style="0" customWidth="1"/>
    <col min="2" max="4" width="11.57421875" style="0" customWidth="1"/>
    <col min="5" max="5" width="12.8515625" style="0" bestFit="1" customWidth="1"/>
    <col min="6" max="6" width="12.421875" style="0" bestFit="1" customWidth="1"/>
    <col min="7" max="8" width="13.8515625" style="0" customWidth="1"/>
    <col min="9" max="9" width="12.57421875" style="0" customWidth="1"/>
    <col min="10" max="10" width="15.8515625" style="0" bestFit="1" customWidth="1"/>
    <col min="12" max="12" width="12.00390625" style="0" customWidth="1"/>
    <col min="15" max="15" width="11.140625" style="0" bestFit="1" customWidth="1"/>
    <col min="16" max="16" width="10.140625" style="0" bestFit="1" customWidth="1"/>
  </cols>
  <sheetData>
    <row r="1" ht="15">
      <c r="A1" s="1" t="s">
        <v>178</v>
      </c>
    </row>
    <row r="2" ht="15">
      <c r="A2" s="18" t="s">
        <v>159</v>
      </c>
    </row>
    <row r="3" ht="15">
      <c r="A3" s="41" t="s">
        <v>181</v>
      </c>
    </row>
    <row r="4" ht="15">
      <c r="A4" s="7"/>
    </row>
    <row r="5" spans="1:7" ht="15">
      <c r="A5" s="7"/>
      <c r="B5" s="16" t="s">
        <v>145</v>
      </c>
      <c r="C5" s="16" t="s">
        <v>146</v>
      </c>
      <c r="D5" s="16" t="s">
        <v>140</v>
      </c>
      <c r="E5" s="16" t="s">
        <v>147</v>
      </c>
      <c r="F5" s="16" t="s">
        <v>148</v>
      </c>
      <c r="G5" s="16" t="s">
        <v>149</v>
      </c>
    </row>
    <row r="6" spans="1:7" ht="15">
      <c r="A6" s="16">
        <v>1</v>
      </c>
      <c r="B6" s="10" t="s">
        <v>160</v>
      </c>
      <c r="G6" s="5" t="s">
        <v>161</v>
      </c>
    </row>
    <row r="7" spans="1:16" ht="15">
      <c r="A7" s="16">
        <v>2</v>
      </c>
      <c r="C7" t="s">
        <v>162</v>
      </c>
      <c r="G7" s="2">
        <v>13655269</v>
      </c>
      <c r="P7" s="2"/>
    </row>
    <row r="8" spans="1:10" ht="15">
      <c r="A8" s="16">
        <v>3</v>
      </c>
      <c r="C8" t="s">
        <v>151</v>
      </c>
      <c r="G8" s="6">
        <f>SUM('Sum of Billing Determinants'!E9:N9)</f>
        <v>35851511.382</v>
      </c>
      <c r="J8" s="17"/>
    </row>
    <row r="9" spans="1:13" ht="15" thickBot="1">
      <c r="A9" s="16">
        <v>4</v>
      </c>
      <c r="C9" t="s">
        <v>163</v>
      </c>
      <c r="G9" s="19">
        <f>ROUND(G7/G8,2)</f>
        <v>0.38</v>
      </c>
      <c r="M9" s="2"/>
    </row>
    <row r="10" spans="1:18" ht="15" thickTop="1">
      <c r="A10" s="16">
        <v>5</v>
      </c>
      <c r="G10" s="11"/>
      <c r="R10" s="2"/>
    </row>
    <row r="11" spans="1:2" ht="15">
      <c r="A11" s="16">
        <v>6</v>
      </c>
      <c r="B11" s="7" t="s">
        <v>164</v>
      </c>
    </row>
    <row r="12" spans="1:6" ht="15">
      <c r="A12" s="16">
        <v>7</v>
      </c>
      <c r="E12" t="s">
        <v>143</v>
      </c>
      <c r="F12" t="s">
        <v>144</v>
      </c>
    </row>
    <row r="13" spans="1:12" ht="15">
      <c r="A13" s="16">
        <v>8</v>
      </c>
      <c r="D13" s="14">
        <v>44470</v>
      </c>
      <c r="E13" s="8">
        <v>36.03</v>
      </c>
      <c r="F13" s="8">
        <v>34.38</v>
      </c>
      <c r="L13" s="8"/>
    </row>
    <row r="14" spans="1:12" ht="15">
      <c r="A14" s="16">
        <v>9</v>
      </c>
      <c r="D14" s="14">
        <v>44501</v>
      </c>
      <c r="E14" s="8">
        <v>37.82</v>
      </c>
      <c r="F14" s="8">
        <v>35.25</v>
      </c>
      <c r="L14" s="8"/>
    </row>
    <row r="15" spans="1:12" ht="15">
      <c r="A15" s="16">
        <v>10</v>
      </c>
      <c r="D15" s="14">
        <v>44531</v>
      </c>
      <c r="E15" s="20">
        <f>44.87-G9</f>
        <v>44.489999999999995</v>
      </c>
      <c r="F15" s="20">
        <f>38.16-G9</f>
        <v>37.779999999999994</v>
      </c>
      <c r="L15" s="8"/>
    </row>
    <row r="16" spans="1:12" ht="15">
      <c r="A16" s="16">
        <v>11</v>
      </c>
      <c r="D16" s="14">
        <v>44562</v>
      </c>
      <c r="E16" s="20">
        <f>40.4-G9</f>
        <v>40.019999999999996</v>
      </c>
      <c r="F16" s="20">
        <f>31.96-G9</f>
        <v>31.580000000000002</v>
      </c>
      <c r="L16" s="8"/>
    </row>
    <row r="17" spans="1:12" ht="15">
      <c r="A17" s="16">
        <v>12</v>
      </c>
      <c r="D17" s="14">
        <v>44593</v>
      </c>
      <c r="E17" s="20">
        <f>40.9-G9</f>
        <v>40.519999999999996</v>
      </c>
      <c r="F17" s="20">
        <f>34.4-G9</f>
        <v>34.019999999999996</v>
      </c>
      <c r="L17" s="8"/>
    </row>
    <row r="18" spans="1:12" ht="15">
      <c r="A18" s="16">
        <v>13</v>
      </c>
      <c r="D18" s="14">
        <v>44621</v>
      </c>
      <c r="E18" s="20">
        <f>33.68-G9</f>
        <v>33.3</v>
      </c>
      <c r="F18" s="20">
        <f>34.55-G9</f>
        <v>34.169999999999995</v>
      </c>
      <c r="L18" s="8"/>
    </row>
    <row r="19" spans="1:12" ht="15">
      <c r="A19" s="16">
        <v>14</v>
      </c>
      <c r="D19" s="14">
        <v>44652</v>
      </c>
      <c r="E19" s="20">
        <f>26.82-G9</f>
        <v>26.44</v>
      </c>
      <c r="F19" s="20">
        <f>31.77-G9</f>
        <v>31.39</v>
      </c>
      <c r="L19" s="8"/>
    </row>
    <row r="20" spans="1:12" ht="15">
      <c r="A20" s="16">
        <v>15</v>
      </c>
      <c r="D20" s="14">
        <v>44682</v>
      </c>
      <c r="E20" s="20">
        <f>22.39-G9</f>
        <v>22.01</v>
      </c>
      <c r="F20" s="20">
        <f>22.41-G9</f>
        <v>22.03</v>
      </c>
      <c r="L20" s="8"/>
    </row>
    <row r="21" spans="1:12" ht="15">
      <c r="A21" s="16">
        <v>16</v>
      </c>
      <c r="D21" s="14">
        <v>44713</v>
      </c>
      <c r="E21" s="9">
        <f>23.26-G9</f>
        <v>22.880000000000003</v>
      </c>
      <c r="F21" s="9">
        <f>16.73-G9</f>
        <v>16.35</v>
      </c>
      <c r="L21" s="8"/>
    </row>
    <row r="22" spans="1:12" ht="15">
      <c r="A22" s="16">
        <v>17</v>
      </c>
      <c r="D22" s="14">
        <v>44743</v>
      </c>
      <c r="E22" s="9">
        <f>42.94-G9</f>
        <v>42.559999999999995</v>
      </c>
      <c r="F22" s="9">
        <f>27.47-G9</f>
        <v>27.09</v>
      </c>
      <c r="L22" s="8"/>
    </row>
    <row r="23" spans="1:12" ht="15">
      <c r="A23" s="16">
        <v>18</v>
      </c>
      <c r="D23" s="14">
        <v>44774</v>
      </c>
      <c r="E23" s="9">
        <f>41.98-G9</f>
        <v>41.599999999999994</v>
      </c>
      <c r="F23" s="9">
        <f>32.96-G9</f>
        <v>32.58</v>
      </c>
      <c r="L23" s="8"/>
    </row>
    <row r="24" spans="1:12" ht="15">
      <c r="A24" s="16">
        <v>19</v>
      </c>
      <c r="D24" s="14">
        <v>44805</v>
      </c>
      <c r="E24" s="9">
        <f>34.26-G9</f>
        <v>33.879999999999995</v>
      </c>
      <c r="F24" s="9">
        <f>35.06-G9</f>
        <v>34.68</v>
      </c>
      <c r="L24" s="8"/>
    </row>
    <row r="25" spans="1:6" ht="15">
      <c r="A25" s="16">
        <v>20</v>
      </c>
      <c r="D25" s="15"/>
      <c r="E25" s="9"/>
      <c r="F25" s="9"/>
    </row>
    <row r="26" spans="1:2" ht="15">
      <c r="A26" s="16">
        <v>21</v>
      </c>
      <c r="B26" s="7" t="s">
        <v>165</v>
      </c>
    </row>
    <row r="27" spans="1:8" ht="15">
      <c r="A27" s="16">
        <v>22</v>
      </c>
      <c r="C27" t="s">
        <v>150</v>
      </c>
      <c r="G27" s="6">
        <f>SUM('Sum of Billing Determinants'!C9:N9)</f>
        <v>43448728.97900001</v>
      </c>
      <c r="H27" s="3"/>
    </row>
    <row r="28" spans="1:18" ht="15">
      <c r="A28" s="16">
        <v>23</v>
      </c>
      <c r="C28" t="s">
        <v>180</v>
      </c>
      <c r="G28" s="12">
        <f>ROUND(G7/G27,2)</f>
        <v>0.31</v>
      </c>
      <c r="R28" s="3"/>
    </row>
    <row r="29" spans="1:13" ht="15">
      <c r="A29" s="16">
        <v>24</v>
      </c>
      <c r="M29" s="3"/>
    </row>
    <row r="30" spans="1:17" ht="15">
      <c r="A30" s="16">
        <v>25</v>
      </c>
      <c r="C30" t="s">
        <v>141</v>
      </c>
      <c r="G30" s="3">
        <f>-6.11+G28</f>
        <v>-5.800000000000001</v>
      </c>
      <c r="Q30" s="2"/>
    </row>
    <row r="31" spans="1:7" ht="15">
      <c r="A31" s="16">
        <v>26</v>
      </c>
      <c r="C31" t="s">
        <v>142</v>
      </c>
      <c r="G31" s="3">
        <f>-5.78+G28</f>
        <v>-5.470000000000001</v>
      </c>
    </row>
    <row r="32" ht="15">
      <c r="A32" s="16"/>
    </row>
    <row r="33" spans="1:2" ht="15">
      <c r="A33" s="16"/>
      <c r="B33" s="4"/>
    </row>
    <row r="34" spans="1:2" ht="15">
      <c r="A34" s="16"/>
      <c r="B34" s="4"/>
    </row>
    <row r="35" ht="15">
      <c r="A35" s="16"/>
    </row>
    <row r="36" ht="15">
      <c r="A36" s="16"/>
    </row>
    <row r="37" ht="15">
      <c r="A37" s="16"/>
    </row>
    <row r="38" ht="15">
      <c r="A38" s="16"/>
    </row>
  </sheetData>
  <hyperlinks>
    <hyperlink ref="A2" r:id="rId1" display="https://www.bpa.gov/Finance/RateInformation/Documents/2022%20Power%20Rate%20Schedules%20and%20GRSPs.final.pdf"/>
  </hyperlinks>
  <printOptions gridLines="1"/>
  <pageMargins left="0.25" right="0.25" top="0.75" bottom="0.75" header="0.3" footer="0.3"/>
  <pageSetup fitToHeight="1" fitToWidth="1" horizontalDpi="600" verticalDpi="600" orientation="landscape" scale="92" r:id="rId2"/>
  <headerFooter>
    <oddHeader>&amp;LFY 2022 Power DD Credit Rate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0"/>
  <sheetViews>
    <sheetView workbookViewId="0" topLeftCell="A1"/>
  </sheetViews>
  <sheetFormatPr defaultColWidth="9.140625" defaultRowHeight="15"/>
  <cols>
    <col min="1" max="1" width="5.00390625" style="22" customWidth="1"/>
    <col min="2" max="2" width="34.28125" style="22" customWidth="1"/>
    <col min="3" max="15" width="11.28125" style="22" customWidth="1"/>
    <col min="16" max="16" width="3.57421875" style="22" customWidth="1"/>
    <col min="17" max="17" width="3.8515625" style="23" customWidth="1"/>
    <col min="18" max="18" width="6.00390625" style="22" bestFit="1" customWidth="1"/>
    <col min="19" max="19" width="35.28125" style="22" bestFit="1" customWidth="1"/>
    <col min="20" max="23" width="11.00390625" style="22" bestFit="1" customWidth="1"/>
    <col min="24" max="24" width="13.7109375" style="22" bestFit="1" customWidth="1"/>
    <col min="25" max="25" width="11.00390625" style="22" bestFit="1" customWidth="1"/>
    <col min="26" max="26" width="11.421875" style="22" customWidth="1"/>
    <col min="27" max="27" width="11.57421875" style="22" customWidth="1"/>
    <col min="28" max="28" width="10.421875" style="22" customWidth="1"/>
    <col min="29" max="29" width="9.57421875" style="22" bestFit="1" customWidth="1"/>
    <col min="32" max="33" width="12.140625" style="0" bestFit="1" customWidth="1"/>
    <col min="34" max="34" width="12.7109375" style="0" bestFit="1" customWidth="1"/>
    <col min="35" max="16384" width="9.140625" style="22" customWidth="1"/>
  </cols>
  <sheetData>
    <row r="1" ht="15">
      <c r="A1" s="21" t="s">
        <v>156</v>
      </c>
    </row>
    <row r="2" spans="3:16" ht="15">
      <c r="C2" s="25">
        <v>44470</v>
      </c>
      <c r="D2" s="25">
        <v>44501</v>
      </c>
      <c r="E2" s="25">
        <v>44531</v>
      </c>
      <c r="F2" s="25">
        <v>44562</v>
      </c>
      <c r="G2" s="25">
        <v>44593</v>
      </c>
      <c r="H2" s="25">
        <v>44621</v>
      </c>
      <c r="I2" s="25">
        <v>44652</v>
      </c>
      <c r="J2" s="25">
        <v>44682</v>
      </c>
      <c r="K2" s="25">
        <v>44713</v>
      </c>
      <c r="L2" s="25">
        <v>44743</v>
      </c>
      <c r="M2" s="25">
        <v>44774</v>
      </c>
      <c r="N2" s="25">
        <v>44805</v>
      </c>
      <c r="O2" s="24" t="s">
        <v>136</v>
      </c>
      <c r="P2" s="24"/>
    </row>
    <row r="3" spans="1:16" ht="15">
      <c r="A3" s="31"/>
      <c r="B3" s="32" t="s">
        <v>154</v>
      </c>
      <c r="C3" s="33">
        <v>2920790.2645354997</v>
      </c>
      <c r="D3" s="33">
        <v>3537945.1705555003</v>
      </c>
      <c r="E3" s="33">
        <v>3223872.7356785</v>
      </c>
      <c r="F3" s="33">
        <v>2651579.7252025</v>
      </c>
      <c r="G3" s="33">
        <v>2346690.1216629995</v>
      </c>
      <c r="H3" s="33">
        <v>2961839.2513114996</v>
      </c>
      <c r="I3" s="33">
        <v>2307313.6325115</v>
      </c>
      <c r="J3" s="33">
        <v>3495709.6741295</v>
      </c>
      <c r="K3" s="33">
        <v>3952932.9129210003</v>
      </c>
      <c r="L3" s="33">
        <v>3505339.3100825</v>
      </c>
      <c r="M3" s="33">
        <v>3425259.1536944997</v>
      </c>
      <c r="N3" s="33">
        <v>2999684.9937805003</v>
      </c>
      <c r="O3" s="33">
        <f>SUM(C3:N3)</f>
        <v>37328956.946066</v>
      </c>
      <c r="P3" s="26"/>
    </row>
    <row r="4" spans="1:16" ht="15">
      <c r="A4" s="31"/>
      <c r="B4" s="32" t="s">
        <v>155</v>
      </c>
      <c r="C4" s="33">
        <v>1633134.1562275002</v>
      </c>
      <c r="D4" s="33">
        <v>2227488.419421</v>
      </c>
      <c r="E4" s="33">
        <v>2419334.9120455002</v>
      </c>
      <c r="F4" s="33">
        <v>2009469.8153045</v>
      </c>
      <c r="G4" s="33">
        <v>1693143.6717285</v>
      </c>
      <c r="H4" s="33">
        <v>1860906.497004</v>
      </c>
      <c r="I4" s="33">
        <v>1436906.3942220001</v>
      </c>
      <c r="J4" s="33">
        <v>1691934.7265655</v>
      </c>
      <c r="K4" s="33">
        <v>1590173.7540925</v>
      </c>
      <c r="L4" s="33">
        <v>1757589.469515</v>
      </c>
      <c r="M4" s="33">
        <v>1660955.4979559998</v>
      </c>
      <c r="N4" s="33">
        <v>1700507.5612094998</v>
      </c>
      <c r="O4" s="33">
        <f>SUM(C4:N4)</f>
        <v>21681544.875291504</v>
      </c>
      <c r="P4" s="26"/>
    </row>
    <row r="5" spans="1:16" ht="15">
      <c r="A5" s="31"/>
      <c r="B5" s="34" t="s">
        <v>134</v>
      </c>
      <c r="C5" s="35">
        <f>SUM(C13:C146)</f>
        <v>3344887.9970000023</v>
      </c>
      <c r="D5" s="35">
        <f>SUM(D13:D146)</f>
        <v>4234749.6000000015</v>
      </c>
      <c r="E5" s="35">
        <f aca="true" t="shared" si="0" ref="E5:N5">SUM(E13:E146)</f>
        <v>4144973.83</v>
      </c>
      <c r="F5" s="35">
        <f t="shared" si="0"/>
        <v>3423572.1200000006</v>
      </c>
      <c r="G5" s="35">
        <f t="shared" si="0"/>
        <v>2967284.992</v>
      </c>
      <c r="H5" s="35">
        <f t="shared" si="0"/>
        <v>3542339.060000001</v>
      </c>
      <c r="I5" s="35">
        <f t="shared" si="0"/>
        <v>2750154.709</v>
      </c>
      <c r="J5" s="35">
        <f t="shared" si="0"/>
        <v>3810359.5670000003</v>
      </c>
      <c r="K5" s="35">
        <f t="shared" si="0"/>
        <v>4071448.9839999997</v>
      </c>
      <c r="L5" s="35">
        <f t="shared" si="0"/>
        <v>3865656.4569999976</v>
      </c>
      <c r="M5" s="35">
        <f t="shared" si="0"/>
        <v>3735858.739999999</v>
      </c>
      <c r="N5" s="35">
        <f t="shared" si="0"/>
        <v>3452322.9230000004</v>
      </c>
      <c r="O5" s="33">
        <f>SUM(C5:N5)</f>
        <v>43343608.97900001</v>
      </c>
      <c r="P5" s="26"/>
    </row>
    <row r="6" spans="1:16" ht="15">
      <c r="A6" s="31"/>
      <c r="B6" s="34" t="s">
        <v>137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3">
        <f aca="true" t="shared" si="1" ref="O6:O8">SUM(C6:N6)</f>
        <v>0</v>
      </c>
      <c r="P6" s="26"/>
    </row>
    <row r="7" spans="1:16" ht="15">
      <c r="A7" s="31"/>
      <c r="B7" s="34" t="s">
        <v>138</v>
      </c>
      <c r="C7" s="35">
        <v>8928</v>
      </c>
      <c r="D7" s="35">
        <v>8652</v>
      </c>
      <c r="E7" s="35">
        <v>8928</v>
      </c>
      <c r="F7" s="35">
        <v>8928</v>
      </c>
      <c r="G7" s="35">
        <v>8064</v>
      </c>
      <c r="H7" s="35">
        <v>8916</v>
      </c>
      <c r="I7" s="35">
        <v>8640</v>
      </c>
      <c r="J7" s="35">
        <v>8928</v>
      </c>
      <c r="K7" s="35">
        <v>8640</v>
      </c>
      <c r="L7" s="35">
        <v>8928</v>
      </c>
      <c r="M7" s="35">
        <v>8928</v>
      </c>
      <c r="N7" s="35">
        <v>8640</v>
      </c>
      <c r="O7" s="33">
        <f t="shared" si="1"/>
        <v>105120</v>
      </c>
      <c r="P7" s="26"/>
    </row>
    <row r="8" spans="1:16" ht="15">
      <c r="A8" s="31"/>
      <c r="B8" s="34" t="s">
        <v>139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3">
        <f t="shared" si="1"/>
        <v>0</v>
      </c>
      <c r="P8" s="26"/>
    </row>
    <row r="9" spans="1:16" ht="15">
      <c r="A9" s="31"/>
      <c r="B9" s="34" t="s">
        <v>135</v>
      </c>
      <c r="C9" s="35">
        <f>SUM(C5:C8)</f>
        <v>3353815.9970000023</v>
      </c>
      <c r="D9" s="35">
        <f aca="true" t="shared" si="2" ref="D9:N9">SUM(D5:D8)</f>
        <v>4243401.6000000015</v>
      </c>
      <c r="E9" s="35">
        <f t="shared" si="2"/>
        <v>4153901.83</v>
      </c>
      <c r="F9" s="35">
        <f t="shared" si="2"/>
        <v>3432500.1200000006</v>
      </c>
      <c r="G9" s="35">
        <f t="shared" si="2"/>
        <v>2975348.992</v>
      </c>
      <c r="H9" s="35">
        <f t="shared" si="2"/>
        <v>3551255.060000001</v>
      </c>
      <c r="I9" s="35">
        <f t="shared" si="2"/>
        <v>2758794.709</v>
      </c>
      <c r="J9" s="35">
        <f t="shared" si="2"/>
        <v>3819287.5670000003</v>
      </c>
      <c r="K9" s="35">
        <f t="shared" si="2"/>
        <v>4080088.9839999997</v>
      </c>
      <c r="L9" s="35">
        <f t="shared" si="2"/>
        <v>3874584.4569999976</v>
      </c>
      <c r="M9" s="35">
        <f t="shared" si="2"/>
        <v>3744786.739999999</v>
      </c>
      <c r="N9" s="35">
        <f t="shared" si="2"/>
        <v>3460962.9230000004</v>
      </c>
      <c r="O9" s="33">
        <f>SUM(C9:N9)</f>
        <v>43448728.97900001</v>
      </c>
      <c r="P9" s="26"/>
    </row>
    <row r="10" spans="1:16" ht="15">
      <c r="A10" s="31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3"/>
      <c r="P10" s="26"/>
    </row>
    <row r="11" spans="1:18" ht="15">
      <c r="A11" s="21" t="s">
        <v>157</v>
      </c>
      <c r="B11" s="32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1" t="s">
        <v>177</v>
      </c>
      <c r="R11" s="21"/>
    </row>
    <row r="12" spans="1:30" ht="36">
      <c r="A12" s="21"/>
      <c r="B12"/>
      <c r="C12" s="25">
        <v>44470</v>
      </c>
      <c r="D12" s="25">
        <v>44501</v>
      </c>
      <c r="E12" s="25">
        <v>44531</v>
      </c>
      <c r="F12" s="25">
        <v>44562</v>
      </c>
      <c r="G12" s="25">
        <v>44593</v>
      </c>
      <c r="H12" s="25">
        <v>44621</v>
      </c>
      <c r="I12" s="25">
        <v>44652</v>
      </c>
      <c r="J12" s="25">
        <v>44682</v>
      </c>
      <c r="K12" s="25">
        <v>44713</v>
      </c>
      <c r="L12" s="25">
        <v>44743</v>
      </c>
      <c r="M12" s="25">
        <v>44774</v>
      </c>
      <c r="N12" s="25">
        <v>44805</v>
      </c>
      <c r="O12" s="24" t="s">
        <v>136</v>
      </c>
      <c r="P12" s="26"/>
      <c r="R12" s="24" t="s">
        <v>0</v>
      </c>
      <c r="S12" s="24" t="s">
        <v>1</v>
      </c>
      <c r="T12" s="24" t="s">
        <v>166</v>
      </c>
      <c r="U12" s="24" t="s">
        <v>167</v>
      </c>
      <c r="V12" s="24" t="s">
        <v>168</v>
      </c>
      <c r="W12" s="24" t="s">
        <v>169</v>
      </c>
      <c r="X12" s="24" t="s">
        <v>170</v>
      </c>
      <c r="Y12" s="24" t="s">
        <v>171</v>
      </c>
      <c r="Z12" s="24" t="s">
        <v>152</v>
      </c>
      <c r="AA12" s="24" t="s">
        <v>172</v>
      </c>
      <c r="AB12" s="24" t="s">
        <v>173</v>
      </c>
      <c r="AC12" s="24" t="s">
        <v>179</v>
      </c>
      <c r="AD12" s="24"/>
    </row>
    <row r="13" spans="1:30" ht="15">
      <c r="A13" s="26">
        <v>10005</v>
      </c>
      <c r="B13" s="26" t="s">
        <v>2</v>
      </c>
      <c r="C13" s="37">
        <f>ROUND(C$3*$V13,3)+ROUND(C$4*$V13,3)</f>
        <v>353.384</v>
      </c>
      <c r="D13" s="37">
        <f aca="true" t="shared" si="3" ref="D13:N28">ROUND(D$3*$V13,3)+ROUND(D$4*$V13,3)</f>
        <v>447.398</v>
      </c>
      <c r="E13" s="37">
        <f t="shared" si="3"/>
        <v>437.913</v>
      </c>
      <c r="F13" s="37">
        <f t="shared" si="3"/>
        <v>361.698</v>
      </c>
      <c r="G13" s="37">
        <f t="shared" si="3"/>
        <v>313.491</v>
      </c>
      <c r="H13" s="37">
        <f t="shared" si="3"/>
        <v>374.245</v>
      </c>
      <c r="I13" s="37">
        <f t="shared" si="3"/>
        <v>290.552</v>
      </c>
      <c r="J13" s="37">
        <f t="shared" si="3"/>
        <v>402.56100000000004</v>
      </c>
      <c r="K13" s="37">
        <f t="shared" si="3"/>
        <v>430.145</v>
      </c>
      <c r="L13" s="37">
        <f t="shared" si="3"/>
        <v>408.403</v>
      </c>
      <c r="M13" s="37">
        <f t="shared" si="3"/>
        <v>394.69</v>
      </c>
      <c r="N13" s="37">
        <f t="shared" si="3"/>
        <v>364.735</v>
      </c>
      <c r="O13" s="38">
        <f>SUM(C13:N13)</f>
        <v>4579.214999999999</v>
      </c>
      <c r="P13" s="26"/>
      <c r="R13" s="26">
        <v>10005</v>
      </c>
      <c r="S13" s="26" t="s">
        <v>2</v>
      </c>
      <c r="T13" s="27">
        <v>7.76E-05</v>
      </c>
      <c r="U13" s="27">
        <v>7.76E-05</v>
      </c>
      <c r="V13" s="27">
        <v>7.76E-05</v>
      </c>
      <c r="W13" s="27">
        <v>7.76E-05</v>
      </c>
      <c r="X13" s="27">
        <v>0</v>
      </c>
      <c r="Y13" s="27">
        <v>0</v>
      </c>
      <c r="Z13" s="28">
        <v>0.523</v>
      </c>
      <c r="AA13" s="28">
        <v>0.523</v>
      </c>
      <c r="AB13" s="28">
        <v>0.523</v>
      </c>
      <c r="AC13" s="29">
        <v>0.02382</v>
      </c>
      <c r="AD13" s="29"/>
    </row>
    <row r="14" spans="1:30" ht="15">
      <c r="A14" s="26">
        <v>10015</v>
      </c>
      <c r="B14" s="26" t="s">
        <v>3</v>
      </c>
      <c r="C14" s="37">
        <f aca="true" t="shared" si="4" ref="C14:N45">ROUND(C$3*$V14,3)+ROUND(C$4*$V14,3)</f>
        <v>369.778</v>
      </c>
      <c r="D14" s="37">
        <f t="shared" si="3"/>
        <v>468.153</v>
      </c>
      <c r="E14" s="37">
        <f t="shared" si="3"/>
        <v>458.228</v>
      </c>
      <c r="F14" s="37">
        <f t="shared" si="3"/>
        <v>378.477</v>
      </c>
      <c r="G14" s="37">
        <f t="shared" si="3"/>
        <v>328.034</v>
      </c>
      <c r="H14" s="37">
        <f t="shared" si="3"/>
        <v>391.60699999999997</v>
      </c>
      <c r="I14" s="37">
        <f t="shared" si="3"/>
        <v>304.031</v>
      </c>
      <c r="J14" s="37">
        <f t="shared" si="3"/>
        <v>421.23699999999997</v>
      </c>
      <c r="K14" s="37">
        <f t="shared" si="3"/>
        <v>450.1</v>
      </c>
      <c r="L14" s="37">
        <f t="shared" si="3"/>
        <v>427.35</v>
      </c>
      <c r="M14" s="37">
        <f t="shared" si="3"/>
        <v>413.001</v>
      </c>
      <c r="N14" s="37">
        <f t="shared" si="3"/>
        <v>381.655</v>
      </c>
      <c r="O14" s="38">
        <f aca="true" t="shared" si="5" ref="O14:O77">SUM(C14:N14)</f>
        <v>4791.651</v>
      </c>
      <c r="P14" s="26"/>
      <c r="R14" s="26">
        <v>10015</v>
      </c>
      <c r="S14" s="26" t="s">
        <v>3</v>
      </c>
      <c r="T14" s="27">
        <v>8.12E-05</v>
      </c>
      <c r="U14" s="27">
        <v>8.12E-05</v>
      </c>
      <c r="V14" s="27">
        <v>8.12E-05</v>
      </c>
      <c r="W14" s="27">
        <v>8.12E-05</v>
      </c>
      <c r="X14" s="27">
        <v>0</v>
      </c>
      <c r="Y14" s="27">
        <v>0</v>
      </c>
      <c r="Z14" s="28">
        <v>0.547</v>
      </c>
      <c r="AA14" s="28">
        <v>0.547</v>
      </c>
      <c r="AB14" s="28">
        <v>0.547</v>
      </c>
      <c r="AC14" s="29">
        <v>0</v>
      </c>
      <c r="AD14" s="29"/>
    </row>
    <row r="15" spans="1:30" ht="15">
      <c r="A15" s="26">
        <v>10024</v>
      </c>
      <c r="B15" s="26" t="s">
        <v>4</v>
      </c>
      <c r="C15" s="37">
        <f t="shared" si="4"/>
        <v>67502.822</v>
      </c>
      <c r="D15" s="37">
        <f t="shared" si="3"/>
        <v>85461.022</v>
      </c>
      <c r="E15" s="37">
        <f t="shared" si="3"/>
        <v>83649.26699999999</v>
      </c>
      <c r="F15" s="37">
        <f t="shared" si="3"/>
        <v>69090.737</v>
      </c>
      <c r="G15" s="37">
        <f t="shared" si="3"/>
        <v>59882.456999999995</v>
      </c>
      <c r="H15" s="37">
        <f t="shared" si="3"/>
        <v>71487.56</v>
      </c>
      <c r="I15" s="37">
        <f t="shared" si="3"/>
        <v>55500.573</v>
      </c>
      <c r="J15" s="37">
        <f t="shared" si="3"/>
        <v>76896.452</v>
      </c>
      <c r="K15" s="37">
        <f t="shared" si="3"/>
        <v>82165.47099999999</v>
      </c>
      <c r="L15" s="37">
        <f t="shared" si="3"/>
        <v>78012.394</v>
      </c>
      <c r="M15" s="37">
        <f t="shared" si="3"/>
        <v>75392.959</v>
      </c>
      <c r="N15" s="37">
        <f t="shared" si="3"/>
        <v>69670.955</v>
      </c>
      <c r="O15" s="38">
        <f t="shared" si="5"/>
        <v>874712.669</v>
      </c>
      <c r="P15" s="26"/>
      <c r="R15" s="26">
        <v>10024</v>
      </c>
      <c r="S15" s="26" t="s">
        <v>4</v>
      </c>
      <c r="T15" s="27">
        <v>0.0285022</v>
      </c>
      <c r="U15" s="27">
        <v>0.0285022</v>
      </c>
      <c r="V15" s="27">
        <v>0.014822999999999998</v>
      </c>
      <c r="W15" s="27">
        <v>0.014822999999999998</v>
      </c>
      <c r="X15" s="27">
        <v>0.0136792</v>
      </c>
      <c r="Y15" s="27">
        <v>0.0136792</v>
      </c>
      <c r="Z15" s="28">
        <v>192.001</v>
      </c>
      <c r="AA15" s="28">
        <v>192.001</v>
      </c>
      <c r="AB15" s="28">
        <v>192.001</v>
      </c>
      <c r="AC15" s="29">
        <v>0</v>
      </c>
      <c r="AD15" s="29"/>
    </row>
    <row r="16" spans="1:30" ht="15">
      <c r="A16" s="26">
        <v>10025</v>
      </c>
      <c r="B16" s="26" t="s">
        <v>5</v>
      </c>
      <c r="C16" s="37">
        <f t="shared" si="4"/>
        <v>38471.553</v>
      </c>
      <c r="D16" s="37">
        <f t="shared" si="3"/>
        <v>48706.383</v>
      </c>
      <c r="E16" s="37">
        <f t="shared" si="3"/>
        <v>47673.818</v>
      </c>
      <c r="F16" s="37">
        <f t="shared" si="3"/>
        <v>39376.547</v>
      </c>
      <c r="G16" s="37">
        <f t="shared" si="3"/>
        <v>34128.516</v>
      </c>
      <c r="H16" s="37">
        <f t="shared" si="3"/>
        <v>40742.556</v>
      </c>
      <c r="I16" s="37">
        <f t="shared" si="3"/>
        <v>31631.171000000002</v>
      </c>
      <c r="J16" s="37">
        <f t="shared" si="3"/>
        <v>43825.22</v>
      </c>
      <c r="K16" s="37">
        <f t="shared" si="3"/>
        <v>46828.165</v>
      </c>
      <c r="L16" s="37">
        <f t="shared" si="3"/>
        <v>44461.222</v>
      </c>
      <c r="M16" s="37">
        <f t="shared" si="3"/>
        <v>42968.341</v>
      </c>
      <c r="N16" s="37">
        <f t="shared" si="3"/>
        <v>39707.227</v>
      </c>
      <c r="O16" s="38">
        <f t="shared" si="5"/>
        <v>498520.719</v>
      </c>
      <c r="P16" s="26"/>
      <c r="R16" s="26">
        <v>10025</v>
      </c>
      <c r="S16" s="26" t="s">
        <v>5</v>
      </c>
      <c r="T16" s="27">
        <v>0.008448</v>
      </c>
      <c r="U16" s="27">
        <v>0.008448</v>
      </c>
      <c r="V16" s="27">
        <v>0.008448</v>
      </c>
      <c r="W16" s="27">
        <v>0.008448</v>
      </c>
      <c r="X16" s="27">
        <v>0</v>
      </c>
      <c r="Y16" s="27">
        <v>0</v>
      </c>
      <c r="Z16" s="28">
        <v>56.909</v>
      </c>
      <c r="AA16" s="28">
        <v>56.909</v>
      </c>
      <c r="AB16" s="28">
        <v>56.909</v>
      </c>
      <c r="AC16" s="29">
        <v>0.06443</v>
      </c>
      <c r="AD16" s="29"/>
    </row>
    <row r="17" spans="1:30" ht="15">
      <c r="A17" s="26">
        <v>10027</v>
      </c>
      <c r="B17" s="26" t="s">
        <v>6</v>
      </c>
      <c r="C17" s="37">
        <f t="shared" si="4"/>
        <v>39461.577</v>
      </c>
      <c r="D17" s="37">
        <f t="shared" si="3"/>
        <v>49959.788</v>
      </c>
      <c r="E17" s="37">
        <f t="shared" si="3"/>
        <v>48900.652</v>
      </c>
      <c r="F17" s="37">
        <f t="shared" si="3"/>
        <v>40389.859</v>
      </c>
      <c r="G17" s="37">
        <f t="shared" si="3"/>
        <v>35006.776</v>
      </c>
      <c r="H17" s="37">
        <f t="shared" si="3"/>
        <v>41791.021</v>
      </c>
      <c r="I17" s="37">
        <f t="shared" si="3"/>
        <v>32445.165</v>
      </c>
      <c r="J17" s="37">
        <f t="shared" si="3"/>
        <v>44953.014</v>
      </c>
      <c r="K17" s="37">
        <f t="shared" si="3"/>
        <v>48033.237</v>
      </c>
      <c r="L17" s="37">
        <f t="shared" si="3"/>
        <v>45605.383</v>
      </c>
      <c r="M17" s="37">
        <f t="shared" si="3"/>
        <v>44074.085</v>
      </c>
      <c r="N17" s="37">
        <f t="shared" si="3"/>
        <v>40729.048</v>
      </c>
      <c r="O17" s="38">
        <f t="shared" si="5"/>
        <v>511349.6050000001</v>
      </c>
      <c r="P17" s="26"/>
      <c r="R17" s="26">
        <v>10027</v>
      </c>
      <c r="S17" s="26" t="s">
        <v>6</v>
      </c>
      <c r="T17" s="27">
        <v>0.0086654</v>
      </c>
      <c r="U17" s="27">
        <v>0.0086654</v>
      </c>
      <c r="V17" s="27">
        <v>0.0086654</v>
      </c>
      <c r="W17" s="27">
        <v>0.0086654</v>
      </c>
      <c r="X17" s="27">
        <v>0</v>
      </c>
      <c r="Y17" s="27">
        <v>0</v>
      </c>
      <c r="Z17" s="28">
        <v>58.373</v>
      </c>
      <c r="AA17" s="28">
        <v>58.373</v>
      </c>
      <c r="AB17" s="28">
        <v>58.373</v>
      </c>
      <c r="AC17" s="29">
        <v>0.07947</v>
      </c>
      <c r="AD17" s="29"/>
    </row>
    <row r="18" spans="1:30" ht="15">
      <c r="A18" s="26">
        <v>10029</v>
      </c>
      <c r="B18" s="26" t="s">
        <v>7</v>
      </c>
      <c r="C18" s="37">
        <f t="shared" si="4"/>
        <v>11359.764</v>
      </c>
      <c r="D18" s="37">
        <f t="shared" si="3"/>
        <v>14381.874</v>
      </c>
      <c r="E18" s="37">
        <f t="shared" si="3"/>
        <v>14076.982</v>
      </c>
      <c r="F18" s="37">
        <f t="shared" si="3"/>
        <v>11626.988000000001</v>
      </c>
      <c r="G18" s="37">
        <f t="shared" si="3"/>
        <v>10077.366</v>
      </c>
      <c r="H18" s="37">
        <f t="shared" si="3"/>
        <v>12030.339</v>
      </c>
      <c r="I18" s="37">
        <f t="shared" si="3"/>
        <v>9339.957</v>
      </c>
      <c r="J18" s="37">
        <f t="shared" si="3"/>
        <v>12940.579000000002</v>
      </c>
      <c r="K18" s="37">
        <f t="shared" si="3"/>
        <v>13827.279</v>
      </c>
      <c r="L18" s="37">
        <f t="shared" si="3"/>
        <v>13128.376</v>
      </c>
      <c r="M18" s="37">
        <f t="shared" si="3"/>
        <v>12687.561999999998</v>
      </c>
      <c r="N18" s="37">
        <f t="shared" si="3"/>
        <v>11724.630000000001</v>
      </c>
      <c r="O18" s="38">
        <f t="shared" si="5"/>
        <v>147201.696</v>
      </c>
      <c r="R18" s="26">
        <v>10029</v>
      </c>
      <c r="S18" s="26" t="s">
        <v>7</v>
      </c>
      <c r="T18" s="27">
        <v>0.0024945</v>
      </c>
      <c r="U18" s="27">
        <v>0.0024945</v>
      </c>
      <c r="V18" s="27">
        <v>0.0024945</v>
      </c>
      <c r="W18" s="27">
        <v>0.0024945</v>
      </c>
      <c r="X18" s="27">
        <v>0</v>
      </c>
      <c r="Y18" s="27">
        <v>0</v>
      </c>
      <c r="Z18" s="28">
        <v>16.804</v>
      </c>
      <c r="AA18" s="28">
        <v>16.804</v>
      </c>
      <c r="AB18" s="28">
        <v>16.804</v>
      </c>
      <c r="AC18" s="29">
        <v>0.08477</v>
      </c>
      <c r="AD18" s="29"/>
    </row>
    <row r="19" spans="1:30" ht="15">
      <c r="A19" s="26">
        <v>10044</v>
      </c>
      <c r="B19" s="26" t="s">
        <v>8</v>
      </c>
      <c r="C19" s="37">
        <f t="shared" si="4"/>
        <v>13096.632</v>
      </c>
      <c r="D19" s="37">
        <f t="shared" si="3"/>
        <v>16580.811</v>
      </c>
      <c r="E19" s="37">
        <f t="shared" si="3"/>
        <v>16229.301</v>
      </c>
      <c r="F19" s="37">
        <f t="shared" si="3"/>
        <v>13404.712</v>
      </c>
      <c r="G19" s="37">
        <f t="shared" si="3"/>
        <v>11618.158</v>
      </c>
      <c r="H19" s="37">
        <f t="shared" si="3"/>
        <v>13869.735</v>
      </c>
      <c r="I19" s="37">
        <f t="shared" si="3"/>
        <v>10768.002</v>
      </c>
      <c r="J19" s="37">
        <f t="shared" si="3"/>
        <v>14919.146</v>
      </c>
      <c r="K19" s="37">
        <f t="shared" si="3"/>
        <v>15941.420999999998</v>
      </c>
      <c r="L19" s="37">
        <f t="shared" si="3"/>
        <v>15135.657</v>
      </c>
      <c r="M19" s="37">
        <f t="shared" si="3"/>
        <v>14627.445</v>
      </c>
      <c r="N19" s="37">
        <f t="shared" si="3"/>
        <v>13517.284</v>
      </c>
      <c r="O19" s="38">
        <f t="shared" si="5"/>
        <v>169708.304</v>
      </c>
      <c r="R19" s="26">
        <v>10044</v>
      </c>
      <c r="S19" s="26" t="s">
        <v>8</v>
      </c>
      <c r="T19" s="27">
        <v>0.0028759</v>
      </c>
      <c r="U19" s="27">
        <v>0.0028759</v>
      </c>
      <c r="V19" s="27">
        <v>0.0028759</v>
      </c>
      <c r="W19" s="27">
        <v>0.0028759</v>
      </c>
      <c r="X19" s="27">
        <v>0</v>
      </c>
      <c r="Y19" s="27">
        <v>0</v>
      </c>
      <c r="Z19" s="28">
        <v>19.373</v>
      </c>
      <c r="AA19" s="28">
        <v>19.373</v>
      </c>
      <c r="AB19" s="28">
        <v>19.373</v>
      </c>
      <c r="AC19" s="29">
        <v>0</v>
      </c>
      <c r="AD19" s="29"/>
    </row>
    <row r="20" spans="1:30" ht="15">
      <c r="A20" s="26">
        <v>10046</v>
      </c>
      <c r="B20" s="26" t="s">
        <v>9</v>
      </c>
      <c r="C20" s="37">
        <f t="shared" si="4"/>
        <v>52782.261</v>
      </c>
      <c r="D20" s="37">
        <f t="shared" si="3"/>
        <v>66824.258</v>
      </c>
      <c r="E20" s="37">
        <f t="shared" si="3"/>
        <v>65407.598</v>
      </c>
      <c r="F20" s="37">
        <f t="shared" si="3"/>
        <v>54023.895</v>
      </c>
      <c r="G20" s="37">
        <f t="shared" si="3"/>
        <v>46823.694</v>
      </c>
      <c r="H20" s="37">
        <f t="shared" si="3"/>
        <v>55898.034999999996</v>
      </c>
      <c r="I20" s="37">
        <f t="shared" si="3"/>
        <v>43397.383</v>
      </c>
      <c r="J20" s="37">
        <f t="shared" si="3"/>
        <v>60127.392</v>
      </c>
      <c r="K20" s="37">
        <f t="shared" si="3"/>
        <v>64247.378</v>
      </c>
      <c r="L20" s="37">
        <f t="shared" si="3"/>
        <v>60999.976</v>
      </c>
      <c r="M20" s="37">
        <f t="shared" si="3"/>
        <v>58951.771</v>
      </c>
      <c r="N20" s="37">
        <f t="shared" si="3"/>
        <v>54477.582</v>
      </c>
      <c r="O20" s="38">
        <f t="shared" si="5"/>
        <v>683961.223</v>
      </c>
      <c r="R20" s="26">
        <v>10046</v>
      </c>
      <c r="S20" s="26" t="s">
        <v>9</v>
      </c>
      <c r="T20" s="27">
        <v>0.0115905</v>
      </c>
      <c r="U20" s="27">
        <v>0.0115905</v>
      </c>
      <c r="V20" s="27">
        <v>0.0115905</v>
      </c>
      <c r="W20" s="27">
        <v>0.0115905</v>
      </c>
      <c r="X20" s="27">
        <v>0</v>
      </c>
      <c r="Y20" s="27">
        <v>0</v>
      </c>
      <c r="Z20" s="28">
        <v>78.078</v>
      </c>
      <c r="AA20" s="28">
        <v>78.078</v>
      </c>
      <c r="AB20" s="28">
        <v>78.078</v>
      </c>
      <c r="AC20" s="29">
        <v>0.07978</v>
      </c>
      <c r="AD20" s="29"/>
    </row>
    <row r="21" spans="1:30" ht="15">
      <c r="A21" s="26">
        <v>10047</v>
      </c>
      <c r="B21" s="26" t="s">
        <v>10</v>
      </c>
      <c r="C21" s="37">
        <f t="shared" si="4"/>
        <v>101031.545</v>
      </c>
      <c r="D21" s="37">
        <f t="shared" si="3"/>
        <v>127909.603</v>
      </c>
      <c r="E21" s="37">
        <f t="shared" si="3"/>
        <v>125197.948</v>
      </c>
      <c r="F21" s="37">
        <f t="shared" si="3"/>
        <v>103408.18100000001</v>
      </c>
      <c r="G21" s="37">
        <f t="shared" si="3"/>
        <v>89626.136</v>
      </c>
      <c r="H21" s="37">
        <f t="shared" si="3"/>
        <v>106995.508</v>
      </c>
      <c r="I21" s="37">
        <f t="shared" si="3"/>
        <v>83067.767</v>
      </c>
      <c r="J21" s="37">
        <f t="shared" si="3"/>
        <v>115091.004</v>
      </c>
      <c r="K21" s="37">
        <f t="shared" si="3"/>
        <v>122977.147</v>
      </c>
      <c r="L21" s="37">
        <f t="shared" si="3"/>
        <v>116761.23300000001</v>
      </c>
      <c r="M21" s="37">
        <f t="shared" si="3"/>
        <v>112840.723</v>
      </c>
      <c r="N21" s="37">
        <f t="shared" si="3"/>
        <v>104276.592</v>
      </c>
      <c r="O21" s="38">
        <f t="shared" si="5"/>
        <v>1309183.3869999999</v>
      </c>
      <c r="R21" s="26">
        <v>10047</v>
      </c>
      <c r="S21" s="26" t="s">
        <v>10</v>
      </c>
      <c r="T21" s="27">
        <v>0.0221856</v>
      </c>
      <c r="U21" s="27">
        <v>0.0221856</v>
      </c>
      <c r="V21" s="27">
        <v>0.0221856</v>
      </c>
      <c r="W21" s="27">
        <v>0.0221856</v>
      </c>
      <c r="X21" s="27">
        <v>0</v>
      </c>
      <c r="Y21" s="27">
        <v>0</v>
      </c>
      <c r="Z21" s="28">
        <v>149.45</v>
      </c>
      <c r="AA21" s="28">
        <v>149.45</v>
      </c>
      <c r="AB21" s="28">
        <v>149.45</v>
      </c>
      <c r="AC21" s="29">
        <v>0</v>
      </c>
      <c r="AD21" s="29"/>
    </row>
    <row r="22" spans="1:30" ht="15">
      <c r="A22" s="26">
        <v>10055</v>
      </c>
      <c r="B22" s="26" t="s">
        <v>11</v>
      </c>
      <c r="C22" s="37">
        <f t="shared" si="4"/>
        <v>256.842</v>
      </c>
      <c r="D22" s="37">
        <f t="shared" si="3"/>
        <v>325.16999999999996</v>
      </c>
      <c r="E22" s="37">
        <f t="shared" si="3"/>
        <v>318.27599999999995</v>
      </c>
      <c r="F22" s="37">
        <f t="shared" si="3"/>
        <v>262.88300000000004</v>
      </c>
      <c r="G22" s="37">
        <f t="shared" si="3"/>
        <v>227.846</v>
      </c>
      <c r="H22" s="37">
        <f t="shared" si="3"/>
        <v>272.003</v>
      </c>
      <c r="I22" s="37">
        <f t="shared" si="3"/>
        <v>211.174</v>
      </c>
      <c r="J22" s="37">
        <f t="shared" si="3"/>
        <v>292.58299999999997</v>
      </c>
      <c r="K22" s="37">
        <f t="shared" si="3"/>
        <v>312.631</v>
      </c>
      <c r="L22" s="37">
        <f t="shared" si="3"/>
        <v>296.829</v>
      </c>
      <c r="M22" s="37">
        <f t="shared" si="3"/>
        <v>286.863</v>
      </c>
      <c r="N22" s="37">
        <f t="shared" si="3"/>
        <v>265.091</v>
      </c>
      <c r="O22" s="38">
        <f t="shared" si="5"/>
        <v>3328.1909999999993</v>
      </c>
      <c r="R22" s="26">
        <v>10055</v>
      </c>
      <c r="S22" s="26" t="s">
        <v>11</v>
      </c>
      <c r="T22" s="27">
        <v>5.64E-05</v>
      </c>
      <c r="U22" s="27">
        <v>5.64E-05</v>
      </c>
      <c r="V22" s="27">
        <v>5.64E-05</v>
      </c>
      <c r="W22" s="27">
        <v>5.64E-05</v>
      </c>
      <c r="X22" s="27">
        <v>0</v>
      </c>
      <c r="Y22" s="27">
        <v>0</v>
      </c>
      <c r="Z22" s="28">
        <v>0.38</v>
      </c>
      <c r="AA22" s="28">
        <v>0.38</v>
      </c>
      <c r="AB22" s="28">
        <v>0.38</v>
      </c>
      <c r="AC22" s="29">
        <v>0</v>
      </c>
      <c r="AD22" s="29"/>
    </row>
    <row r="23" spans="1:30" ht="15">
      <c r="A23" s="26">
        <v>10057</v>
      </c>
      <c r="B23" s="26" t="s">
        <v>12</v>
      </c>
      <c r="C23" s="37">
        <f t="shared" si="4"/>
        <v>13504.206999999999</v>
      </c>
      <c r="D23" s="37">
        <f t="shared" si="3"/>
        <v>17096.817000000003</v>
      </c>
      <c r="E23" s="37">
        <f t="shared" si="3"/>
        <v>16734.368000000002</v>
      </c>
      <c r="F23" s="37">
        <f t="shared" si="3"/>
        <v>13821.877</v>
      </c>
      <c r="G23" s="37">
        <f t="shared" si="3"/>
        <v>11979.723</v>
      </c>
      <c r="H23" s="37">
        <f t="shared" si="3"/>
        <v>14301.37</v>
      </c>
      <c r="I23" s="37">
        <f t="shared" si="3"/>
        <v>11103.11</v>
      </c>
      <c r="J23" s="37">
        <f t="shared" si="3"/>
        <v>15383.439999999999</v>
      </c>
      <c r="K23" s="37">
        <f t="shared" si="3"/>
        <v>16437.528</v>
      </c>
      <c r="L23" s="37">
        <f t="shared" si="3"/>
        <v>15606.689</v>
      </c>
      <c r="M23" s="37">
        <f t="shared" si="3"/>
        <v>15082.66</v>
      </c>
      <c r="N23" s="37">
        <f t="shared" si="3"/>
        <v>13937.951000000001</v>
      </c>
      <c r="O23" s="38">
        <f t="shared" si="5"/>
        <v>174989.74000000002</v>
      </c>
      <c r="R23" s="26">
        <v>10057</v>
      </c>
      <c r="S23" s="26" t="s">
        <v>12</v>
      </c>
      <c r="T23" s="27">
        <v>0.0029654</v>
      </c>
      <c r="U23" s="27">
        <v>0.0029654</v>
      </c>
      <c r="V23" s="27">
        <v>0.0029654</v>
      </c>
      <c r="W23" s="27">
        <v>0.0029654</v>
      </c>
      <c r="X23" s="27">
        <v>0</v>
      </c>
      <c r="Y23" s="27">
        <v>0</v>
      </c>
      <c r="Z23" s="28">
        <v>20.097</v>
      </c>
      <c r="AA23" s="28">
        <v>19.976</v>
      </c>
      <c r="AB23" s="28">
        <v>19.976</v>
      </c>
      <c r="AC23" s="29">
        <v>0</v>
      </c>
      <c r="AD23" s="29"/>
    </row>
    <row r="24" spans="1:30" ht="15">
      <c r="A24" s="26">
        <v>10059</v>
      </c>
      <c r="B24" s="26" t="s">
        <v>13</v>
      </c>
      <c r="C24" s="37">
        <f t="shared" si="4"/>
        <v>4925.98</v>
      </c>
      <c r="D24" s="37">
        <f t="shared" si="3"/>
        <v>6236.469</v>
      </c>
      <c r="E24" s="37">
        <f t="shared" si="3"/>
        <v>6104.258</v>
      </c>
      <c r="F24" s="37">
        <f t="shared" si="3"/>
        <v>5041.857</v>
      </c>
      <c r="G24" s="37">
        <f t="shared" si="3"/>
        <v>4369.889</v>
      </c>
      <c r="H24" s="37">
        <f t="shared" si="3"/>
        <v>5216.765</v>
      </c>
      <c r="I24" s="37">
        <f t="shared" si="3"/>
        <v>4050.1229999999996</v>
      </c>
      <c r="J24" s="37">
        <f t="shared" si="3"/>
        <v>5611.475</v>
      </c>
      <c r="K24" s="37">
        <f t="shared" si="3"/>
        <v>5995.978999999999</v>
      </c>
      <c r="L24" s="37">
        <f t="shared" si="3"/>
        <v>5692.911</v>
      </c>
      <c r="M24" s="37">
        <f t="shared" si="3"/>
        <v>5501.759</v>
      </c>
      <c r="N24" s="37">
        <f t="shared" si="3"/>
        <v>5084.198</v>
      </c>
      <c r="O24" s="38">
        <f t="shared" si="5"/>
        <v>63831.663</v>
      </c>
      <c r="R24" s="26">
        <v>10059</v>
      </c>
      <c r="S24" s="26" t="s">
        <v>13</v>
      </c>
      <c r="T24" s="27">
        <v>0.0010817</v>
      </c>
      <c r="U24" s="27">
        <v>0.0010817</v>
      </c>
      <c r="V24" s="27">
        <v>0.0010817</v>
      </c>
      <c r="W24" s="27">
        <v>0.0010817</v>
      </c>
      <c r="X24" s="27">
        <v>0</v>
      </c>
      <c r="Y24" s="27">
        <v>0</v>
      </c>
      <c r="Z24" s="28">
        <v>7.287</v>
      </c>
      <c r="AA24" s="28">
        <v>7.287</v>
      </c>
      <c r="AB24" s="28">
        <v>7.287</v>
      </c>
      <c r="AC24" s="29">
        <v>0</v>
      </c>
      <c r="AD24" s="29"/>
    </row>
    <row r="25" spans="1:30" ht="15">
      <c r="A25" s="26">
        <v>10061</v>
      </c>
      <c r="B25" s="26" t="s">
        <v>14</v>
      </c>
      <c r="C25" s="37">
        <f t="shared" si="4"/>
        <v>5640.036</v>
      </c>
      <c r="D25" s="37">
        <f t="shared" si="3"/>
        <v>7140.489</v>
      </c>
      <c r="E25" s="37">
        <f t="shared" si="3"/>
        <v>6989.112</v>
      </c>
      <c r="F25" s="37">
        <f t="shared" si="3"/>
        <v>5772.709000000001</v>
      </c>
      <c r="G25" s="37">
        <f t="shared" si="3"/>
        <v>5003.334000000001</v>
      </c>
      <c r="H25" s="37">
        <f t="shared" si="3"/>
        <v>5972.971</v>
      </c>
      <c r="I25" s="37">
        <f t="shared" si="3"/>
        <v>4637.217000000001</v>
      </c>
      <c r="J25" s="37">
        <f t="shared" si="3"/>
        <v>6424.896999999999</v>
      </c>
      <c r="K25" s="37">
        <f t="shared" si="3"/>
        <v>6865.137000000001</v>
      </c>
      <c r="L25" s="37">
        <f t="shared" si="3"/>
        <v>6518.138000000001</v>
      </c>
      <c r="M25" s="37">
        <f t="shared" si="3"/>
        <v>6299.276</v>
      </c>
      <c r="N25" s="37">
        <f t="shared" si="3"/>
        <v>5821.189</v>
      </c>
      <c r="O25" s="38">
        <f t="shared" si="5"/>
        <v>73084.505</v>
      </c>
      <c r="R25" s="26">
        <v>10061</v>
      </c>
      <c r="S25" s="26" t="s">
        <v>14</v>
      </c>
      <c r="T25" s="27">
        <v>0.0012385</v>
      </c>
      <c r="U25" s="27">
        <v>0.0012385</v>
      </c>
      <c r="V25" s="27">
        <v>0.0012385</v>
      </c>
      <c r="W25" s="27">
        <v>0.0012385</v>
      </c>
      <c r="X25" s="27">
        <v>0</v>
      </c>
      <c r="Y25" s="27">
        <v>0</v>
      </c>
      <c r="Z25" s="28">
        <v>8.343</v>
      </c>
      <c r="AA25" s="28">
        <v>8.343</v>
      </c>
      <c r="AB25" s="28">
        <v>8.343</v>
      </c>
      <c r="AC25" s="29">
        <v>0</v>
      </c>
      <c r="AD25" s="29"/>
    </row>
    <row r="26" spans="1:30" ht="15">
      <c r="A26" s="26">
        <v>10062</v>
      </c>
      <c r="B26" s="26" t="s">
        <v>15</v>
      </c>
      <c r="C26" s="37">
        <f t="shared" si="4"/>
        <v>3430.0159999999996</v>
      </c>
      <c r="D26" s="37">
        <f t="shared" si="3"/>
        <v>4342.524</v>
      </c>
      <c r="E26" s="37">
        <f t="shared" si="3"/>
        <v>4250.464</v>
      </c>
      <c r="F26" s="37">
        <f t="shared" si="3"/>
        <v>3510.703</v>
      </c>
      <c r="G26" s="37">
        <f t="shared" si="3"/>
        <v>3042.803</v>
      </c>
      <c r="H26" s="37">
        <f t="shared" si="3"/>
        <v>3632.492</v>
      </c>
      <c r="I26" s="37">
        <f t="shared" si="3"/>
        <v>2820.147</v>
      </c>
      <c r="J26" s="37">
        <f t="shared" si="3"/>
        <v>3907.334</v>
      </c>
      <c r="K26" s="37">
        <f t="shared" si="3"/>
        <v>4175.068</v>
      </c>
      <c r="L26" s="37">
        <f t="shared" si="3"/>
        <v>3964.0380000000005</v>
      </c>
      <c r="M26" s="37">
        <f t="shared" si="3"/>
        <v>3830.937</v>
      </c>
      <c r="N26" s="37">
        <f t="shared" si="3"/>
        <v>3540.1849999999995</v>
      </c>
      <c r="O26" s="38">
        <f t="shared" si="5"/>
        <v>44446.710999999996</v>
      </c>
      <c r="R26" s="26">
        <v>10062</v>
      </c>
      <c r="S26" s="26" t="s">
        <v>15</v>
      </c>
      <c r="T26" s="27">
        <v>0.0007532</v>
      </c>
      <c r="U26" s="27">
        <v>0.0007532</v>
      </c>
      <c r="V26" s="27">
        <v>0.0007532</v>
      </c>
      <c r="W26" s="27">
        <v>0.0007532</v>
      </c>
      <c r="X26" s="27">
        <v>0</v>
      </c>
      <c r="Y26" s="27">
        <v>0</v>
      </c>
      <c r="Z26" s="28">
        <v>5.074</v>
      </c>
      <c r="AA26" s="28">
        <v>5.074</v>
      </c>
      <c r="AB26" s="28">
        <v>5.074</v>
      </c>
      <c r="AC26" s="29">
        <v>0</v>
      </c>
      <c r="AD26" s="29"/>
    </row>
    <row r="27" spans="1:30" ht="15">
      <c r="A27" s="26">
        <v>10064</v>
      </c>
      <c r="B27" s="26" t="s">
        <v>16</v>
      </c>
      <c r="C27" s="37">
        <f t="shared" si="4"/>
        <v>9069.596000000001</v>
      </c>
      <c r="D27" s="37">
        <f t="shared" si="3"/>
        <v>11482.437999999998</v>
      </c>
      <c r="E27" s="37">
        <f t="shared" si="3"/>
        <v>11239.011999999999</v>
      </c>
      <c r="F27" s="37">
        <f t="shared" si="3"/>
        <v>9282.946</v>
      </c>
      <c r="G27" s="37">
        <f t="shared" si="3"/>
        <v>8045.733</v>
      </c>
      <c r="H27" s="37">
        <f t="shared" si="3"/>
        <v>9604.98</v>
      </c>
      <c r="I27" s="37">
        <f t="shared" si="3"/>
        <v>7456.989</v>
      </c>
      <c r="J27" s="37">
        <f t="shared" si="3"/>
        <v>10331.712</v>
      </c>
      <c r="K27" s="37">
        <f t="shared" si="3"/>
        <v>11039.651</v>
      </c>
      <c r="L27" s="37">
        <f t="shared" si="3"/>
        <v>10481.649000000001</v>
      </c>
      <c r="M27" s="37">
        <f t="shared" si="3"/>
        <v>10129.705</v>
      </c>
      <c r="N27" s="37">
        <f t="shared" si="3"/>
        <v>9360.904</v>
      </c>
      <c r="O27" s="38">
        <f t="shared" si="5"/>
        <v>117525.315</v>
      </c>
      <c r="R27" s="26">
        <v>10064</v>
      </c>
      <c r="S27" s="26" t="s">
        <v>16</v>
      </c>
      <c r="T27" s="27">
        <v>0.0019916</v>
      </c>
      <c r="U27" s="27">
        <v>0.0019916</v>
      </c>
      <c r="V27" s="27">
        <v>0.0019916</v>
      </c>
      <c r="W27" s="27">
        <v>0.0019916</v>
      </c>
      <c r="X27" s="27">
        <v>0</v>
      </c>
      <c r="Y27" s="27">
        <v>0</v>
      </c>
      <c r="Z27" s="28">
        <v>13.416</v>
      </c>
      <c r="AA27" s="28">
        <v>13.416</v>
      </c>
      <c r="AB27" s="28">
        <v>13.416</v>
      </c>
      <c r="AC27" s="29">
        <v>0</v>
      </c>
      <c r="AD27" s="29"/>
    </row>
    <row r="28" spans="1:30" ht="15">
      <c r="A28" s="26">
        <v>10065</v>
      </c>
      <c r="B28" s="26" t="s">
        <v>17</v>
      </c>
      <c r="C28" s="37">
        <f t="shared" si="4"/>
        <v>1533.306</v>
      </c>
      <c r="D28" s="37">
        <f t="shared" si="3"/>
        <v>1941.221</v>
      </c>
      <c r="E28" s="37">
        <f t="shared" si="3"/>
        <v>1900.0680000000002</v>
      </c>
      <c r="F28" s="37">
        <f t="shared" si="3"/>
        <v>1569.375</v>
      </c>
      <c r="G28" s="37">
        <f t="shared" si="3"/>
        <v>1360.212</v>
      </c>
      <c r="H28" s="37">
        <f t="shared" si="3"/>
        <v>1623.818</v>
      </c>
      <c r="I28" s="37">
        <f t="shared" si="3"/>
        <v>1260.679</v>
      </c>
      <c r="J28" s="37">
        <f t="shared" si="3"/>
        <v>1746.679</v>
      </c>
      <c r="K28" s="37">
        <f t="shared" si="3"/>
        <v>1866.365</v>
      </c>
      <c r="L28" s="37">
        <f t="shared" si="3"/>
        <v>1772.028</v>
      </c>
      <c r="M28" s="37">
        <f t="shared" si="3"/>
        <v>1712.529</v>
      </c>
      <c r="N28" s="37">
        <f t="shared" si="3"/>
        <v>1582.555</v>
      </c>
      <c r="O28" s="38">
        <f t="shared" si="5"/>
        <v>19868.835</v>
      </c>
      <c r="R28" s="26">
        <v>10065</v>
      </c>
      <c r="S28" s="26" t="s">
        <v>17</v>
      </c>
      <c r="T28" s="27">
        <v>0.0003367</v>
      </c>
      <c r="U28" s="27">
        <v>0.0003367</v>
      </c>
      <c r="V28" s="27">
        <v>0.0003367</v>
      </c>
      <c r="W28" s="27">
        <v>0.0003367</v>
      </c>
      <c r="X28" s="27">
        <v>0</v>
      </c>
      <c r="Y28" s="27">
        <v>0</v>
      </c>
      <c r="Z28" s="28">
        <v>2.268</v>
      </c>
      <c r="AA28" s="28">
        <v>2.268</v>
      </c>
      <c r="AB28" s="28">
        <v>2.268</v>
      </c>
      <c r="AC28" s="29">
        <v>0.07697</v>
      </c>
      <c r="AD28" s="29"/>
    </row>
    <row r="29" spans="1:30" ht="15">
      <c r="A29" s="26">
        <v>10066</v>
      </c>
      <c r="B29" s="26" t="s">
        <v>18</v>
      </c>
      <c r="C29" s="37">
        <f t="shared" si="4"/>
        <v>15716.048</v>
      </c>
      <c r="D29" s="37">
        <f t="shared" si="4"/>
        <v>19897.088</v>
      </c>
      <c r="E29" s="37">
        <f t="shared" si="4"/>
        <v>19475.273999999998</v>
      </c>
      <c r="F29" s="37">
        <f t="shared" si="4"/>
        <v>16085.748</v>
      </c>
      <c r="G29" s="37">
        <f t="shared" si="4"/>
        <v>13941.869999999999</v>
      </c>
      <c r="H29" s="37">
        <f t="shared" si="4"/>
        <v>16643.777</v>
      </c>
      <c r="I29" s="37">
        <f t="shared" si="4"/>
        <v>12921.678</v>
      </c>
      <c r="J29" s="37">
        <f t="shared" si="4"/>
        <v>17903.08</v>
      </c>
      <c r="K29" s="37">
        <f t="shared" si="4"/>
        <v>19129.816</v>
      </c>
      <c r="L29" s="37">
        <f t="shared" si="4"/>
        <v>18162.893</v>
      </c>
      <c r="M29" s="37">
        <f t="shared" si="4"/>
        <v>17553.036</v>
      </c>
      <c r="N29" s="37">
        <f t="shared" si="4"/>
        <v>16220.835</v>
      </c>
      <c r="O29" s="38">
        <f t="shared" si="5"/>
        <v>203651.14299999998</v>
      </c>
      <c r="R29" s="26">
        <v>10066</v>
      </c>
      <c r="S29" s="26" t="s">
        <v>18</v>
      </c>
      <c r="T29" s="27">
        <v>0.0034511</v>
      </c>
      <c r="U29" s="27">
        <v>0.0034511</v>
      </c>
      <c r="V29" s="27">
        <v>0.0034511</v>
      </c>
      <c r="W29" s="27">
        <v>0.0034511</v>
      </c>
      <c r="X29" s="27">
        <v>0</v>
      </c>
      <c r="Y29" s="27">
        <v>0</v>
      </c>
      <c r="Z29" s="28">
        <v>23.248</v>
      </c>
      <c r="AA29" s="28">
        <v>23.248</v>
      </c>
      <c r="AB29" s="28">
        <v>23.248</v>
      </c>
      <c r="AC29" s="29">
        <v>0</v>
      </c>
      <c r="AD29" s="29"/>
    </row>
    <row r="30" spans="1:30" ht="15">
      <c r="A30" s="26">
        <v>10067</v>
      </c>
      <c r="B30" s="26" t="s">
        <v>19</v>
      </c>
      <c r="C30" s="37">
        <f t="shared" si="4"/>
        <v>10199.88</v>
      </c>
      <c r="D30" s="37">
        <f t="shared" si="4"/>
        <v>12913.419</v>
      </c>
      <c r="E30" s="37">
        <f t="shared" si="4"/>
        <v>12639.655999999999</v>
      </c>
      <c r="F30" s="37">
        <f t="shared" si="4"/>
        <v>10439.818</v>
      </c>
      <c r="G30" s="37">
        <f t="shared" si="4"/>
        <v>9048.42</v>
      </c>
      <c r="H30" s="37">
        <f t="shared" si="4"/>
        <v>10801.986</v>
      </c>
      <c r="I30" s="37">
        <f t="shared" si="4"/>
        <v>8386.304</v>
      </c>
      <c r="J30" s="37">
        <f t="shared" si="4"/>
        <v>11619.286</v>
      </c>
      <c r="K30" s="37">
        <f t="shared" si="4"/>
        <v>12415.45</v>
      </c>
      <c r="L30" s="37">
        <f t="shared" si="4"/>
        <v>11787.908</v>
      </c>
      <c r="M30" s="37">
        <f t="shared" si="4"/>
        <v>11392.103000000001</v>
      </c>
      <c r="N30" s="37">
        <f t="shared" si="4"/>
        <v>10527.491</v>
      </c>
      <c r="O30" s="38">
        <f t="shared" si="5"/>
        <v>132171.721</v>
      </c>
      <c r="R30" s="26">
        <v>10067</v>
      </c>
      <c r="S30" s="26" t="s">
        <v>19</v>
      </c>
      <c r="T30" s="27">
        <v>0.0022398</v>
      </c>
      <c r="U30" s="27">
        <v>0.0022398</v>
      </c>
      <c r="V30" s="27">
        <v>0.0022398</v>
      </c>
      <c r="W30" s="27">
        <v>0.0022398</v>
      </c>
      <c r="X30" s="27">
        <v>0</v>
      </c>
      <c r="Y30" s="27">
        <v>0</v>
      </c>
      <c r="Z30" s="28">
        <v>15.088</v>
      </c>
      <c r="AA30" s="28">
        <v>15.088</v>
      </c>
      <c r="AB30" s="28">
        <v>15.088</v>
      </c>
      <c r="AC30" s="29">
        <v>0</v>
      </c>
      <c r="AD30" s="29"/>
    </row>
    <row r="31" spans="1:30" ht="15">
      <c r="A31" s="26">
        <v>10068</v>
      </c>
      <c r="B31" s="26" t="s">
        <v>20</v>
      </c>
      <c r="C31" s="37">
        <f t="shared" si="4"/>
        <v>1750.073</v>
      </c>
      <c r="D31" s="37">
        <f t="shared" si="4"/>
        <v>2215.656</v>
      </c>
      <c r="E31" s="37">
        <f t="shared" si="4"/>
        <v>2168.684</v>
      </c>
      <c r="F31" s="37">
        <f t="shared" si="4"/>
        <v>1791.241</v>
      </c>
      <c r="G31" s="37">
        <f t="shared" si="4"/>
        <v>1552.5079999999998</v>
      </c>
      <c r="H31" s="37">
        <f t="shared" si="4"/>
        <v>1853.3809999999999</v>
      </c>
      <c r="I31" s="37">
        <f t="shared" si="4"/>
        <v>1438.904</v>
      </c>
      <c r="J31" s="37">
        <f t="shared" si="4"/>
        <v>1993.612</v>
      </c>
      <c r="K31" s="37">
        <f t="shared" si="4"/>
        <v>2130.2160000000003</v>
      </c>
      <c r="L31" s="37">
        <f t="shared" si="4"/>
        <v>2022.544</v>
      </c>
      <c r="M31" s="37">
        <f t="shared" si="4"/>
        <v>1954.632</v>
      </c>
      <c r="N31" s="37">
        <f t="shared" si="4"/>
        <v>1806.284</v>
      </c>
      <c r="O31" s="38">
        <f t="shared" si="5"/>
        <v>22677.735000000004</v>
      </c>
      <c r="R31" s="26">
        <v>10068</v>
      </c>
      <c r="S31" s="26" t="s">
        <v>20</v>
      </c>
      <c r="T31" s="27">
        <v>0.0003843</v>
      </c>
      <c r="U31" s="27">
        <v>0.0003851</v>
      </c>
      <c r="V31" s="27">
        <v>0.0003843</v>
      </c>
      <c r="W31" s="27">
        <v>0.0003851</v>
      </c>
      <c r="X31" s="27">
        <v>0</v>
      </c>
      <c r="Y31" s="27">
        <v>0</v>
      </c>
      <c r="Z31" s="28">
        <v>2.642</v>
      </c>
      <c r="AA31" s="28">
        <v>2.589</v>
      </c>
      <c r="AB31" s="28">
        <v>2.594</v>
      </c>
      <c r="AC31" s="29">
        <v>0</v>
      </c>
      <c r="AD31" s="29"/>
    </row>
    <row r="32" spans="1:30" ht="15">
      <c r="A32" s="26">
        <v>10070</v>
      </c>
      <c r="B32" s="26" t="s">
        <v>21</v>
      </c>
      <c r="C32" s="37">
        <f t="shared" si="4"/>
        <v>231.339</v>
      </c>
      <c r="D32" s="37">
        <f t="shared" si="4"/>
        <v>292.884</v>
      </c>
      <c r="E32" s="37">
        <f t="shared" si="4"/>
        <v>286.675</v>
      </c>
      <c r="F32" s="37">
        <f t="shared" si="4"/>
        <v>236.781</v>
      </c>
      <c r="G32" s="37">
        <f t="shared" si="4"/>
        <v>205.224</v>
      </c>
      <c r="H32" s="37">
        <f t="shared" si="4"/>
        <v>244.995</v>
      </c>
      <c r="I32" s="37">
        <f t="shared" si="4"/>
        <v>190.207</v>
      </c>
      <c r="J32" s="37">
        <f t="shared" si="4"/>
        <v>263.532</v>
      </c>
      <c r="K32" s="37">
        <f t="shared" si="4"/>
        <v>281.59000000000003</v>
      </c>
      <c r="L32" s="37">
        <f t="shared" si="4"/>
        <v>267.35699999999997</v>
      </c>
      <c r="M32" s="37">
        <f t="shared" si="4"/>
        <v>258.38</v>
      </c>
      <c r="N32" s="37">
        <f t="shared" si="4"/>
        <v>238.76999999999998</v>
      </c>
      <c r="O32" s="38">
        <f t="shared" si="5"/>
        <v>2997.7339999999995</v>
      </c>
      <c r="R32" s="26">
        <v>10070</v>
      </c>
      <c r="S32" s="26" t="s">
        <v>21</v>
      </c>
      <c r="T32" s="27">
        <v>5.08E-05</v>
      </c>
      <c r="U32" s="27">
        <v>5.08E-05</v>
      </c>
      <c r="V32" s="27">
        <v>5.08E-05</v>
      </c>
      <c r="W32" s="27">
        <v>5.08E-05</v>
      </c>
      <c r="X32" s="27">
        <v>0</v>
      </c>
      <c r="Y32" s="27">
        <v>0</v>
      </c>
      <c r="Z32" s="28">
        <v>0.342</v>
      </c>
      <c r="AA32" s="28">
        <v>0.342</v>
      </c>
      <c r="AB32" s="28">
        <v>0.342</v>
      </c>
      <c r="AC32" s="29">
        <v>0</v>
      </c>
      <c r="AD32" s="29"/>
    </row>
    <row r="33" spans="1:30" ht="15">
      <c r="A33" s="26">
        <v>10071</v>
      </c>
      <c r="B33" s="26" t="s">
        <v>22</v>
      </c>
      <c r="C33" s="37">
        <f t="shared" si="4"/>
        <v>1234.569</v>
      </c>
      <c r="D33" s="37">
        <f t="shared" si="4"/>
        <v>1563.009</v>
      </c>
      <c r="E33" s="37">
        <f t="shared" si="4"/>
        <v>1529.8739999999998</v>
      </c>
      <c r="F33" s="37">
        <f t="shared" si="4"/>
        <v>1263.6100000000001</v>
      </c>
      <c r="G33" s="37">
        <f t="shared" si="4"/>
        <v>1095.199</v>
      </c>
      <c r="H33" s="37">
        <f t="shared" si="4"/>
        <v>1307.4470000000001</v>
      </c>
      <c r="I33" s="37">
        <f t="shared" si="4"/>
        <v>1015.058</v>
      </c>
      <c r="J33" s="37">
        <f t="shared" si="4"/>
        <v>1406.371</v>
      </c>
      <c r="K33" s="37">
        <f t="shared" si="4"/>
        <v>1502.736</v>
      </c>
      <c r="L33" s="37">
        <f t="shared" si="4"/>
        <v>1426.78</v>
      </c>
      <c r="M33" s="37">
        <f t="shared" si="4"/>
        <v>1378.873</v>
      </c>
      <c r="N33" s="37">
        <f t="shared" si="4"/>
        <v>1274.223</v>
      </c>
      <c r="O33" s="38">
        <f t="shared" si="5"/>
        <v>15997.749</v>
      </c>
      <c r="R33" s="26">
        <v>10071</v>
      </c>
      <c r="S33" s="26" t="s">
        <v>22</v>
      </c>
      <c r="T33" s="27">
        <v>0.0002711</v>
      </c>
      <c r="U33" s="27">
        <v>0.0002711</v>
      </c>
      <c r="V33" s="27">
        <v>0.0002711</v>
      </c>
      <c r="W33" s="27">
        <v>0.0002711</v>
      </c>
      <c r="X33" s="27">
        <v>0</v>
      </c>
      <c r="Y33" s="27">
        <v>0</v>
      </c>
      <c r="Z33" s="28">
        <v>1.826</v>
      </c>
      <c r="AA33" s="28">
        <v>1.826</v>
      </c>
      <c r="AB33" s="28">
        <v>1.826</v>
      </c>
      <c r="AC33" s="29">
        <v>0</v>
      </c>
      <c r="AD33" s="29"/>
    </row>
    <row r="34" spans="1:30" ht="15">
      <c r="A34" s="26">
        <v>10072</v>
      </c>
      <c r="B34" s="26" t="s">
        <v>23</v>
      </c>
      <c r="C34" s="37">
        <f t="shared" si="4"/>
        <v>15465.128</v>
      </c>
      <c r="D34" s="37">
        <f t="shared" si="4"/>
        <v>19579.413</v>
      </c>
      <c r="E34" s="37">
        <f t="shared" si="4"/>
        <v>19164.333</v>
      </c>
      <c r="F34" s="37">
        <f t="shared" si="4"/>
        <v>15828.923999999999</v>
      </c>
      <c r="G34" s="37">
        <f t="shared" si="4"/>
        <v>13719.276</v>
      </c>
      <c r="H34" s="37">
        <f t="shared" si="4"/>
        <v>16378.044000000002</v>
      </c>
      <c r="I34" s="37">
        <f t="shared" si="4"/>
        <v>12715.371</v>
      </c>
      <c r="J34" s="37">
        <f t="shared" si="4"/>
        <v>17617.24</v>
      </c>
      <c r="K34" s="37">
        <f t="shared" si="4"/>
        <v>18824.39</v>
      </c>
      <c r="L34" s="37">
        <f t="shared" si="4"/>
        <v>17872.906</v>
      </c>
      <c r="M34" s="37">
        <f t="shared" si="4"/>
        <v>17272.785</v>
      </c>
      <c r="N34" s="37">
        <f t="shared" si="4"/>
        <v>15961.854</v>
      </c>
      <c r="O34" s="38">
        <f t="shared" si="5"/>
        <v>200399.664</v>
      </c>
      <c r="R34" s="26">
        <v>10072</v>
      </c>
      <c r="S34" s="26" t="s">
        <v>23</v>
      </c>
      <c r="T34" s="27">
        <v>0.003396</v>
      </c>
      <c r="U34" s="27">
        <v>0.003396</v>
      </c>
      <c r="V34" s="27">
        <v>0.003396</v>
      </c>
      <c r="W34" s="27">
        <v>0.003396</v>
      </c>
      <c r="X34" s="27">
        <v>0</v>
      </c>
      <c r="Y34" s="27">
        <v>0</v>
      </c>
      <c r="Z34" s="28">
        <v>22.877</v>
      </c>
      <c r="AA34" s="28">
        <v>22.877</v>
      </c>
      <c r="AB34" s="28">
        <v>22.877</v>
      </c>
      <c r="AC34" s="29">
        <v>0</v>
      </c>
      <c r="AD34" s="29"/>
    </row>
    <row r="35" spans="1:30" ht="15">
      <c r="A35" s="26">
        <v>10074</v>
      </c>
      <c r="B35" s="26" t="s">
        <v>24</v>
      </c>
      <c r="C35" s="37">
        <f t="shared" si="4"/>
        <v>17206.093</v>
      </c>
      <c r="D35" s="37">
        <f t="shared" si="4"/>
        <v>21783.537</v>
      </c>
      <c r="E35" s="37">
        <f t="shared" si="4"/>
        <v>21321.731</v>
      </c>
      <c r="F35" s="37">
        <f t="shared" si="4"/>
        <v>17610.844</v>
      </c>
      <c r="G35" s="37">
        <f t="shared" si="4"/>
        <v>15263.704</v>
      </c>
      <c r="H35" s="37">
        <f t="shared" si="4"/>
        <v>18221.78</v>
      </c>
      <c r="I35" s="37">
        <f t="shared" si="4"/>
        <v>14146.786</v>
      </c>
      <c r="J35" s="37">
        <f t="shared" si="4"/>
        <v>19600.477</v>
      </c>
      <c r="K35" s="37">
        <f t="shared" si="4"/>
        <v>20943.519</v>
      </c>
      <c r="L35" s="37">
        <f t="shared" si="4"/>
        <v>19884.924</v>
      </c>
      <c r="M35" s="37">
        <f t="shared" si="4"/>
        <v>19217.245</v>
      </c>
      <c r="N35" s="37">
        <f t="shared" si="4"/>
        <v>17758.737999999998</v>
      </c>
      <c r="O35" s="38">
        <f t="shared" si="5"/>
        <v>222959.37799999997</v>
      </c>
      <c r="R35" s="26">
        <v>10074</v>
      </c>
      <c r="S35" s="26" t="s">
        <v>24</v>
      </c>
      <c r="T35" s="27">
        <v>0.0037783</v>
      </c>
      <c r="U35" s="27">
        <v>0.0037783</v>
      </c>
      <c r="V35" s="27">
        <v>0.0037783</v>
      </c>
      <c r="W35" s="27">
        <v>0.0037783</v>
      </c>
      <c r="X35" s="27">
        <v>0</v>
      </c>
      <c r="Y35" s="27">
        <v>0</v>
      </c>
      <c r="Z35" s="28">
        <v>25.452</v>
      </c>
      <c r="AA35" s="28">
        <v>25.452</v>
      </c>
      <c r="AB35" s="28">
        <v>25.452</v>
      </c>
      <c r="AC35" s="29">
        <v>0</v>
      </c>
      <c r="AD35" s="29"/>
    </row>
    <row r="36" spans="1:30" ht="15">
      <c r="A36" s="26">
        <v>10076</v>
      </c>
      <c r="B36" s="26" t="s">
        <v>25</v>
      </c>
      <c r="C36" s="37">
        <f t="shared" si="4"/>
        <v>3106.232</v>
      </c>
      <c r="D36" s="37">
        <f t="shared" si="4"/>
        <v>3932.602</v>
      </c>
      <c r="E36" s="37">
        <f t="shared" si="4"/>
        <v>3849.232</v>
      </c>
      <c r="F36" s="37">
        <f t="shared" si="4"/>
        <v>3179.302</v>
      </c>
      <c r="G36" s="37">
        <f t="shared" si="4"/>
        <v>2755.5699999999997</v>
      </c>
      <c r="H36" s="37">
        <f t="shared" si="4"/>
        <v>3289.5950000000003</v>
      </c>
      <c r="I36" s="37">
        <f t="shared" si="4"/>
        <v>2553.933</v>
      </c>
      <c r="J36" s="37">
        <f t="shared" si="4"/>
        <v>3538.493</v>
      </c>
      <c r="K36" s="37">
        <f t="shared" si="4"/>
        <v>3780.9539999999997</v>
      </c>
      <c r="L36" s="37">
        <f t="shared" si="4"/>
        <v>3589.844</v>
      </c>
      <c r="M36" s="37">
        <f t="shared" si="4"/>
        <v>3469.3070000000002</v>
      </c>
      <c r="N36" s="37">
        <f t="shared" si="4"/>
        <v>3206.001</v>
      </c>
      <c r="O36" s="38">
        <f t="shared" si="5"/>
        <v>40251.065</v>
      </c>
      <c r="R36" s="26">
        <v>10076</v>
      </c>
      <c r="S36" s="26" t="s">
        <v>25</v>
      </c>
      <c r="T36" s="27">
        <v>0.0006821</v>
      </c>
      <c r="U36" s="27">
        <v>0.0006821</v>
      </c>
      <c r="V36" s="27">
        <v>0.0006821</v>
      </c>
      <c r="W36" s="27">
        <v>0.0006821</v>
      </c>
      <c r="X36" s="27">
        <v>0</v>
      </c>
      <c r="Y36" s="27">
        <v>0</v>
      </c>
      <c r="Z36" s="28">
        <v>4.595</v>
      </c>
      <c r="AA36" s="28">
        <v>4.595</v>
      </c>
      <c r="AB36" s="28">
        <v>4.595</v>
      </c>
      <c r="AC36" s="29">
        <v>0</v>
      </c>
      <c r="AD36" s="29"/>
    </row>
    <row r="37" spans="1:30" ht="15">
      <c r="A37" s="26">
        <v>10078</v>
      </c>
      <c r="B37" s="26" t="s">
        <v>26</v>
      </c>
      <c r="C37" s="37">
        <f t="shared" si="4"/>
        <v>2397.1859999999997</v>
      </c>
      <c r="D37" s="37">
        <f t="shared" si="4"/>
        <v>3034.924</v>
      </c>
      <c r="E37" s="37">
        <f t="shared" si="4"/>
        <v>2970.585</v>
      </c>
      <c r="F37" s="37">
        <f t="shared" si="4"/>
        <v>2453.577</v>
      </c>
      <c r="G37" s="37">
        <f t="shared" si="4"/>
        <v>2126.569</v>
      </c>
      <c r="H37" s="37">
        <f t="shared" si="4"/>
        <v>2538.693</v>
      </c>
      <c r="I37" s="37">
        <f t="shared" si="4"/>
        <v>1970.958</v>
      </c>
      <c r="J37" s="37">
        <f t="shared" si="4"/>
        <v>2730.776</v>
      </c>
      <c r="K37" s="37">
        <f t="shared" si="4"/>
        <v>2917.891</v>
      </c>
      <c r="L37" s="37">
        <f t="shared" si="4"/>
        <v>2770.406</v>
      </c>
      <c r="M37" s="37">
        <f t="shared" si="4"/>
        <v>2677.383</v>
      </c>
      <c r="N37" s="37">
        <f t="shared" si="4"/>
        <v>2474.181</v>
      </c>
      <c r="O37" s="38">
        <f t="shared" si="5"/>
        <v>31063.128999999997</v>
      </c>
      <c r="R37" s="26">
        <v>10078</v>
      </c>
      <c r="S37" s="26" t="s">
        <v>26</v>
      </c>
      <c r="T37" s="27">
        <v>0.0005264</v>
      </c>
      <c r="U37" s="27">
        <v>0.0005264</v>
      </c>
      <c r="V37" s="27">
        <v>0.0005264</v>
      </c>
      <c r="W37" s="27">
        <v>0.0005264</v>
      </c>
      <c r="X37" s="27">
        <v>0</v>
      </c>
      <c r="Y37" s="27">
        <v>0</v>
      </c>
      <c r="Z37" s="28">
        <v>3.546</v>
      </c>
      <c r="AA37" s="28">
        <v>3.546</v>
      </c>
      <c r="AB37" s="28">
        <v>3.546</v>
      </c>
      <c r="AC37" s="29">
        <v>0</v>
      </c>
      <c r="AD37" s="29"/>
    </row>
    <row r="38" spans="1:30" ht="15">
      <c r="A38" s="26">
        <v>10079</v>
      </c>
      <c r="B38" s="26" t="s">
        <v>27</v>
      </c>
      <c r="C38" s="37">
        <f t="shared" si="4"/>
        <v>54895.736999999994</v>
      </c>
      <c r="D38" s="37">
        <f t="shared" si="4"/>
        <v>69499.996</v>
      </c>
      <c r="E38" s="37">
        <f t="shared" si="4"/>
        <v>68026.611</v>
      </c>
      <c r="F38" s="37">
        <f t="shared" si="4"/>
        <v>56187.088</v>
      </c>
      <c r="G38" s="37">
        <f t="shared" si="4"/>
        <v>48698.581</v>
      </c>
      <c r="H38" s="37">
        <f t="shared" si="4"/>
        <v>58136.27</v>
      </c>
      <c r="I38" s="37">
        <f t="shared" si="4"/>
        <v>45135.075</v>
      </c>
      <c r="J38" s="37">
        <f t="shared" si="4"/>
        <v>62534.978</v>
      </c>
      <c r="K38" s="37">
        <f t="shared" si="4"/>
        <v>66819.93400000001</v>
      </c>
      <c r="L38" s="37">
        <f t="shared" si="4"/>
        <v>63442.501000000004</v>
      </c>
      <c r="M38" s="37">
        <f t="shared" si="4"/>
        <v>61312.282999999996</v>
      </c>
      <c r="N38" s="37">
        <f t="shared" si="4"/>
        <v>56658.94099999999</v>
      </c>
      <c r="O38" s="38">
        <f t="shared" si="5"/>
        <v>711347.995</v>
      </c>
      <c r="R38" s="26">
        <v>10079</v>
      </c>
      <c r="S38" s="26" t="s">
        <v>27</v>
      </c>
      <c r="T38" s="27">
        <v>0.0120546</v>
      </c>
      <c r="U38" s="27">
        <v>0.0120858</v>
      </c>
      <c r="V38" s="27">
        <v>0.0120546</v>
      </c>
      <c r="W38" s="27">
        <v>0.0120858</v>
      </c>
      <c r="X38" s="27">
        <v>0</v>
      </c>
      <c r="Y38" s="27">
        <v>0</v>
      </c>
      <c r="Z38" s="28">
        <v>84.114</v>
      </c>
      <c r="AA38" s="28">
        <v>81.204</v>
      </c>
      <c r="AB38" s="28">
        <v>81.414</v>
      </c>
      <c r="AC38" s="29">
        <v>0</v>
      </c>
      <c r="AD38" s="29"/>
    </row>
    <row r="39" spans="1:30" ht="15">
      <c r="A39" s="26">
        <v>10080</v>
      </c>
      <c r="B39" s="26" t="s">
        <v>28</v>
      </c>
      <c r="C39" s="37">
        <f t="shared" si="4"/>
        <v>4637.717</v>
      </c>
      <c r="D39" s="37">
        <f t="shared" si="4"/>
        <v>5871.517</v>
      </c>
      <c r="E39" s="37">
        <f t="shared" si="4"/>
        <v>5747.043</v>
      </c>
      <c r="F39" s="37">
        <f t="shared" si="4"/>
        <v>4746.813</v>
      </c>
      <c r="G39" s="37">
        <f t="shared" si="4"/>
        <v>4114.167</v>
      </c>
      <c r="H39" s="37">
        <f t="shared" si="4"/>
        <v>4911.484</v>
      </c>
      <c r="I39" s="37">
        <f t="shared" si="4"/>
        <v>3813.1130000000003</v>
      </c>
      <c r="J39" s="37">
        <f t="shared" si="4"/>
        <v>5283.097</v>
      </c>
      <c r="K39" s="37">
        <f t="shared" si="4"/>
        <v>5645.1</v>
      </c>
      <c r="L39" s="37">
        <f t="shared" si="4"/>
        <v>5359.767</v>
      </c>
      <c r="M39" s="37">
        <f t="shared" si="4"/>
        <v>5179.801</v>
      </c>
      <c r="N39" s="37">
        <f t="shared" si="4"/>
        <v>4786.6759999999995</v>
      </c>
      <c r="O39" s="38">
        <f t="shared" si="5"/>
        <v>60096.295</v>
      </c>
      <c r="R39" s="26">
        <v>10080</v>
      </c>
      <c r="S39" s="26" t="s">
        <v>28</v>
      </c>
      <c r="T39" s="27">
        <v>0.0010184</v>
      </c>
      <c r="U39" s="27">
        <v>0.0010188</v>
      </c>
      <c r="V39" s="27">
        <v>0.0010184</v>
      </c>
      <c r="W39" s="27">
        <v>0.0010188</v>
      </c>
      <c r="X39" s="27">
        <v>0</v>
      </c>
      <c r="Y39" s="27">
        <v>0</v>
      </c>
      <c r="Z39" s="28">
        <v>7.094</v>
      </c>
      <c r="AA39" s="28">
        <v>6.86</v>
      </c>
      <c r="AB39" s="28">
        <v>6.863</v>
      </c>
      <c r="AC39" s="29">
        <v>0</v>
      </c>
      <c r="AD39" s="29"/>
    </row>
    <row r="40" spans="1:30" ht="15">
      <c r="A40" s="26">
        <v>10081</v>
      </c>
      <c r="B40" s="26" t="s">
        <v>29</v>
      </c>
      <c r="C40" s="37">
        <f t="shared" si="4"/>
        <v>6234.778</v>
      </c>
      <c r="D40" s="37">
        <f t="shared" si="4"/>
        <v>7893.455</v>
      </c>
      <c r="E40" s="37">
        <f t="shared" si="4"/>
        <v>7726.115</v>
      </c>
      <c r="F40" s="37">
        <f t="shared" si="4"/>
        <v>6381.442999999999</v>
      </c>
      <c r="G40" s="37">
        <f t="shared" si="4"/>
        <v>5530.936</v>
      </c>
      <c r="H40" s="37">
        <f t="shared" si="4"/>
        <v>6602.821</v>
      </c>
      <c r="I40" s="37">
        <f t="shared" si="4"/>
        <v>5126.212</v>
      </c>
      <c r="J40" s="37">
        <f t="shared" si="4"/>
        <v>7102.4039999999995</v>
      </c>
      <c r="K40" s="37">
        <f t="shared" si="4"/>
        <v>7589.067</v>
      </c>
      <c r="L40" s="37">
        <f t="shared" si="4"/>
        <v>7205.476</v>
      </c>
      <c r="M40" s="37">
        <f t="shared" si="4"/>
        <v>6963.536</v>
      </c>
      <c r="N40" s="37">
        <f t="shared" si="4"/>
        <v>6435.034</v>
      </c>
      <c r="O40" s="38">
        <f t="shared" si="5"/>
        <v>80791.27699999999</v>
      </c>
      <c r="R40" s="26">
        <v>10081</v>
      </c>
      <c r="S40" s="26" t="s">
        <v>29</v>
      </c>
      <c r="T40" s="27">
        <v>0.0013691</v>
      </c>
      <c r="U40" s="27">
        <v>0.0013693</v>
      </c>
      <c r="V40" s="27">
        <v>0.0013691</v>
      </c>
      <c r="W40" s="27">
        <v>0.0013693</v>
      </c>
      <c r="X40" s="27">
        <v>0</v>
      </c>
      <c r="Y40" s="27">
        <v>0</v>
      </c>
      <c r="Z40" s="28">
        <v>9.973</v>
      </c>
      <c r="AA40" s="28">
        <v>9.223</v>
      </c>
      <c r="AB40" s="28">
        <v>9.224</v>
      </c>
      <c r="AC40" s="29">
        <v>0</v>
      </c>
      <c r="AD40" s="29"/>
    </row>
    <row r="41" spans="1:30" ht="15">
      <c r="A41" s="26">
        <v>10082</v>
      </c>
      <c r="B41" s="26" t="s">
        <v>30</v>
      </c>
      <c r="C41" s="37">
        <f t="shared" si="4"/>
        <v>64.21000000000001</v>
      </c>
      <c r="D41" s="37">
        <f t="shared" si="4"/>
        <v>81.293</v>
      </c>
      <c r="E41" s="37">
        <f t="shared" si="4"/>
        <v>79.57</v>
      </c>
      <c r="F41" s="37">
        <f t="shared" si="4"/>
        <v>65.721</v>
      </c>
      <c r="G41" s="37">
        <f t="shared" si="4"/>
        <v>56.961</v>
      </c>
      <c r="H41" s="37">
        <f t="shared" si="4"/>
        <v>68.001</v>
      </c>
      <c r="I41" s="37">
        <f t="shared" si="4"/>
        <v>52.793000000000006</v>
      </c>
      <c r="J41" s="37">
        <f t="shared" si="4"/>
        <v>73.146</v>
      </c>
      <c r="K41" s="37">
        <f t="shared" si="4"/>
        <v>78.157</v>
      </c>
      <c r="L41" s="37">
        <f t="shared" si="4"/>
        <v>74.207</v>
      </c>
      <c r="M41" s="37">
        <f t="shared" si="4"/>
        <v>71.715</v>
      </c>
      <c r="N41" s="37">
        <f t="shared" si="4"/>
        <v>66.273</v>
      </c>
      <c r="O41" s="38">
        <f t="shared" si="5"/>
        <v>832.047</v>
      </c>
      <c r="R41" s="26">
        <v>10082</v>
      </c>
      <c r="S41" s="26" t="s">
        <v>30</v>
      </c>
      <c r="T41" s="27">
        <v>1.41E-05</v>
      </c>
      <c r="U41" s="27">
        <v>1.41E-05</v>
      </c>
      <c r="V41" s="27">
        <v>1.41E-05</v>
      </c>
      <c r="W41" s="27">
        <v>1.41E-05</v>
      </c>
      <c r="X41" s="27">
        <v>0</v>
      </c>
      <c r="Y41" s="27">
        <v>0</v>
      </c>
      <c r="Z41" s="28">
        <v>0.113</v>
      </c>
      <c r="AA41" s="28">
        <v>0.095</v>
      </c>
      <c r="AB41" s="28">
        <v>0.095</v>
      </c>
      <c r="AC41" s="29">
        <v>0</v>
      </c>
      <c r="AD41" s="29"/>
    </row>
    <row r="42" spans="1:30" ht="15">
      <c r="A42" s="26">
        <v>10083</v>
      </c>
      <c r="B42" s="26" t="s">
        <v>31</v>
      </c>
      <c r="C42" s="37">
        <f t="shared" si="4"/>
        <v>5393.213</v>
      </c>
      <c r="D42" s="37">
        <f t="shared" si="4"/>
        <v>6828.003000000001</v>
      </c>
      <c r="E42" s="37">
        <f t="shared" si="4"/>
        <v>6683.25</v>
      </c>
      <c r="F42" s="37">
        <f t="shared" si="4"/>
        <v>5520.081</v>
      </c>
      <c r="G42" s="37">
        <f t="shared" si="4"/>
        <v>4784.375</v>
      </c>
      <c r="H42" s="37">
        <f t="shared" si="4"/>
        <v>5711.5779999999995</v>
      </c>
      <c r="I42" s="37">
        <f t="shared" si="4"/>
        <v>4434.280000000001</v>
      </c>
      <c r="J42" s="37">
        <f t="shared" si="4"/>
        <v>6143.727</v>
      </c>
      <c r="K42" s="37">
        <f t="shared" si="4"/>
        <v>6564.700999999999</v>
      </c>
      <c r="L42" s="37">
        <f t="shared" si="4"/>
        <v>6232.8859999999995</v>
      </c>
      <c r="M42" s="37">
        <f t="shared" si="4"/>
        <v>6023.604</v>
      </c>
      <c r="N42" s="37">
        <f t="shared" si="4"/>
        <v>5566.438</v>
      </c>
      <c r="O42" s="38">
        <f t="shared" si="5"/>
        <v>69886.136</v>
      </c>
      <c r="R42" s="26">
        <v>10083</v>
      </c>
      <c r="S42" s="26" t="s">
        <v>31</v>
      </c>
      <c r="T42" s="27">
        <v>0.0011843</v>
      </c>
      <c r="U42" s="27">
        <v>0.0011843</v>
      </c>
      <c r="V42" s="27">
        <v>0.0011843</v>
      </c>
      <c r="W42" s="27">
        <v>0.0011843</v>
      </c>
      <c r="X42" s="27">
        <v>0</v>
      </c>
      <c r="Y42" s="27">
        <v>0</v>
      </c>
      <c r="Z42" s="28">
        <v>7.978</v>
      </c>
      <c r="AA42" s="28">
        <v>7.978</v>
      </c>
      <c r="AB42" s="28">
        <v>7.978</v>
      </c>
      <c r="AC42" s="29">
        <v>0</v>
      </c>
      <c r="AD42" s="29"/>
    </row>
    <row r="43" spans="1:30" ht="15">
      <c r="A43" s="26">
        <v>10086</v>
      </c>
      <c r="B43" s="26" t="s">
        <v>32</v>
      </c>
      <c r="C43" s="37">
        <f t="shared" si="4"/>
        <v>2543.822</v>
      </c>
      <c r="D43" s="37">
        <f t="shared" si="4"/>
        <v>3220.571</v>
      </c>
      <c r="E43" s="37">
        <f t="shared" si="4"/>
        <v>3152.295</v>
      </c>
      <c r="F43" s="37">
        <f t="shared" si="4"/>
        <v>2603.6620000000003</v>
      </c>
      <c r="G43" s="37">
        <f t="shared" si="4"/>
        <v>2256.651</v>
      </c>
      <c r="H43" s="37">
        <f t="shared" si="4"/>
        <v>2693.9849999999997</v>
      </c>
      <c r="I43" s="37">
        <f t="shared" si="4"/>
        <v>2091.5209999999997</v>
      </c>
      <c r="J43" s="37">
        <f t="shared" si="4"/>
        <v>2897.818</v>
      </c>
      <c r="K43" s="37">
        <f t="shared" si="4"/>
        <v>3096.379</v>
      </c>
      <c r="L43" s="37">
        <f t="shared" si="4"/>
        <v>2939.8720000000003</v>
      </c>
      <c r="M43" s="37">
        <f t="shared" si="4"/>
        <v>2841.16</v>
      </c>
      <c r="N43" s="37">
        <f t="shared" si="4"/>
        <v>2625.5280000000002</v>
      </c>
      <c r="O43" s="38">
        <f t="shared" si="5"/>
        <v>32963.264</v>
      </c>
      <c r="R43" s="26">
        <v>10086</v>
      </c>
      <c r="S43" s="26" t="s">
        <v>32</v>
      </c>
      <c r="T43" s="27">
        <v>0.0005586</v>
      </c>
      <c r="U43" s="27">
        <v>0.0005586</v>
      </c>
      <c r="V43" s="27">
        <v>0.0005586</v>
      </c>
      <c r="W43" s="27">
        <v>0.0005586</v>
      </c>
      <c r="X43" s="27">
        <v>0</v>
      </c>
      <c r="Y43" s="27">
        <v>0</v>
      </c>
      <c r="Z43" s="28">
        <v>3.763</v>
      </c>
      <c r="AA43" s="28">
        <v>3.763</v>
      </c>
      <c r="AB43" s="28">
        <v>3.763</v>
      </c>
      <c r="AC43" s="29">
        <v>0</v>
      </c>
      <c r="AD43" s="29"/>
    </row>
    <row r="44" spans="1:30" ht="15">
      <c r="A44" s="26">
        <v>10087</v>
      </c>
      <c r="B44" s="26" t="s">
        <v>33</v>
      </c>
      <c r="C44" s="37">
        <f t="shared" si="4"/>
        <v>29346.855000000003</v>
      </c>
      <c r="D44" s="37">
        <f t="shared" si="4"/>
        <v>37154.184</v>
      </c>
      <c r="E44" s="37">
        <f t="shared" si="4"/>
        <v>36366.523</v>
      </c>
      <c r="F44" s="37">
        <f t="shared" si="4"/>
        <v>30037.201</v>
      </c>
      <c r="G44" s="37">
        <f t="shared" si="4"/>
        <v>26033.900999999998</v>
      </c>
      <c r="H44" s="37">
        <f t="shared" si="4"/>
        <v>31079.220999999998</v>
      </c>
      <c r="I44" s="37">
        <f t="shared" si="4"/>
        <v>24128.877</v>
      </c>
      <c r="J44" s="37">
        <f t="shared" si="4"/>
        <v>33430.736999999994</v>
      </c>
      <c r="K44" s="37">
        <f t="shared" si="4"/>
        <v>35721.443</v>
      </c>
      <c r="L44" s="37">
        <f t="shared" si="4"/>
        <v>33915.892</v>
      </c>
      <c r="M44" s="37">
        <f t="shared" si="4"/>
        <v>32777.094</v>
      </c>
      <c r="N44" s="37">
        <f t="shared" si="4"/>
        <v>30289.451</v>
      </c>
      <c r="O44" s="38">
        <f t="shared" si="5"/>
        <v>380281.37899999996</v>
      </c>
      <c r="R44" s="26">
        <v>10087</v>
      </c>
      <c r="S44" s="26" t="s">
        <v>33</v>
      </c>
      <c r="T44" s="27">
        <v>0.0064443</v>
      </c>
      <c r="U44" s="27">
        <v>0.0083527</v>
      </c>
      <c r="V44" s="27">
        <v>0.0064443</v>
      </c>
      <c r="W44" s="27">
        <v>0.0083527</v>
      </c>
      <c r="X44" s="27">
        <v>0</v>
      </c>
      <c r="Y44" s="27">
        <v>0</v>
      </c>
      <c r="Z44" s="28">
        <v>81.539</v>
      </c>
      <c r="AA44" s="28">
        <v>43.411</v>
      </c>
      <c r="AB44" s="28">
        <v>56.267</v>
      </c>
      <c r="AC44" s="29">
        <v>0</v>
      </c>
      <c r="AD44" s="29"/>
    </row>
    <row r="45" spans="1:30" ht="15">
      <c r="A45" s="26">
        <v>10089</v>
      </c>
      <c r="B45" s="26" t="s">
        <v>34</v>
      </c>
      <c r="C45" s="37">
        <f t="shared" si="4"/>
        <v>66972.745</v>
      </c>
      <c r="D45" s="37">
        <f t="shared" si="4"/>
        <v>84789.925</v>
      </c>
      <c r="E45" s="37">
        <f t="shared" si="4"/>
        <v>82992.398</v>
      </c>
      <c r="F45" s="37">
        <f t="shared" si="4"/>
        <v>68548.191</v>
      </c>
      <c r="G45" s="37">
        <f t="shared" si="4"/>
        <v>59412.22</v>
      </c>
      <c r="H45" s="37">
        <f t="shared" si="4"/>
        <v>70926.192</v>
      </c>
      <c r="I45" s="37">
        <f t="shared" si="4"/>
        <v>55064.747</v>
      </c>
      <c r="J45" s="37">
        <f t="shared" si="4"/>
        <v>76292.611</v>
      </c>
      <c r="K45" s="37">
        <f t="shared" si="4"/>
        <v>81520.25200000001</v>
      </c>
      <c r="L45" s="37">
        <f t="shared" si="4"/>
        <v>77399.788</v>
      </c>
      <c r="M45" s="37">
        <f t="shared" si="4"/>
        <v>74800.924</v>
      </c>
      <c r="N45" s="37">
        <f t="shared" si="4"/>
        <v>69123.851</v>
      </c>
      <c r="O45" s="38">
        <f t="shared" si="5"/>
        <v>867843.8439999999</v>
      </c>
      <c r="R45" s="26">
        <v>10089</v>
      </c>
      <c r="S45" s="26" t="s">
        <v>34</v>
      </c>
      <c r="T45" s="27">
        <v>0.0147066</v>
      </c>
      <c r="U45" s="27">
        <v>0.0147066</v>
      </c>
      <c r="V45" s="27">
        <v>0.0147066</v>
      </c>
      <c r="W45" s="27">
        <v>0.0147066</v>
      </c>
      <c r="X45" s="27">
        <v>0</v>
      </c>
      <c r="Y45" s="27">
        <v>0</v>
      </c>
      <c r="Z45" s="28">
        <v>99.069</v>
      </c>
      <c r="AA45" s="28">
        <v>99.069</v>
      </c>
      <c r="AB45" s="28">
        <v>99.069</v>
      </c>
      <c r="AC45" s="29">
        <v>0</v>
      </c>
      <c r="AD45" s="29"/>
    </row>
    <row r="46" spans="1:30" ht="15">
      <c r="A46" s="26">
        <v>10091</v>
      </c>
      <c r="B46" s="26" t="s">
        <v>35</v>
      </c>
      <c r="C46" s="37">
        <f aca="true" t="shared" si="6" ref="C46:N67">ROUND(C$3*$V46,3)+ROUND(C$4*$V46,3)</f>
        <v>6076.3009999999995</v>
      </c>
      <c r="D46" s="37">
        <f t="shared" si="6"/>
        <v>7692.818</v>
      </c>
      <c r="E46" s="37">
        <f t="shared" si="6"/>
        <v>7529.732</v>
      </c>
      <c r="F46" s="37">
        <f t="shared" si="6"/>
        <v>6219.239</v>
      </c>
      <c r="G46" s="37">
        <f t="shared" si="6"/>
        <v>5390.351</v>
      </c>
      <c r="H46" s="37">
        <f t="shared" si="6"/>
        <v>6434.99</v>
      </c>
      <c r="I46" s="37">
        <f t="shared" si="6"/>
        <v>4995.913</v>
      </c>
      <c r="J46" s="37">
        <f t="shared" si="6"/>
        <v>6921.874</v>
      </c>
      <c r="K46" s="37">
        <f t="shared" si="6"/>
        <v>7396.1669999999995</v>
      </c>
      <c r="L46" s="37">
        <f t="shared" si="6"/>
        <v>7022.326</v>
      </c>
      <c r="M46" s="37">
        <f t="shared" si="6"/>
        <v>6786.536</v>
      </c>
      <c r="N46" s="37">
        <f t="shared" si="6"/>
        <v>6271.467000000001</v>
      </c>
      <c r="O46" s="38">
        <f t="shared" si="5"/>
        <v>78737.714</v>
      </c>
      <c r="R46" s="26">
        <v>10091</v>
      </c>
      <c r="S46" s="26" t="s">
        <v>35</v>
      </c>
      <c r="T46" s="27">
        <v>0.0013343</v>
      </c>
      <c r="U46" s="27">
        <v>0.0013343</v>
      </c>
      <c r="V46" s="27">
        <v>0.0013343</v>
      </c>
      <c r="W46" s="27">
        <v>0.0013343</v>
      </c>
      <c r="X46" s="27">
        <v>0</v>
      </c>
      <c r="Y46" s="27">
        <v>0</v>
      </c>
      <c r="Z46" s="28">
        <v>8.988</v>
      </c>
      <c r="AA46" s="28">
        <v>8.988</v>
      </c>
      <c r="AB46" s="28">
        <v>8.988</v>
      </c>
      <c r="AC46" s="29">
        <v>0</v>
      </c>
      <c r="AD46" s="29"/>
    </row>
    <row r="47" spans="1:30" ht="15">
      <c r="A47" s="26">
        <v>10094</v>
      </c>
      <c r="B47" s="26" t="s">
        <v>36</v>
      </c>
      <c r="C47" s="37">
        <f t="shared" si="6"/>
        <v>1958.643</v>
      </c>
      <c r="D47" s="37">
        <f t="shared" si="6"/>
        <v>2479.713</v>
      </c>
      <c r="E47" s="37">
        <f t="shared" si="6"/>
        <v>2427.1440000000002</v>
      </c>
      <c r="F47" s="37">
        <f t="shared" si="6"/>
        <v>2004.717</v>
      </c>
      <c r="G47" s="37">
        <f t="shared" si="6"/>
        <v>1737.5320000000002</v>
      </c>
      <c r="H47" s="37">
        <f t="shared" si="6"/>
        <v>2074.263</v>
      </c>
      <c r="I47" s="37">
        <f t="shared" si="6"/>
        <v>1610.3890000000001</v>
      </c>
      <c r="J47" s="37">
        <f t="shared" si="6"/>
        <v>2231.206</v>
      </c>
      <c r="K47" s="37">
        <f t="shared" si="6"/>
        <v>2384.09</v>
      </c>
      <c r="L47" s="37">
        <f t="shared" si="6"/>
        <v>2263.585</v>
      </c>
      <c r="M47" s="37">
        <f t="shared" si="6"/>
        <v>2187.581</v>
      </c>
      <c r="N47" s="37">
        <f t="shared" si="6"/>
        <v>2021.5529999999999</v>
      </c>
      <c r="O47" s="38">
        <f t="shared" si="5"/>
        <v>25380.415999999997</v>
      </c>
      <c r="R47" s="26">
        <v>10094</v>
      </c>
      <c r="S47" s="26" t="s">
        <v>36</v>
      </c>
      <c r="T47" s="27">
        <v>0.0004301</v>
      </c>
      <c r="U47" s="27">
        <v>0.0004301</v>
      </c>
      <c r="V47" s="27">
        <v>0.0004301</v>
      </c>
      <c r="W47" s="27">
        <v>0.0004301</v>
      </c>
      <c r="X47" s="27">
        <v>0</v>
      </c>
      <c r="Y47" s="27">
        <v>0</v>
      </c>
      <c r="Z47" s="28">
        <v>2.897</v>
      </c>
      <c r="AA47" s="28">
        <v>2.897</v>
      </c>
      <c r="AB47" s="28">
        <v>2.897</v>
      </c>
      <c r="AC47" s="29">
        <v>0</v>
      </c>
      <c r="AD47" s="29"/>
    </row>
    <row r="48" spans="1:30" ht="15">
      <c r="A48" s="26">
        <v>10095</v>
      </c>
      <c r="B48" s="26" t="s">
        <v>37</v>
      </c>
      <c r="C48" s="37">
        <f t="shared" si="6"/>
        <v>2349.37</v>
      </c>
      <c r="D48" s="37">
        <f t="shared" si="6"/>
        <v>2974.387</v>
      </c>
      <c r="E48" s="37">
        <f t="shared" si="6"/>
        <v>2911.331</v>
      </c>
      <c r="F48" s="37">
        <f t="shared" si="6"/>
        <v>2404.635</v>
      </c>
      <c r="G48" s="37">
        <f t="shared" si="6"/>
        <v>2084.15</v>
      </c>
      <c r="H48" s="37">
        <f t="shared" si="6"/>
        <v>2488.055</v>
      </c>
      <c r="I48" s="37">
        <f t="shared" si="6"/>
        <v>1931.643</v>
      </c>
      <c r="J48" s="37">
        <f t="shared" si="6"/>
        <v>2676.306</v>
      </c>
      <c r="K48" s="37">
        <f t="shared" si="6"/>
        <v>2859.689</v>
      </c>
      <c r="L48" s="37">
        <f t="shared" si="6"/>
        <v>2715.145</v>
      </c>
      <c r="M48" s="37">
        <f t="shared" si="6"/>
        <v>2623.978</v>
      </c>
      <c r="N48" s="37">
        <f t="shared" si="6"/>
        <v>2424.829</v>
      </c>
      <c r="O48" s="38">
        <f t="shared" si="5"/>
        <v>30443.518</v>
      </c>
      <c r="R48" s="26">
        <v>10095</v>
      </c>
      <c r="S48" s="26" t="s">
        <v>37</v>
      </c>
      <c r="T48" s="27">
        <v>0.0005159</v>
      </c>
      <c r="U48" s="27">
        <v>0.0005159</v>
      </c>
      <c r="V48" s="27">
        <v>0.0005159</v>
      </c>
      <c r="W48" s="27">
        <v>0.0005159</v>
      </c>
      <c r="X48" s="27">
        <v>0</v>
      </c>
      <c r="Y48" s="27">
        <v>0</v>
      </c>
      <c r="Z48" s="28">
        <v>3.475</v>
      </c>
      <c r="AA48" s="28">
        <v>3.475</v>
      </c>
      <c r="AB48" s="28">
        <v>3.475</v>
      </c>
      <c r="AC48" s="29">
        <v>0</v>
      </c>
      <c r="AD48" s="29"/>
    </row>
    <row r="49" spans="1:30" ht="15">
      <c r="A49" s="26">
        <v>10097</v>
      </c>
      <c r="B49" s="26" t="s">
        <v>38</v>
      </c>
      <c r="C49" s="37">
        <f t="shared" si="6"/>
        <v>1314.263</v>
      </c>
      <c r="D49" s="37">
        <f t="shared" si="6"/>
        <v>1663.904</v>
      </c>
      <c r="E49" s="37">
        <f t="shared" si="6"/>
        <v>1628.63</v>
      </c>
      <c r="F49" s="37">
        <f t="shared" si="6"/>
        <v>1345.179</v>
      </c>
      <c r="G49" s="37">
        <f t="shared" si="6"/>
        <v>1165.896</v>
      </c>
      <c r="H49" s="37">
        <f t="shared" si="6"/>
        <v>1391.845</v>
      </c>
      <c r="I49" s="37">
        <f t="shared" si="6"/>
        <v>1080.5819999999999</v>
      </c>
      <c r="J49" s="37">
        <f t="shared" si="6"/>
        <v>1497.154</v>
      </c>
      <c r="K49" s="37">
        <f t="shared" si="6"/>
        <v>1599.74</v>
      </c>
      <c r="L49" s="37">
        <f t="shared" si="6"/>
        <v>1518.8809999999999</v>
      </c>
      <c r="M49" s="37">
        <f t="shared" si="6"/>
        <v>1467.882</v>
      </c>
      <c r="N49" s="37">
        <f t="shared" si="6"/>
        <v>1356.475</v>
      </c>
      <c r="O49" s="38">
        <f t="shared" si="5"/>
        <v>17030.431</v>
      </c>
      <c r="R49" s="26">
        <v>10097</v>
      </c>
      <c r="S49" s="26" t="s">
        <v>38</v>
      </c>
      <c r="T49" s="27">
        <v>0.0002886</v>
      </c>
      <c r="U49" s="27">
        <v>0.0002886</v>
      </c>
      <c r="V49" s="27">
        <v>0.0002886</v>
      </c>
      <c r="W49" s="27">
        <v>0.0002886</v>
      </c>
      <c r="X49" s="27">
        <v>0</v>
      </c>
      <c r="Y49" s="27">
        <v>0</v>
      </c>
      <c r="Z49" s="28">
        <v>1.944</v>
      </c>
      <c r="AA49" s="28">
        <v>1.944</v>
      </c>
      <c r="AB49" s="28">
        <v>1.944</v>
      </c>
      <c r="AC49" s="29">
        <v>0</v>
      </c>
      <c r="AD49" s="29"/>
    </row>
    <row r="50" spans="1:30" ht="15">
      <c r="A50" s="26">
        <v>10101</v>
      </c>
      <c r="B50" s="26" t="s">
        <v>39</v>
      </c>
      <c r="C50" s="37">
        <f t="shared" si="6"/>
        <v>49027.095</v>
      </c>
      <c r="D50" s="37">
        <f t="shared" si="6"/>
        <v>62070.081999999995</v>
      </c>
      <c r="E50" s="37">
        <f t="shared" si="6"/>
        <v>60754.209</v>
      </c>
      <c r="F50" s="37">
        <f t="shared" si="6"/>
        <v>50180.393</v>
      </c>
      <c r="G50" s="37">
        <f t="shared" si="6"/>
        <v>43492.445999999996</v>
      </c>
      <c r="H50" s="37">
        <f t="shared" si="6"/>
        <v>51921.198000000004</v>
      </c>
      <c r="I50" s="37">
        <f t="shared" si="6"/>
        <v>40309.899000000005</v>
      </c>
      <c r="J50" s="37">
        <f t="shared" si="6"/>
        <v>55849.66100000001</v>
      </c>
      <c r="K50" s="37">
        <f t="shared" si="6"/>
        <v>59676.53199999999</v>
      </c>
      <c r="L50" s="37">
        <f t="shared" si="6"/>
        <v>56660.164</v>
      </c>
      <c r="M50" s="37">
        <f t="shared" si="6"/>
        <v>54757.679000000004</v>
      </c>
      <c r="N50" s="37">
        <f t="shared" si="6"/>
        <v>50601.803</v>
      </c>
      <c r="O50" s="38">
        <f t="shared" si="5"/>
        <v>635301.161</v>
      </c>
      <c r="R50" s="26">
        <v>10101</v>
      </c>
      <c r="S50" s="26" t="s">
        <v>39</v>
      </c>
      <c r="T50" s="27">
        <v>0.0107659</v>
      </c>
      <c r="U50" s="27">
        <v>0.0107659</v>
      </c>
      <c r="V50" s="27">
        <v>0.0107659</v>
      </c>
      <c r="W50" s="27">
        <v>0.0107659</v>
      </c>
      <c r="X50" s="27">
        <v>0</v>
      </c>
      <c r="Y50" s="27">
        <v>0</v>
      </c>
      <c r="Z50" s="28">
        <v>72.523</v>
      </c>
      <c r="AA50" s="28">
        <v>72.523</v>
      </c>
      <c r="AB50" s="28">
        <v>72.523</v>
      </c>
      <c r="AC50" s="29">
        <v>0.05293</v>
      </c>
      <c r="AD50" s="29"/>
    </row>
    <row r="51" spans="1:30" ht="15">
      <c r="A51" s="26">
        <v>10103</v>
      </c>
      <c r="B51" s="26" t="s">
        <v>40</v>
      </c>
      <c r="C51" s="37">
        <f t="shared" si="6"/>
        <v>106009.89499999999</v>
      </c>
      <c r="D51" s="37">
        <f t="shared" si="6"/>
        <v>134212.375</v>
      </c>
      <c r="E51" s="37">
        <f t="shared" si="6"/>
        <v>131367.103</v>
      </c>
      <c r="F51" s="37">
        <f t="shared" si="6"/>
        <v>108503.64</v>
      </c>
      <c r="G51" s="37">
        <f t="shared" si="6"/>
        <v>94042.48300000001</v>
      </c>
      <c r="H51" s="37">
        <f t="shared" si="6"/>
        <v>112267.734</v>
      </c>
      <c r="I51" s="37">
        <f t="shared" si="6"/>
        <v>87160.95000000001</v>
      </c>
      <c r="J51" s="37">
        <f t="shared" si="6"/>
        <v>120762.136</v>
      </c>
      <c r="K51" s="37">
        <f t="shared" si="6"/>
        <v>129036.872</v>
      </c>
      <c r="L51" s="37">
        <f t="shared" si="6"/>
        <v>122514.66699999999</v>
      </c>
      <c r="M51" s="37">
        <f t="shared" si="6"/>
        <v>118400.97399999999</v>
      </c>
      <c r="N51" s="37">
        <f t="shared" si="6"/>
        <v>109414.842</v>
      </c>
      <c r="O51" s="38">
        <f t="shared" si="5"/>
        <v>1373693.6709999996</v>
      </c>
      <c r="R51" s="26">
        <v>10103</v>
      </c>
      <c r="S51" s="26" t="s">
        <v>40</v>
      </c>
      <c r="T51" s="27">
        <v>0.0451003</v>
      </c>
      <c r="U51" s="27">
        <v>0.0451003</v>
      </c>
      <c r="V51" s="27">
        <v>0.023278800000000002</v>
      </c>
      <c r="W51" s="27">
        <v>0.023278800000000002</v>
      </c>
      <c r="X51" s="27">
        <v>0.0218215</v>
      </c>
      <c r="Y51" s="27">
        <v>0.0218215</v>
      </c>
      <c r="Z51" s="28">
        <v>303.812</v>
      </c>
      <c r="AA51" s="28">
        <v>303.812</v>
      </c>
      <c r="AB51" s="28">
        <v>303.812</v>
      </c>
      <c r="AC51" s="29">
        <v>0</v>
      </c>
      <c r="AD51" s="29"/>
    </row>
    <row r="52" spans="1:30" ht="15">
      <c r="A52" s="26">
        <v>10105</v>
      </c>
      <c r="B52" s="26" t="s">
        <v>41</v>
      </c>
      <c r="C52" s="37">
        <f t="shared" si="6"/>
        <v>23519.198</v>
      </c>
      <c r="D52" s="37">
        <f t="shared" si="6"/>
        <v>29776.159</v>
      </c>
      <c r="E52" s="37">
        <f t="shared" si="6"/>
        <v>29144.91</v>
      </c>
      <c r="F52" s="37">
        <f t="shared" si="6"/>
        <v>24072.457000000002</v>
      </c>
      <c r="G52" s="37">
        <f t="shared" si="6"/>
        <v>20864.126</v>
      </c>
      <c r="H52" s="37">
        <f t="shared" si="6"/>
        <v>24907.553</v>
      </c>
      <c r="I52" s="37">
        <f t="shared" si="6"/>
        <v>19337.399</v>
      </c>
      <c r="J52" s="37">
        <f t="shared" si="6"/>
        <v>26792.108</v>
      </c>
      <c r="K52" s="37">
        <f t="shared" si="6"/>
        <v>28627.928</v>
      </c>
      <c r="L52" s="37">
        <f t="shared" si="6"/>
        <v>27180.922</v>
      </c>
      <c r="M52" s="37">
        <f t="shared" si="6"/>
        <v>26268.264000000003</v>
      </c>
      <c r="N52" s="37">
        <f t="shared" si="6"/>
        <v>24274.614</v>
      </c>
      <c r="O52" s="38">
        <f t="shared" si="5"/>
        <v>304765.63800000004</v>
      </c>
      <c r="R52" s="26">
        <v>10105</v>
      </c>
      <c r="S52" s="26" t="s">
        <v>41</v>
      </c>
      <c r="T52" s="27">
        <v>0.012418</v>
      </c>
      <c r="U52" s="27">
        <v>0.0123565</v>
      </c>
      <c r="V52" s="27">
        <v>0.0051646</v>
      </c>
      <c r="W52" s="27">
        <v>0.005103099999999999</v>
      </c>
      <c r="X52" s="27">
        <v>0.0072534</v>
      </c>
      <c r="Y52" s="27">
        <v>0.0072534</v>
      </c>
      <c r="Z52" s="28">
        <v>88.558</v>
      </c>
      <c r="AA52" s="28">
        <v>83.652</v>
      </c>
      <c r="AB52" s="28">
        <v>83.238</v>
      </c>
      <c r="AC52" s="29">
        <v>0</v>
      </c>
      <c r="AD52" s="29"/>
    </row>
    <row r="53" spans="1:30" ht="15">
      <c r="A53" s="26">
        <v>10106</v>
      </c>
      <c r="B53" s="26" t="s">
        <v>42</v>
      </c>
      <c r="C53" s="37">
        <f t="shared" si="6"/>
        <v>15398.64</v>
      </c>
      <c r="D53" s="37">
        <f t="shared" si="6"/>
        <v>19495.237</v>
      </c>
      <c r="E53" s="37">
        <f t="shared" si="6"/>
        <v>19081.942</v>
      </c>
      <c r="F53" s="37">
        <f t="shared" si="6"/>
        <v>15760.873</v>
      </c>
      <c r="G53" s="37">
        <f t="shared" si="6"/>
        <v>13660.294</v>
      </c>
      <c r="H53" s="37">
        <f t="shared" si="6"/>
        <v>16307.632000000001</v>
      </c>
      <c r="I53" s="37">
        <f t="shared" si="6"/>
        <v>12660.705</v>
      </c>
      <c r="J53" s="37">
        <f t="shared" si="6"/>
        <v>17541.501</v>
      </c>
      <c r="K53" s="37">
        <f t="shared" si="6"/>
        <v>18743.461</v>
      </c>
      <c r="L53" s="37">
        <f t="shared" si="6"/>
        <v>17796.067</v>
      </c>
      <c r="M53" s="37">
        <f t="shared" si="6"/>
        <v>17198.525999999998</v>
      </c>
      <c r="N53" s="37">
        <f t="shared" si="6"/>
        <v>15893.231</v>
      </c>
      <c r="O53" s="38">
        <f t="shared" si="5"/>
        <v>199538.10900000003</v>
      </c>
      <c r="R53" s="26">
        <v>10106</v>
      </c>
      <c r="S53" s="26" t="s">
        <v>42</v>
      </c>
      <c r="T53" s="27">
        <v>0.0033814</v>
      </c>
      <c r="U53" s="27">
        <v>0.0033814</v>
      </c>
      <c r="V53" s="27">
        <v>0.0033814</v>
      </c>
      <c r="W53" s="27">
        <v>0.0033814</v>
      </c>
      <c r="X53" s="27">
        <v>0</v>
      </c>
      <c r="Y53" s="27">
        <v>0</v>
      </c>
      <c r="Z53" s="28">
        <v>22.778</v>
      </c>
      <c r="AA53" s="28">
        <v>22.778</v>
      </c>
      <c r="AB53" s="28">
        <v>22.778</v>
      </c>
      <c r="AC53" s="29">
        <v>0.07279</v>
      </c>
      <c r="AD53" s="29"/>
    </row>
    <row r="54" spans="1:30" ht="15">
      <c r="A54" s="26">
        <v>10109</v>
      </c>
      <c r="B54" s="26" t="s">
        <v>43</v>
      </c>
      <c r="C54" s="37">
        <f t="shared" si="6"/>
        <v>7814.99</v>
      </c>
      <c r="D54" s="37">
        <f t="shared" si="6"/>
        <v>9894.061</v>
      </c>
      <c r="E54" s="37">
        <f t="shared" si="6"/>
        <v>9684.309000000001</v>
      </c>
      <c r="F54" s="37">
        <f t="shared" si="6"/>
        <v>7998.827</v>
      </c>
      <c r="G54" s="37">
        <f t="shared" si="6"/>
        <v>6932.759</v>
      </c>
      <c r="H54" s="37">
        <f t="shared" si="6"/>
        <v>8276.314</v>
      </c>
      <c r="I54" s="37">
        <f t="shared" si="6"/>
        <v>6425.456</v>
      </c>
      <c r="J54" s="37">
        <f t="shared" si="6"/>
        <v>8902.516</v>
      </c>
      <c r="K54" s="37">
        <f t="shared" si="6"/>
        <v>9512.525</v>
      </c>
      <c r="L54" s="37">
        <f t="shared" si="6"/>
        <v>9031.712</v>
      </c>
      <c r="M54" s="37">
        <f t="shared" si="6"/>
        <v>8728.453000000001</v>
      </c>
      <c r="N54" s="37">
        <f t="shared" si="6"/>
        <v>8066</v>
      </c>
      <c r="O54" s="38">
        <f t="shared" si="5"/>
        <v>101267.92199999999</v>
      </c>
      <c r="R54" s="26">
        <v>10109</v>
      </c>
      <c r="S54" s="26" t="s">
        <v>43</v>
      </c>
      <c r="T54" s="27">
        <v>0.0017161</v>
      </c>
      <c r="U54" s="27">
        <v>0.0017161</v>
      </c>
      <c r="V54" s="27">
        <v>0.0017161</v>
      </c>
      <c r="W54" s="27">
        <v>0.0017161</v>
      </c>
      <c r="X54" s="27">
        <v>0</v>
      </c>
      <c r="Y54" s="27">
        <v>0</v>
      </c>
      <c r="Z54" s="28">
        <v>11.56</v>
      </c>
      <c r="AA54" s="28">
        <v>11.56</v>
      </c>
      <c r="AB54" s="28">
        <v>11.56</v>
      </c>
      <c r="AC54" s="29">
        <v>0.08252</v>
      </c>
      <c r="AD54" s="29"/>
    </row>
    <row r="55" spans="1:30" ht="15">
      <c r="A55" s="26">
        <v>10111</v>
      </c>
      <c r="B55" s="26" t="s">
        <v>44</v>
      </c>
      <c r="C55" s="37">
        <f t="shared" si="6"/>
        <v>2062.017</v>
      </c>
      <c r="D55" s="37">
        <f t="shared" si="6"/>
        <v>2610.589</v>
      </c>
      <c r="E55" s="37">
        <f t="shared" si="6"/>
        <v>2555.245</v>
      </c>
      <c r="F55" s="37">
        <f t="shared" si="6"/>
        <v>2110.523</v>
      </c>
      <c r="G55" s="37">
        <f t="shared" si="6"/>
        <v>1829.2359999999999</v>
      </c>
      <c r="H55" s="37">
        <f t="shared" si="6"/>
        <v>2183.739</v>
      </c>
      <c r="I55" s="37">
        <f t="shared" si="6"/>
        <v>1695.3829999999998</v>
      </c>
      <c r="J55" s="37">
        <f t="shared" si="6"/>
        <v>2348.965</v>
      </c>
      <c r="K55" s="37">
        <f t="shared" si="6"/>
        <v>2509.919</v>
      </c>
      <c r="L55" s="37">
        <f t="shared" si="6"/>
        <v>2383.0550000000003</v>
      </c>
      <c r="M55" s="37">
        <f t="shared" si="6"/>
        <v>2303.038</v>
      </c>
      <c r="N55" s="37">
        <f t="shared" si="6"/>
        <v>2128.2470000000003</v>
      </c>
      <c r="O55" s="38">
        <f t="shared" si="5"/>
        <v>26719.956000000002</v>
      </c>
      <c r="R55" s="26">
        <v>10111</v>
      </c>
      <c r="S55" s="26" t="s">
        <v>44</v>
      </c>
      <c r="T55" s="27">
        <v>0.0004528</v>
      </c>
      <c r="U55" s="27">
        <v>0.0004525</v>
      </c>
      <c r="V55" s="27">
        <v>0.0004528</v>
      </c>
      <c r="W55" s="27">
        <v>0.0004525</v>
      </c>
      <c r="X55" s="27">
        <v>0</v>
      </c>
      <c r="Y55" s="27">
        <v>0</v>
      </c>
      <c r="Z55" s="28">
        <v>3.086</v>
      </c>
      <c r="AA55" s="28">
        <v>3.05</v>
      </c>
      <c r="AB55" s="28">
        <v>3.048</v>
      </c>
      <c r="AC55" s="29">
        <v>0.07</v>
      </c>
      <c r="AD55" s="29"/>
    </row>
    <row r="56" spans="1:30" ht="15">
      <c r="A56" s="26">
        <v>10112</v>
      </c>
      <c r="B56" s="26" t="s">
        <v>45</v>
      </c>
      <c r="C56" s="37">
        <f t="shared" si="6"/>
        <v>37233.341</v>
      </c>
      <c r="D56" s="37">
        <f t="shared" si="6"/>
        <v>47138.762</v>
      </c>
      <c r="E56" s="37">
        <f t="shared" si="6"/>
        <v>46139.42999999999</v>
      </c>
      <c r="F56" s="37">
        <f t="shared" si="6"/>
        <v>38109.206999999995</v>
      </c>
      <c r="G56" s="37">
        <f t="shared" si="6"/>
        <v>33030.085</v>
      </c>
      <c r="H56" s="37">
        <f t="shared" si="6"/>
        <v>39431.252</v>
      </c>
      <c r="I56" s="37">
        <f t="shared" si="6"/>
        <v>30613.117000000002</v>
      </c>
      <c r="J56" s="37">
        <f t="shared" si="6"/>
        <v>42414.7</v>
      </c>
      <c r="K56" s="37">
        <f t="shared" si="6"/>
        <v>45320.995</v>
      </c>
      <c r="L56" s="37">
        <f t="shared" si="6"/>
        <v>43030.232</v>
      </c>
      <c r="M56" s="37">
        <f t="shared" si="6"/>
        <v>41585.399</v>
      </c>
      <c r="N56" s="37">
        <f t="shared" si="6"/>
        <v>38429.244</v>
      </c>
      <c r="O56" s="38">
        <f t="shared" si="5"/>
        <v>482475.764</v>
      </c>
      <c r="R56" s="26">
        <v>10112</v>
      </c>
      <c r="S56" s="26" t="s">
        <v>45</v>
      </c>
      <c r="T56" s="27">
        <v>0.0081761</v>
      </c>
      <c r="U56" s="27">
        <v>0.008192</v>
      </c>
      <c r="V56" s="27">
        <v>0.0081761</v>
      </c>
      <c r="W56" s="27">
        <v>0.008192</v>
      </c>
      <c r="X56" s="27">
        <v>0</v>
      </c>
      <c r="Y56" s="27">
        <v>0</v>
      </c>
      <c r="Z56" s="28">
        <v>55.565</v>
      </c>
      <c r="AA56" s="28">
        <v>55.077</v>
      </c>
      <c r="AB56" s="28">
        <v>55.184</v>
      </c>
      <c r="AC56" s="29">
        <v>0</v>
      </c>
      <c r="AD56" s="29"/>
    </row>
    <row r="57" spans="1:30" ht="15">
      <c r="A57" s="26">
        <v>10113</v>
      </c>
      <c r="B57" s="26" t="s">
        <v>46</v>
      </c>
      <c r="C57" s="37">
        <f t="shared" si="6"/>
        <v>24306.572</v>
      </c>
      <c r="D57" s="37">
        <f t="shared" si="6"/>
        <v>30773.000999999997</v>
      </c>
      <c r="E57" s="37">
        <f t="shared" si="6"/>
        <v>30120.621</v>
      </c>
      <c r="F57" s="37">
        <f t="shared" si="6"/>
        <v>24878.352</v>
      </c>
      <c r="G57" s="37">
        <f t="shared" si="6"/>
        <v>21562.613</v>
      </c>
      <c r="H57" s="37">
        <f t="shared" si="6"/>
        <v>25741.405</v>
      </c>
      <c r="I57" s="37">
        <f t="shared" si="6"/>
        <v>19984.775</v>
      </c>
      <c r="J57" s="37">
        <f t="shared" si="6"/>
        <v>27689.051999999996</v>
      </c>
      <c r="K57" s="37">
        <f t="shared" si="6"/>
        <v>29586.331</v>
      </c>
      <c r="L57" s="37">
        <f t="shared" si="6"/>
        <v>28090.883</v>
      </c>
      <c r="M57" s="37">
        <f t="shared" si="6"/>
        <v>27147.671000000002</v>
      </c>
      <c r="N57" s="37">
        <f t="shared" si="6"/>
        <v>25087.278</v>
      </c>
      <c r="O57" s="38">
        <f t="shared" si="5"/>
        <v>314968.55399999995</v>
      </c>
      <c r="R57" s="26">
        <v>10113</v>
      </c>
      <c r="S57" s="26" t="s">
        <v>46</v>
      </c>
      <c r="T57" s="27">
        <v>0.0053375</v>
      </c>
      <c r="U57" s="27">
        <v>0.0053375</v>
      </c>
      <c r="V57" s="27">
        <v>0.0053375</v>
      </c>
      <c r="W57" s="27">
        <v>0.0053375</v>
      </c>
      <c r="X57" s="27">
        <v>0</v>
      </c>
      <c r="Y57" s="27">
        <v>0</v>
      </c>
      <c r="Z57" s="28">
        <v>35.955</v>
      </c>
      <c r="AA57" s="28">
        <v>35.955</v>
      </c>
      <c r="AB57" s="28">
        <v>35.955</v>
      </c>
      <c r="AC57" s="29">
        <v>0.08268</v>
      </c>
      <c r="AD57" s="29"/>
    </row>
    <row r="58" spans="1:30" ht="15">
      <c r="A58" s="26">
        <v>10116</v>
      </c>
      <c r="B58" s="26" t="s">
        <v>47</v>
      </c>
      <c r="C58" s="37">
        <f t="shared" si="6"/>
        <v>146.63600000000002</v>
      </c>
      <c r="D58" s="37">
        <f t="shared" si="6"/>
        <v>185.647</v>
      </c>
      <c r="E58" s="37">
        <f t="shared" si="6"/>
        <v>181.712</v>
      </c>
      <c r="F58" s="37">
        <f t="shared" si="6"/>
        <v>150.086</v>
      </c>
      <c r="G58" s="37">
        <f t="shared" si="6"/>
        <v>130.082</v>
      </c>
      <c r="H58" s="37">
        <f t="shared" si="6"/>
        <v>155.292</v>
      </c>
      <c r="I58" s="37">
        <f t="shared" si="6"/>
        <v>120.563</v>
      </c>
      <c r="J58" s="37">
        <f t="shared" si="6"/>
        <v>167.042</v>
      </c>
      <c r="K58" s="37">
        <f t="shared" si="6"/>
        <v>178.488</v>
      </c>
      <c r="L58" s="37">
        <f t="shared" si="6"/>
        <v>169.466</v>
      </c>
      <c r="M58" s="37">
        <f t="shared" si="6"/>
        <v>163.776</v>
      </c>
      <c r="N58" s="37">
        <f t="shared" si="6"/>
        <v>151.346</v>
      </c>
      <c r="O58" s="38">
        <f t="shared" si="5"/>
        <v>1900.1360000000002</v>
      </c>
      <c r="R58" s="26">
        <v>10116</v>
      </c>
      <c r="S58" s="26" t="s">
        <v>47</v>
      </c>
      <c r="T58" s="27">
        <v>3.22E-05</v>
      </c>
      <c r="U58" s="27">
        <v>3.22E-05</v>
      </c>
      <c r="V58" s="27">
        <v>3.22E-05</v>
      </c>
      <c r="W58" s="27">
        <v>3.22E-05</v>
      </c>
      <c r="X58" s="27">
        <v>0</v>
      </c>
      <c r="Y58" s="27">
        <v>0</v>
      </c>
      <c r="Z58" s="28">
        <v>0.217</v>
      </c>
      <c r="AA58" s="28">
        <v>0.217</v>
      </c>
      <c r="AB58" s="28">
        <v>0.217</v>
      </c>
      <c r="AC58" s="29">
        <v>0</v>
      </c>
      <c r="AD58" s="29"/>
    </row>
    <row r="59" spans="1:30" ht="15">
      <c r="A59" s="26">
        <v>10118</v>
      </c>
      <c r="B59" s="26" t="s">
        <v>48</v>
      </c>
      <c r="C59" s="37">
        <f t="shared" si="6"/>
        <v>29452.961000000003</v>
      </c>
      <c r="D59" s="37">
        <f t="shared" si="6"/>
        <v>37288.518</v>
      </c>
      <c r="E59" s="37">
        <f t="shared" si="6"/>
        <v>36498.009000000005</v>
      </c>
      <c r="F59" s="37">
        <f t="shared" si="6"/>
        <v>30145.804</v>
      </c>
      <c r="G59" s="37">
        <f t="shared" si="6"/>
        <v>26128.029</v>
      </c>
      <c r="H59" s="37">
        <f t="shared" si="6"/>
        <v>31191.591</v>
      </c>
      <c r="I59" s="37">
        <f t="shared" si="6"/>
        <v>24216.118</v>
      </c>
      <c r="J59" s="37">
        <f t="shared" si="6"/>
        <v>33551.609</v>
      </c>
      <c r="K59" s="37">
        <f t="shared" si="6"/>
        <v>35850.597</v>
      </c>
      <c r="L59" s="37">
        <f t="shared" si="6"/>
        <v>34038.519</v>
      </c>
      <c r="M59" s="37">
        <f t="shared" si="6"/>
        <v>32895.602</v>
      </c>
      <c r="N59" s="37">
        <f t="shared" si="6"/>
        <v>30398.966</v>
      </c>
      <c r="O59" s="38">
        <f t="shared" si="5"/>
        <v>381656.32300000003</v>
      </c>
      <c r="R59" s="26">
        <v>10118</v>
      </c>
      <c r="S59" s="26" t="s">
        <v>48</v>
      </c>
      <c r="T59" s="27">
        <v>0.0064676</v>
      </c>
      <c r="U59" s="27">
        <v>0.0064676</v>
      </c>
      <c r="V59" s="27">
        <v>0.0064676</v>
      </c>
      <c r="W59" s="27">
        <v>0.0064676</v>
      </c>
      <c r="X59" s="27">
        <v>0</v>
      </c>
      <c r="Y59" s="27">
        <v>0</v>
      </c>
      <c r="Z59" s="28">
        <v>43.568</v>
      </c>
      <c r="AA59" s="28">
        <v>43.568</v>
      </c>
      <c r="AB59" s="28">
        <v>43.568</v>
      </c>
      <c r="AC59" s="29">
        <v>0.07413</v>
      </c>
      <c r="AD59" s="29"/>
    </row>
    <row r="60" spans="1:30" ht="15">
      <c r="A60" s="26">
        <v>10121</v>
      </c>
      <c r="B60" s="26" t="s">
        <v>49</v>
      </c>
      <c r="C60" s="37">
        <f t="shared" si="6"/>
        <v>26302.556000000004</v>
      </c>
      <c r="D60" s="37">
        <f t="shared" si="6"/>
        <v>33299.992</v>
      </c>
      <c r="E60" s="37">
        <f t="shared" si="6"/>
        <v>32594.038999999997</v>
      </c>
      <c r="F60" s="37">
        <f t="shared" si="6"/>
        <v>26921.29</v>
      </c>
      <c r="G60" s="37">
        <f t="shared" si="6"/>
        <v>23333.272</v>
      </c>
      <c r="H60" s="37">
        <f t="shared" si="6"/>
        <v>27855.215000000004</v>
      </c>
      <c r="I60" s="37">
        <f t="shared" si="6"/>
        <v>21625.866</v>
      </c>
      <c r="J60" s="37">
        <f t="shared" si="6"/>
        <v>29962.797</v>
      </c>
      <c r="K60" s="37">
        <f t="shared" si="6"/>
        <v>32015.875999999997</v>
      </c>
      <c r="L60" s="37">
        <f t="shared" si="6"/>
        <v>30397.624</v>
      </c>
      <c r="M60" s="37">
        <f t="shared" si="6"/>
        <v>29376.959000000003</v>
      </c>
      <c r="N60" s="37">
        <f t="shared" si="6"/>
        <v>27147.373</v>
      </c>
      <c r="O60" s="38">
        <f t="shared" si="5"/>
        <v>340832.85900000005</v>
      </c>
      <c r="R60" s="26">
        <v>10121</v>
      </c>
      <c r="S60" s="26" t="s">
        <v>49</v>
      </c>
      <c r="T60" s="27">
        <v>0.0057758</v>
      </c>
      <c r="U60" s="27">
        <v>0.0057758</v>
      </c>
      <c r="V60" s="27">
        <v>0.0057758</v>
      </c>
      <c r="W60" s="27">
        <v>0.0057758</v>
      </c>
      <c r="X60" s="27">
        <v>0</v>
      </c>
      <c r="Y60" s="27">
        <v>0</v>
      </c>
      <c r="Z60" s="28">
        <v>38.991</v>
      </c>
      <c r="AA60" s="28">
        <v>38.908</v>
      </c>
      <c r="AB60" s="28">
        <v>38.908</v>
      </c>
      <c r="AC60" s="29">
        <v>0.06</v>
      </c>
      <c r="AD60" s="29"/>
    </row>
    <row r="61" spans="1:30" ht="15">
      <c r="A61" s="26">
        <v>10123</v>
      </c>
      <c r="B61" s="26" t="s">
        <v>50</v>
      </c>
      <c r="C61" s="37">
        <f t="shared" si="6"/>
        <v>131320.608</v>
      </c>
      <c r="D61" s="37">
        <f t="shared" si="6"/>
        <v>166256.655</v>
      </c>
      <c r="E61" s="37">
        <f t="shared" si="6"/>
        <v>162732.05</v>
      </c>
      <c r="F61" s="37">
        <f t="shared" si="6"/>
        <v>134409.753</v>
      </c>
      <c r="G61" s="37">
        <f t="shared" si="6"/>
        <v>116495.879</v>
      </c>
      <c r="H61" s="37">
        <f t="shared" si="6"/>
        <v>139072.554</v>
      </c>
      <c r="I61" s="37">
        <f t="shared" si="6"/>
        <v>107971.324</v>
      </c>
      <c r="J61" s="37">
        <f t="shared" si="6"/>
        <v>149595.064</v>
      </c>
      <c r="K61" s="37">
        <f t="shared" si="6"/>
        <v>159845.459</v>
      </c>
      <c r="L61" s="37">
        <f t="shared" si="6"/>
        <v>151766.025</v>
      </c>
      <c r="M61" s="37">
        <f t="shared" si="6"/>
        <v>146670.155</v>
      </c>
      <c r="N61" s="37">
        <f t="shared" si="6"/>
        <v>135538.51200000002</v>
      </c>
      <c r="O61" s="38">
        <f t="shared" si="5"/>
        <v>1701674.0380000002</v>
      </c>
      <c r="R61" s="26">
        <v>10123</v>
      </c>
      <c r="S61" s="26" t="s">
        <v>50</v>
      </c>
      <c r="T61" s="27">
        <v>0.0687208</v>
      </c>
      <c r="U61" s="27">
        <v>0.0708045</v>
      </c>
      <c r="V61" s="27">
        <v>0.028836799999999996</v>
      </c>
      <c r="W61" s="27">
        <v>0.030920500000000004</v>
      </c>
      <c r="X61" s="27">
        <v>0.039884</v>
      </c>
      <c r="Y61" s="27">
        <v>0.039884</v>
      </c>
      <c r="Z61" s="28">
        <v>523.882</v>
      </c>
      <c r="AA61" s="28">
        <v>462.928</v>
      </c>
      <c r="AB61" s="28">
        <v>476.965</v>
      </c>
      <c r="AC61" s="29">
        <v>0</v>
      </c>
      <c r="AD61" s="29"/>
    </row>
    <row r="62" spans="1:30" ht="15">
      <c r="A62" s="26">
        <v>10136</v>
      </c>
      <c r="B62" s="26" t="s">
        <v>51</v>
      </c>
      <c r="C62" s="37">
        <f t="shared" si="6"/>
        <v>11954.051</v>
      </c>
      <c r="D62" s="37">
        <f t="shared" si="6"/>
        <v>15134.262999999999</v>
      </c>
      <c r="E62" s="37">
        <f t="shared" si="6"/>
        <v>14813.419999999998</v>
      </c>
      <c r="F62" s="37">
        <f t="shared" si="6"/>
        <v>12235.255000000001</v>
      </c>
      <c r="G62" s="37">
        <f t="shared" si="6"/>
        <v>10604.564</v>
      </c>
      <c r="H62" s="37">
        <f t="shared" si="6"/>
        <v>12659.708</v>
      </c>
      <c r="I62" s="37">
        <f t="shared" si="6"/>
        <v>9828.577000000001</v>
      </c>
      <c r="J62" s="37">
        <f t="shared" si="6"/>
        <v>13617.567</v>
      </c>
      <c r="K62" s="37">
        <f t="shared" si="6"/>
        <v>14550.655</v>
      </c>
      <c r="L62" s="37">
        <f t="shared" si="6"/>
        <v>13815.187999999998</v>
      </c>
      <c r="M62" s="37">
        <f t="shared" si="6"/>
        <v>13351.313</v>
      </c>
      <c r="N62" s="37">
        <f t="shared" si="6"/>
        <v>12338.005000000001</v>
      </c>
      <c r="O62" s="38">
        <f t="shared" si="5"/>
        <v>154902.566</v>
      </c>
      <c r="R62" s="26">
        <v>10136</v>
      </c>
      <c r="S62" s="26" t="s">
        <v>51</v>
      </c>
      <c r="T62" s="27">
        <v>0.002625</v>
      </c>
      <c r="U62" s="27">
        <v>0.002625</v>
      </c>
      <c r="V62" s="27">
        <v>0.002625</v>
      </c>
      <c r="W62" s="27">
        <v>0.002625</v>
      </c>
      <c r="X62" s="27">
        <v>0</v>
      </c>
      <c r="Y62" s="27">
        <v>0</v>
      </c>
      <c r="Z62" s="28">
        <v>17.683</v>
      </c>
      <c r="AA62" s="28">
        <v>17.683</v>
      </c>
      <c r="AB62" s="28">
        <v>17.683</v>
      </c>
      <c r="AC62" s="29">
        <v>0.07227</v>
      </c>
      <c r="AD62" s="29"/>
    </row>
    <row r="63" spans="1:30" ht="15">
      <c r="A63" s="26">
        <v>10142</v>
      </c>
      <c r="B63" s="26" t="s">
        <v>52</v>
      </c>
      <c r="C63" s="37">
        <f t="shared" si="6"/>
        <v>1732.7690000000002</v>
      </c>
      <c r="D63" s="37">
        <f t="shared" si="6"/>
        <v>2193.7470000000003</v>
      </c>
      <c r="E63" s="37">
        <f t="shared" si="6"/>
        <v>2147.241</v>
      </c>
      <c r="F63" s="37">
        <f t="shared" si="6"/>
        <v>1773.529</v>
      </c>
      <c r="G63" s="37">
        <f t="shared" si="6"/>
        <v>1537.1570000000002</v>
      </c>
      <c r="H63" s="37">
        <f t="shared" si="6"/>
        <v>1835.055</v>
      </c>
      <c r="I63" s="37">
        <f t="shared" si="6"/>
        <v>1424.676</v>
      </c>
      <c r="J63" s="37">
        <f t="shared" si="6"/>
        <v>1973.899</v>
      </c>
      <c r="K63" s="37">
        <f t="shared" si="6"/>
        <v>2109.152</v>
      </c>
      <c r="L63" s="37">
        <f t="shared" si="6"/>
        <v>2002.545</v>
      </c>
      <c r="M63" s="37">
        <f t="shared" si="6"/>
        <v>1935.3049999999998</v>
      </c>
      <c r="N63" s="37">
        <f t="shared" si="6"/>
        <v>1788.4230000000002</v>
      </c>
      <c r="O63" s="38">
        <f t="shared" si="5"/>
        <v>22453.497999999996</v>
      </c>
      <c r="R63" s="26">
        <v>10142</v>
      </c>
      <c r="S63" s="26" t="s">
        <v>52</v>
      </c>
      <c r="T63" s="27">
        <v>0.0003805</v>
      </c>
      <c r="U63" s="27">
        <v>0.0003805</v>
      </c>
      <c r="V63" s="27">
        <v>0.0003805</v>
      </c>
      <c r="W63" s="27">
        <v>0.0003805</v>
      </c>
      <c r="X63" s="27">
        <v>0</v>
      </c>
      <c r="Y63" s="27">
        <v>0</v>
      </c>
      <c r="Z63" s="28">
        <v>2.563</v>
      </c>
      <c r="AA63" s="28">
        <v>2.563</v>
      </c>
      <c r="AB63" s="28">
        <v>2.563</v>
      </c>
      <c r="AC63" s="29">
        <v>0.02926</v>
      </c>
      <c r="AD63" s="29"/>
    </row>
    <row r="64" spans="1:30" ht="15">
      <c r="A64" s="26">
        <v>10144</v>
      </c>
      <c r="B64" s="26" t="s">
        <v>53</v>
      </c>
      <c r="C64" s="37">
        <f t="shared" si="6"/>
        <v>2172.222</v>
      </c>
      <c r="D64" s="37">
        <f t="shared" si="6"/>
        <v>2750.112</v>
      </c>
      <c r="E64" s="37">
        <f t="shared" si="6"/>
        <v>2691.81</v>
      </c>
      <c r="F64" s="37">
        <f t="shared" si="6"/>
        <v>2223.321</v>
      </c>
      <c r="G64" s="37">
        <f t="shared" si="6"/>
        <v>1927.0010000000002</v>
      </c>
      <c r="H64" s="37">
        <f t="shared" si="6"/>
        <v>2300.449</v>
      </c>
      <c r="I64" s="37">
        <f t="shared" si="6"/>
        <v>1785.993</v>
      </c>
      <c r="J64" s="37">
        <f t="shared" si="6"/>
        <v>2474.507</v>
      </c>
      <c r="K64" s="37">
        <f t="shared" si="6"/>
        <v>2644.062</v>
      </c>
      <c r="L64" s="37">
        <f t="shared" si="6"/>
        <v>2510.417</v>
      </c>
      <c r="M64" s="37">
        <f t="shared" si="6"/>
        <v>2426.125</v>
      </c>
      <c r="N64" s="37">
        <f t="shared" si="6"/>
        <v>2241.992</v>
      </c>
      <c r="O64" s="38">
        <f t="shared" si="5"/>
        <v>28148.011</v>
      </c>
      <c r="R64" s="26">
        <v>10144</v>
      </c>
      <c r="S64" s="26" t="s">
        <v>53</v>
      </c>
      <c r="T64" s="27">
        <v>0.000477</v>
      </c>
      <c r="U64" s="27">
        <v>0.000477</v>
      </c>
      <c r="V64" s="27">
        <v>0.000477</v>
      </c>
      <c r="W64" s="27">
        <v>0.000477</v>
      </c>
      <c r="X64" s="27">
        <v>0</v>
      </c>
      <c r="Y64" s="27">
        <v>0</v>
      </c>
      <c r="Z64" s="28">
        <v>3.213</v>
      </c>
      <c r="AA64" s="28">
        <v>3.213</v>
      </c>
      <c r="AB64" s="28">
        <v>3.213</v>
      </c>
      <c r="AC64" s="29">
        <v>0</v>
      </c>
      <c r="AD64" s="29"/>
    </row>
    <row r="65" spans="1:30" ht="15">
      <c r="A65" s="26">
        <v>10156</v>
      </c>
      <c r="B65" s="26" t="s">
        <v>54</v>
      </c>
      <c r="C65" s="37">
        <f t="shared" si="6"/>
        <v>20789.121</v>
      </c>
      <c r="D65" s="37">
        <f t="shared" si="6"/>
        <v>26319.78</v>
      </c>
      <c r="E65" s="37">
        <f t="shared" si="6"/>
        <v>25761.807</v>
      </c>
      <c r="F65" s="37">
        <f t="shared" si="6"/>
        <v>21278.158000000003</v>
      </c>
      <c r="G65" s="37">
        <f t="shared" si="6"/>
        <v>18442.245</v>
      </c>
      <c r="H65" s="37">
        <f t="shared" si="6"/>
        <v>22016.316</v>
      </c>
      <c r="I65" s="37">
        <f t="shared" si="6"/>
        <v>17092.738</v>
      </c>
      <c r="J65" s="37">
        <f t="shared" si="6"/>
        <v>23682.114999999998</v>
      </c>
      <c r="K65" s="37">
        <f t="shared" si="6"/>
        <v>25304.836</v>
      </c>
      <c r="L65" s="37">
        <f t="shared" si="6"/>
        <v>24025.796000000002</v>
      </c>
      <c r="M65" s="37">
        <f t="shared" si="6"/>
        <v>23219.078999999998</v>
      </c>
      <c r="N65" s="37">
        <f t="shared" si="6"/>
        <v>21456.849</v>
      </c>
      <c r="O65" s="38">
        <f t="shared" si="5"/>
        <v>269388.84</v>
      </c>
      <c r="R65" s="26">
        <v>10156</v>
      </c>
      <c r="S65" s="26" t="s">
        <v>54</v>
      </c>
      <c r="T65" s="27">
        <v>0.0045651</v>
      </c>
      <c r="U65" s="27">
        <v>0.0045651</v>
      </c>
      <c r="V65" s="27">
        <v>0.0045651</v>
      </c>
      <c r="W65" s="27">
        <v>0.0045651</v>
      </c>
      <c r="X65" s="27">
        <v>0</v>
      </c>
      <c r="Y65" s="27">
        <v>0</v>
      </c>
      <c r="Z65" s="28">
        <v>30.752</v>
      </c>
      <c r="AA65" s="28">
        <v>30.752</v>
      </c>
      <c r="AB65" s="28">
        <v>30.752</v>
      </c>
      <c r="AC65" s="29">
        <v>0</v>
      </c>
      <c r="AD65" s="29"/>
    </row>
    <row r="66" spans="1:30" ht="15">
      <c r="A66" s="26">
        <v>10157</v>
      </c>
      <c r="B66" s="26" t="s">
        <v>55</v>
      </c>
      <c r="C66" s="37">
        <f t="shared" si="6"/>
        <v>15375.415</v>
      </c>
      <c r="D66" s="37">
        <f t="shared" si="6"/>
        <v>19465.833</v>
      </c>
      <c r="E66" s="37">
        <f t="shared" si="6"/>
        <v>19053.162</v>
      </c>
      <c r="F66" s="37">
        <f t="shared" si="6"/>
        <v>15737.102</v>
      </c>
      <c r="G66" s="37">
        <f t="shared" si="6"/>
        <v>13639.690999999999</v>
      </c>
      <c r="H66" s="37">
        <f t="shared" si="6"/>
        <v>16283.037</v>
      </c>
      <c r="I66" s="37">
        <f t="shared" si="6"/>
        <v>12641.61</v>
      </c>
      <c r="J66" s="37">
        <f t="shared" si="6"/>
        <v>17515.044</v>
      </c>
      <c r="K66" s="37">
        <f t="shared" si="6"/>
        <v>18715.191</v>
      </c>
      <c r="L66" s="37">
        <f t="shared" si="6"/>
        <v>17769.226</v>
      </c>
      <c r="M66" s="37">
        <f t="shared" si="6"/>
        <v>17172.586</v>
      </c>
      <c r="N66" s="37">
        <f t="shared" si="6"/>
        <v>15869.259999999998</v>
      </c>
      <c r="O66" s="38">
        <f t="shared" si="5"/>
        <v>199237.157</v>
      </c>
      <c r="R66" s="26">
        <v>10157</v>
      </c>
      <c r="S66" s="26" t="s">
        <v>55</v>
      </c>
      <c r="T66" s="27">
        <v>0.0070743</v>
      </c>
      <c r="U66" s="27">
        <v>0.0070743</v>
      </c>
      <c r="V66" s="27">
        <v>0.0033763000000000005</v>
      </c>
      <c r="W66" s="27">
        <v>0.0033763000000000005</v>
      </c>
      <c r="X66" s="27">
        <v>0.003698</v>
      </c>
      <c r="Y66" s="27">
        <v>0.003698</v>
      </c>
      <c r="Z66" s="28">
        <v>47.655</v>
      </c>
      <c r="AA66" s="28">
        <v>47.655</v>
      </c>
      <c r="AB66" s="28">
        <v>47.655</v>
      </c>
      <c r="AC66" s="29">
        <v>0.05783</v>
      </c>
      <c r="AD66" s="29"/>
    </row>
    <row r="67" spans="1:30" ht="15">
      <c r="A67" s="26">
        <v>10158</v>
      </c>
      <c r="B67" s="26" t="s">
        <v>56</v>
      </c>
      <c r="C67" s="37">
        <f t="shared" si="6"/>
        <v>1604.3469999999998</v>
      </c>
      <c r="D67" s="37">
        <f t="shared" si="6"/>
        <v>2031.1619999999998</v>
      </c>
      <c r="E67" s="37">
        <f t="shared" si="6"/>
        <v>1988.1019999999999</v>
      </c>
      <c r="F67" s="37">
        <f aca="true" t="shared" si="7" ref="D67:N90">ROUND(F$3*$V67,3)+ROUND(F$4*$V67,3)</f>
        <v>1642.0880000000002</v>
      </c>
      <c r="G67" s="37">
        <f t="shared" si="7"/>
        <v>1423.234</v>
      </c>
      <c r="H67" s="37">
        <f t="shared" si="7"/>
        <v>1699.0529999999999</v>
      </c>
      <c r="I67" s="37">
        <f t="shared" si="7"/>
        <v>1319.089</v>
      </c>
      <c r="J67" s="37">
        <f t="shared" si="7"/>
        <v>1827.608</v>
      </c>
      <c r="K67" s="37">
        <f t="shared" si="7"/>
        <v>1952.8359999999998</v>
      </c>
      <c r="L67" s="37">
        <f t="shared" si="7"/>
        <v>1854.13</v>
      </c>
      <c r="M67" s="37">
        <f t="shared" si="7"/>
        <v>1791.874</v>
      </c>
      <c r="N67" s="37">
        <f t="shared" si="7"/>
        <v>1655.8780000000002</v>
      </c>
      <c r="O67" s="38">
        <f t="shared" si="5"/>
        <v>20789.400999999998</v>
      </c>
      <c r="R67" s="26">
        <v>10158</v>
      </c>
      <c r="S67" s="26" t="s">
        <v>56</v>
      </c>
      <c r="T67" s="27">
        <v>0.0003523</v>
      </c>
      <c r="U67" s="27">
        <v>0.0003523</v>
      </c>
      <c r="V67" s="27">
        <v>0.0003523</v>
      </c>
      <c r="W67" s="27">
        <v>0.0003523</v>
      </c>
      <c r="X67" s="27">
        <v>0</v>
      </c>
      <c r="Y67" s="27">
        <v>0</v>
      </c>
      <c r="Z67" s="28">
        <v>2.663</v>
      </c>
      <c r="AA67" s="28">
        <v>2.373</v>
      </c>
      <c r="AB67" s="28">
        <v>2.373</v>
      </c>
      <c r="AC67" s="29">
        <v>0</v>
      </c>
      <c r="AD67" s="29"/>
    </row>
    <row r="68" spans="1:30" ht="15">
      <c r="A68" s="26">
        <v>10170</v>
      </c>
      <c r="B68" s="26" t="s">
        <v>57</v>
      </c>
      <c r="C68" s="37">
        <f aca="true" t="shared" si="8" ref="C68:C131">ROUND(C$3*$V68,3)+ROUND(C$4*$V68,3)</f>
        <v>77941.783</v>
      </c>
      <c r="D68" s="37">
        <f t="shared" si="7"/>
        <v>98677.126</v>
      </c>
      <c r="E68" s="37">
        <f t="shared" si="7"/>
        <v>96585.192</v>
      </c>
      <c r="F68" s="37">
        <f t="shared" si="7"/>
        <v>79775.261</v>
      </c>
      <c r="G68" s="37">
        <f t="shared" si="7"/>
        <v>69142.967</v>
      </c>
      <c r="H68" s="37">
        <f t="shared" si="7"/>
        <v>82542.74</v>
      </c>
      <c r="I68" s="37">
        <f t="shared" si="7"/>
        <v>64083.44899999999</v>
      </c>
      <c r="J68" s="37">
        <f t="shared" si="7"/>
        <v>88788.09</v>
      </c>
      <c r="K68" s="37">
        <f t="shared" si="7"/>
        <v>94871.93400000001</v>
      </c>
      <c r="L68" s="37">
        <f t="shared" si="7"/>
        <v>90076.605</v>
      </c>
      <c r="M68" s="37">
        <f t="shared" si="7"/>
        <v>87052.09</v>
      </c>
      <c r="N68" s="37">
        <f t="shared" si="7"/>
        <v>80445.206</v>
      </c>
      <c r="O68" s="38">
        <f t="shared" si="5"/>
        <v>1009982.4429999999</v>
      </c>
      <c r="R68" s="26">
        <v>10170</v>
      </c>
      <c r="S68" s="26" t="s">
        <v>57</v>
      </c>
      <c r="T68" s="27">
        <v>0.0350489</v>
      </c>
      <c r="U68" s="27">
        <v>0.0338588</v>
      </c>
      <c r="V68" s="27">
        <v>0.0171153</v>
      </c>
      <c r="W68" s="27">
        <v>0.0159252</v>
      </c>
      <c r="X68" s="27">
        <v>0.0179336</v>
      </c>
      <c r="Y68" s="27">
        <v>0.0179336</v>
      </c>
      <c r="Z68" s="28">
        <v>239.522</v>
      </c>
      <c r="AA68" s="28">
        <v>236.102</v>
      </c>
      <c r="AB68" s="28">
        <v>228.085</v>
      </c>
      <c r="AC68" s="29">
        <v>0</v>
      </c>
      <c r="AD68" s="29"/>
    </row>
    <row r="69" spans="1:30" ht="15">
      <c r="A69" s="26">
        <v>10172</v>
      </c>
      <c r="B69" s="26" t="s">
        <v>58</v>
      </c>
      <c r="C69" s="37">
        <f t="shared" si="8"/>
        <v>3697.787</v>
      </c>
      <c r="D69" s="37">
        <f t="shared" si="7"/>
        <v>4681.532</v>
      </c>
      <c r="E69" s="37">
        <f t="shared" si="7"/>
        <v>4582.285</v>
      </c>
      <c r="F69" s="37">
        <f t="shared" si="7"/>
        <v>3784.772</v>
      </c>
      <c r="G69" s="37">
        <f t="shared" si="7"/>
        <v>3280.3450000000003</v>
      </c>
      <c r="H69" s="37">
        <f t="shared" si="7"/>
        <v>3916.069</v>
      </c>
      <c r="I69" s="37">
        <f t="shared" si="7"/>
        <v>3040.307</v>
      </c>
      <c r="J69" s="37">
        <f t="shared" si="7"/>
        <v>4212.367</v>
      </c>
      <c r="K69" s="37">
        <f t="shared" si="7"/>
        <v>4501.003000000001</v>
      </c>
      <c r="L69" s="37">
        <f t="shared" si="7"/>
        <v>4273.499</v>
      </c>
      <c r="M69" s="37">
        <f t="shared" si="7"/>
        <v>4130.005999999999</v>
      </c>
      <c r="N69" s="37">
        <f t="shared" si="7"/>
        <v>3816.556</v>
      </c>
      <c r="O69" s="38">
        <f t="shared" si="5"/>
        <v>47916.528</v>
      </c>
      <c r="R69" s="26">
        <v>10172</v>
      </c>
      <c r="S69" s="26" t="s">
        <v>58</v>
      </c>
      <c r="T69" s="27">
        <v>0.000812</v>
      </c>
      <c r="U69" s="27">
        <v>0.0008139</v>
      </c>
      <c r="V69" s="27">
        <v>0.000812</v>
      </c>
      <c r="W69" s="27">
        <v>0.0008139</v>
      </c>
      <c r="X69" s="27">
        <v>0</v>
      </c>
      <c r="Y69" s="27">
        <v>0</v>
      </c>
      <c r="Z69" s="28">
        <v>5.821</v>
      </c>
      <c r="AA69" s="28">
        <v>5.47</v>
      </c>
      <c r="AB69" s="28">
        <v>5.483</v>
      </c>
      <c r="AC69" s="29">
        <v>0</v>
      </c>
      <c r="AD69" s="29"/>
    </row>
    <row r="70" spans="1:30" ht="15">
      <c r="A70" s="26">
        <v>10173</v>
      </c>
      <c r="B70" s="26" t="s">
        <v>59</v>
      </c>
      <c r="C70" s="37">
        <f t="shared" si="8"/>
        <v>21364.281</v>
      </c>
      <c r="D70" s="37">
        <f t="shared" si="7"/>
        <v>27047.955</v>
      </c>
      <c r="E70" s="37">
        <f t="shared" si="7"/>
        <v>26474.545</v>
      </c>
      <c r="F70" s="37">
        <f t="shared" si="7"/>
        <v>21866.847999999998</v>
      </c>
      <c r="G70" s="37">
        <f t="shared" si="7"/>
        <v>18952.476000000002</v>
      </c>
      <c r="H70" s="37">
        <f t="shared" si="7"/>
        <v>22625.43</v>
      </c>
      <c r="I70" s="37">
        <f t="shared" si="7"/>
        <v>17565.634000000002</v>
      </c>
      <c r="J70" s="37">
        <f t="shared" si="7"/>
        <v>24337.315000000002</v>
      </c>
      <c r="K70" s="37">
        <f t="shared" si="7"/>
        <v>26004.93</v>
      </c>
      <c r="L70" s="37">
        <f t="shared" si="7"/>
        <v>24690.504</v>
      </c>
      <c r="M70" s="37">
        <f t="shared" si="7"/>
        <v>23861.468</v>
      </c>
      <c r="N70" s="37">
        <f t="shared" si="7"/>
        <v>22050.483</v>
      </c>
      <c r="O70" s="38">
        <f t="shared" si="5"/>
        <v>276841.869</v>
      </c>
      <c r="R70" s="26">
        <v>10173</v>
      </c>
      <c r="S70" s="26" t="s">
        <v>59</v>
      </c>
      <c r="T70" s="27">
        <v>0.0046914</v>
      </c>
      <c r="U70" s="27">
        <v>0.0046914</v>
      </c>
      <c r="V70" s="27">
        <v>0.0046914</v>
      </c>
      <c r="W70" s="27">
        <v>0.0046914</v>
      </c>
      <c r="X70" s="27">
        <v>0</v>
      </c>
      <c r="Y70" s="27">
        <v>0</v>
      </c>
      <c r="Z70" s="28">
        <v>31.603</v>
      </c>
      <c r="AA70" s="28">
        <v>31.603</v>
      </c>
      <c r="AB70" s="28">
        <v>31.603</v>
      </c>
      <c r="AC70" s="29">
        <v>0.08483</v>
      </c>
      <c r="AD70" s="29"/>
    </row>
    <row r="71" spans="1:30" ht="15">
      <c r="A71" s="26">
        <v>10174</v>
      </c>
      <c r="B71" s="26" t="s">
        <v>60</v>
      </c>
      <c r="C71" s="37">
        <f t="shared" si="8"/>
        <v>326.972</v>
      </c>
      <c r="D71" s="37">
        <f t="shared" si="7"/>
        <v>413.95799999999997</v>
      </c>
      <c r="E71" s="37">
        <f t="shared" si="7"/>
        <v>405.182</v>
      </c>
      <c r="F71" s="37">
        <f t="shared" si="7"/>
        <v>334.663</v>
      </c>
      <c r="G71" s="37">
        <f t="shared" si="7"/>
        <v>290.06</v>
      </c>
      <c r="H71" s="37">
        <f t="shared" si="7"/>
        <v>346.273</v>
      </c>
      <c r="I71" s="37">
        <f t="shared" si="7"/>
        <v>268.835</v>
      </c>
      <c r="J71" s="37">
        <f t="shared" si="7"/>
        <v>372.47299999999996</v>
      </c>
      <c r="K71" s="37">
        <f t="shared" si="7"/>
        <v>397.995</v>
      </c>
      <c r="L71" s="37">
        <f t="shared" si="7"/>
        <v>377.878</v>
      </c>
      <c r="M71" s="37">
        <f t="shared" si="7"/>
        <v>365.19100000000003</v>
      </c>
      <c r="N71" s="37">
        <f t="shared" si="7"/>
        <v>337.473</v>
      </c>
      <c r="O71" s="38">
        <f t="shared" si="5"/>
        <v>4236.953</v>
      </c>
      <c r="R71" s="26">
        <v>10174</v>
      </c>
      <c r="S71" s="26" t="s">
        <v>60</v>
      </c>
      <c r="T71" s="27">
        <v>7.18E-05</v>
      </c>
      <c r="U71" s="27">
        <v>7.18E-05</v>
      </c>
      <c r="V71" s="27">
        <v>7.18E-05</v>
      </c>
      <c r="W71" s="27">
        <v>7.18E-05</v>
      </c>
      <c r="X71" s="27">
        <v>0</v>
      </c>
      <c r="Y71" s="27">
        <v>0</v>
      </c>
      <c r="Z71" s="28">
        <v>0.484</v>
      </c>
      <c r="AA71" s="28">
        <v>0.484</v>
      </c>
      <c r="AB71" s="28">
        <v>0.484</v>
      </c>
      <c r="AC71" s="29">
        <v>0</v>
      </c>
      <c r="AD71" s="29"/>
    </row>
    <row r="72" spans="1:30" ht="15">
      <c r="A72" s="26">
        <v>10177</v>
      </c>
      <c r="B72" s="26" t="s">
        <v>61</v>
      </c>
      <c r="C72" s="37">
        <f t="shared" si="8"/>
        <v>6021.1990000000005</v>
      </c>
      <c r="D72" s="37">
        <f t="shared" si="7"/>
        <v>7623.0560000000005</v>
      </c>
      <c r="E72" s="37">
        <f t="shared" si="7"/>
        <v>7461.449999999999</v>
      </c>
      <c r="F72" s="37">
        <f t="shared" si="7"/>
        <v>6162.84</v>
      </c>
      <c r="G72" s="37">
        <f t="shared" si="7"/>
        <v>5341.469</v>
      </c>
      <c r="H72" s="37">
        <f t="shared" si="7"/>
        <v>6376.635</v>
      </c>
      <c r="I72" s="37">
        <f t="shared" si="7"/>
        <v>4950.608</v>
      </c>
      <c r="J72" s="37">
        <f t="shared" si="7"/>
        <v>6859.103</v>
      </c>
      <c r="K72" s="37">
        <f t="shared" si="7"/>
        <v>7329.096</v>
      </c>
      <c r="L72" s="37">
        <f t="shared" si="7"/>
        <v>6958.645</v>
      </c>
      <c r="M72" s="37">
        <f t="shared" si="7"/>
        <v>6724.9929999999995</v>
      </c>
      <c r="N72" s="37">
        <f t="shared" si="7"/>
        <v>6214.594</v>
      </c>
      <c r="O72" s="38">
        <f t="shared" si="5"/>
        <v>78023.68800000001</v>
      </c>
      <c r="R72" s="26">
        <v>10177</v>
      </c>
      <c r="S72" s="26" t="s">
        <v>61</v>
      </c>
      <c r="T72" s="27">
        <v>0.0013222</v>
      </c>
      <c r="U72" s="27">
        <v>0.0013253</v>
      </c>
      <c r="V72" s="27">
        <v>0.0013222</v>
      </c>
      <c r="W72" s="27">
        <v>0.0013253</v>
      </c>
      <c r="X72" s="27">
        <v>0</v>
      </c>
      <c r="Y72" s="27">
        <v>0</v>
      </c>
      <c r="Z72" s="28">
        <v>11.127</v>
      </c>
      <c r="AA72" s="28">
        <v>8.907</v>
      </c>
      <c r="AB72" s="28">
        <v>8.928</v>
      </c>
      <c r="AC72" s="29">
        <v>0.07</v>
      </c>
      <c r="AD72" s="29"/>
    </row>
    <row r="73" spans="1:30" ht="15">
      <c r="A73" s="26">
        <v>10179</v>
      </c>
      <c r="B73" s="26" t="s">
        <v>62</v>
      </c>
      <c r="C73" s="37">
        <f t="shared" si="8"/>
        <v>107576.446</v>
      </c>
      <c r="D73" s="37">
        <f t="shared" si="7"/>
        <v>136195.684</v>
      </c>
      <c r="E73" s="37">
        <f t="shared" si="7"/>
        <v>133308.36599999998</v>
      </c>
      <c r="F73" s="37">
        <f t="shared" si="7"/>
        <v>110107.04199999999</v>
      </c>
      <c r="G73" s="37">
        <f t="shared" si="7"/>
        <v>95432.185</v>
      </c>
      <c r="H73" s="37">
        <f t="shared" si="7"/>
        <v>113926.758</v>
      </c>
      <c r="I73" s="37">
        <f t="shared" si="7"/>
        <v>88448.95999999999</v>
      </c>
      <c r="J73" s="37">
        <f t="shared" si="7"/>
        <v>122546.68599999999</v>
      </c>
      <c r="K73" s="37">
        <f t="shared" si="7"/>
        <v>130943.701</v>
      </c>
      <c r="L73" s="37">
        <f t="shared" si="7"/>
        <v>124325.114</v>
      </c>
      <c r="M73" s="37">
        <f t="shared" si="7"/>
        <v>120150.632</v>
      </c>
      <c r="N73" s="37">
        <f t="shared" si="7"/>
        <v>111031.709</v>
      </c>
      <c r="O73" s="38">
        <f t="shared" si="5"/>
        <v>1393993.283</v>
      </c>
      <c r="R73" s="26">
        <v>10179</v>
      </c>
      <c r="S73" s="26" t="s">
        <v>62</v>
      </c>
      <c r="T73" s="27">
        <v>0.0236228</v>
      </c>
      <c r="U73" s="27">
        <v>0.0236228</v>
      </c>
      <c r="V73" s="27">
        <v>0.0236228</v>
      </c>
      <c r="W73" s="27">
        <v>0.0236228</v>
      </c>
      <c r="X73" s="27">
        <v>0</v>
      </c>
      <c r="Y73" s="27">
        <v>0</v>
      </c>
      <c r="Z73" s="28">
        <v>159.132</v>
      </c>
      <c r="AA73" s="28">
        <v>159.132</v>
      </c>
      <c r="AB73" s="28">
        <v>159.132</v>
      </c>
      <c r="AC73" s="29">
        <v>0</v>
      </c>
      <c r="AD73" s="29"/>
    </row>
    <row r="74" spans="1:30" ht="15">
      <c r="A74" s="26">
        <v>10183</v>
      </c>
      <c r="B74" s="26" t="s">
        <v>63</v>
      </c>
      <c r="C74" s="37">
        <f t="shared" si="8"/>
        <v>40202.501</v>
      </c>
      <c r="D74" s="37">
        <f t="shared" si="7"/>
        <v>50897.825</v>
      </c>
      <c r="E74" s="37">
        <f t="shared" si="7"/>
        <v>49818.801999999996</v>
      </c>
      <c r="F74" s="37">
        <f t="shared" si="7"/>
        <v>41148.210999999996</v>
      </c>
      <c r="G74" s="37">
        <f t="shared" si="7"/>
        <v>35664.057</v>
      </c>
      <c r="H74" s="37">
        <f t="shared" si="7"/>
        <v>42575.682</v>
      </c>
      <c r="I74" s="37">
        <f t="shared" si="7"/>
        <v>33054.348</v>
      </c>
      <c r="J74" s="37">
        <f t="shared" si="7"/>
        <v>45797.043999999994</v>
      </c>
      <c r="K74" s="37">
        <f t="shared" si="7"/>
        <v>48935.100000000006</v>
      </c>
      <c r="L74" s="37">
        <f t="shared" si="7"/>
        <v>46461.662</v>
      </c>
      <c r="M74" s="37">
        <f t="shared" si="7"/>
        <v>44901.611</v>
      </c>
      <c r="N74" s="37">
        <f t="shared" si="7"/>
        <v>41493.770000000004</v>
      </c>
      <c r="O74" s="38">
        <f t="shared" si="5"/>
        <v>520950.61299999995</v>
      </c>
      <c r="R74" s="26">
        <v>10183</v>
      </c>
      <c r="S74" s="26" t="s">
        <v>63</v>
      </c>
      <c r="T74" s="27">
        <v>0.0166176</v>
      </c>
      <c r="U74" s="27">
        <v>0.0166176</v>
      </c>
      <c r="V74" s="27">
        <v>0.008828099999999998</v>
      </c>
      <c r="W74" s="27">
        <v>0.008828099999999998</v>
      </c>
      <c r="X74" s="27">
        <v>0.0077895</v>
      </c>
      <c r="Y74" s="27">
        <v>0.0077895</v>
      </c>
      <c r="Z74" s="28">
        <v>111.942</v>
      </c>
      <c r="AA74" s="28">
        <v>111.942</v>
      </c>
      <c r="AB74" s="28">
        <v>111.942</v>
      </c>
      <c r="AC74" s="29">
        <v>0</v>
      </c>
      <c r="AD74" s="29"/>
    </row>
    <row r="75" spans="1:30" ht="15">
      <c r="A75" s="26">
        <v>10186</v>
      </c>
      <c r="B75" s="26" t="s">
        <v>64</v>
      </c>
      <c r="C75" s="37">
        <f t="shared" si="8"/>
        <v>12271.004</v>
      </c>
      <c r="D75" s="37">
        <f t="shared" si="7"/>
        <v>15535.537</v>
      </c>
      <c r="E75" s="37">
        <f t="shared" si="7"/>
        <v>15206.187000000002</v>
      </c>
      <c r="F75" s="37">
        <f t="shared" si="7"/>
        <v>12559.664</v>
      </c>
      <c r="G75" s="37">
        <f t="shared" si="7"/>
        <v>10885.736</v>
      </c>
      <c r="H75" s="37">
        <f t="shared" si="7"/>
        <v>12995.371</v>
      </c>
      <c r="I75" s="37">
        <f t="shared" si="7"/>
        <v>10089.175</v>
      </c>
      <c r="J75" s="37">
        <f t="shared" si="7"/>
        <v>13978.626</v>
      </c>
      <c r="K75" s="37">
        <f t="shared" si="7"/>
        <v>14936.455</v>
      </c>
      <c r="L75" s="37">
        <f t="shared" si="7"/>
        <v>14181.488</v>
      </c>
      <c r="M75" s="37">
        <f t="shared" si="7"/>
        <v>13705.313999999998</v>
      </c>
      <c r="N75" s="37">
        <f t="shared" si="7"/>
        <v>12665.139</v>
      </c>
      <c r="O75" s="38">
        <f t="shared" si="5"/>
        <v>159009.69600000003</v>
      </c>
      <c r="R75" s="26">
        <v>10186</v>
      </c>
      <c r="S75" s="26" t="s">
        <v>64</v>
      </c>
      <c r="T75" s="27">
        <v>0.0026946</v>
      </c>
      <c r="U75" s="27">
        <v>0.0027107</v>
      </c>
      <c r="V75" s="27">
        <v>0.0026946</v>
      </c>
      <c r="W75" s="27">
        <v>0.0027107</v>
      </c>
      <c r="X75" s="27">
        <v>0</v>
      </c>
      <c r="Y75" s="27">
        <v>0</v>
      </c>
      <c r="Z75" s="28">
        <v>20.334</v>
      </c>
      <c r="AA75" s="28">
        <v>18.152</v>
      </c>
      <c r="AB75" s="28">
        <v>18.26</v>
      </c>
      <c r="AC75" s="29">
        <v>0.07</v>
      </c>
      <c r="AD75" s="29"/>
    </row>
    <row r="76" spans="1:30" ht="15">
      <c r="A76" s="26">
        <v>10190</v>
      </c>
      <c r="B76" s="26" t="s">
        <v>65</v>
      </c>
      <c r="C76" s="37">
        <f t="shared" si="8"/>
        <v>3347.59</v>
      </c>
      <c r="D76" s="37">
        <f t="shared" si="7"/>
        <v>4238.17</v>
      </c>
      <c r="E76" s="37">
        <f t="shared" si="7"/>
        <v>4148.322</v>
      </c>
      <c r="F76" s="37">
        <f t="shared" si="7"/>
        <v>3426.337</v>
      </c>
      <c r="G76" s="37">
        <f t="shared" si="7"/>
        <v>2969.682</v>
      </c>
      <c r="H76" s="37">
        <f t="shared" si="7"/>
        <v>3545.2</v>
      </c>
      <c r="I76" s="37">
        <f t="shared" si="7"/>
        <v>2752.376</v>
      </c>
      <c r="J76" s="37">
        <f t="shared" si="7"/>
        <v>3813.437</v>
      </c>
      <c r="K76" s="37">
        <f t="shared" si="7"/>
        <v>4074.738</v>
      </c>
      <c r="L76" s="37">
        <f t="shared" si="7"/>
        <v>3868.779</v>
      </c>
      <c r="M76" s="37">
        <f t="shared" si="7"/>
        <v>3738.876</v>
      </c>
      <c r="N76" s="37">
        <f t="shared" si="7"/>
        <v>3455.111</v>
      </c>
      <c r="O76" s="38">
        <f t="shared" si="5"/>
        <v>43378.617999999995</v>
      </c>
      <c r="R76" s="26">
        <v>10190</v>
      </c>
      <c r="S76" s="26" t="s">
        <v>65</v>
      </c>
      <c r="T76" s="27">
        <v>0.0007351</v>
      </c>
      <c r="U76" s="27">
        <v>0.0007351</v>
      </c>
      <c r="V76" s="27">
        <v>0.0007351</v>
      </c>
      <c r="W76" s="27">
        <v>0.0007351</v>
      </c>
      <c r="X76" s="27">
        <v>0</v>
      </c>
      <c r="Y76" s="27">
        <v>0</v>
      </c>
      <c r="Z76" s="28">
        <v>4.952</v>
      </c>
      <c r="AA76" s="28">
        <v>4.952</v>
      </c>
      <c r="AB76" s="28">
        <v>4.952</v>
      </c>
      <c r="AC76" s="29">
        <v>0</v>
      </c>
      <c r="AD76" s="29"/>
    </row>
    <row r="77" spans="1:30" ht="15">
      <c r="A77" s="26">
        <v>10191</v>
      </c>
      <c r="B77" s="26" t="s">
        <v>66</v>
      </c>
      <c r="C77" s="37">
        <f t="shared" si="8"/>
        <v>37274.326</v>
      </c>
      <c r="D77" s="37">
        <f t="shared" si="7"/>
        <v>47190.65</v>
      </c>
      <c r="E77" s="37">
        <f t="shared" si="7"/>
        <v>46190.219</v>
      </c>
      <c r="F77" s="37">
        <f t="shared" si="7"/>
        <v>38151.156</v>
      </c>
      <c r="G77" s="37">
        <f t="shared" si="7"/>
        <v>33066.443</v>
      </c>
      <c r="H77" s="37">
        <f t="shared" si="7"/>
        <v>39474.656</v>
      </c>
      <c r="I77" s="37">
        <f t="shared" si="7"/>
        <v>30646.816</v>
      </c>
      <c r="J77" s="37">
        <f t="shared" si="7"/>
        <v>42461.388</v>
      </c>
      <c r="K77" s="37">
        <f t="shared" si="7"/>
        <v>45370.882</v>
      </c>
      <c r="L77" s="37">
        <f t="shared" si="7"/>
        <v>43077.599</v>
      </c>
      <c r="M77" s="37">
        <f t="shared" si="7"/>
        <v>41631.176</v>
      </c>
      <c r="N77" s="37">
        <f t="shared" si="7"/>
        <v>38471.546</v>
      </c>
      <c r="O77" s="38">
        <f t="shared" si="5"/>
        <v>483006.85699999996</v>
      </c>
      <c r="R77" s="26">
        <v>10191</v>
      </c>
      <c r="S77" s="26" t="s">
        <v>66</v>
      </c>
      <c r="T77" s="27">
        <v>0.0178678</v>
      </c>
      <c r="U77" s="27">
        <v>0.018581</v>
      </c>
      <c r="V77" s="27">
        <v>0.008185099999999999</v>
      </c>
      <c r="W77" s="27">
        <v>0.0088983</v>
      </c>
      <c r="X77" s="27">
        <v>0.0096827</v>
      </c>
      <c r="Y77" s="27">
        <v>0.0096827</v>
      </c>
      <c r="Z77" s="28">
        <v>125.168</v>
      </c>
      <c r="AA77" s="28">
        <v>120.364</v>
      </c>
      <c r="AB77" s="28">
        <v>125.168</v>
      </c>
      <c r="AC77" s="29">
        <v>0</v>
      </c>
      <c r="AD77" s="29"/>
    </row>
    <row r="78" spans="1:30" ht="15">
      <c r="A78" s="26">
        <v>10197</v>
      </c>
      <c r="B78" s="26" t="s">
        <v>67</v>
      </c>
      <c r="C78" s="37">
        <f t="shared" si="8"/>
        <v>14672.289</v>
      </c>
      <c r="D78" s="37">
        <f t="shared" si="7"/>
        <v>18575.651</v>
      </c>
      <c r="E78" s="37">
        <f t="shared" si="7"/>
        <v>18181.851</v>
      </c>
      <c r="F78" s="37">
        <f t="shared" si="7"/>
        <v>15017.436</v>
      </c>
      <c r="G78" s="37">
        <f t="shared" si="7"/>
        <v>13015.941</v>
      </c>
      <c r="H78" s="37">
        <f t="shared" si="7"/>
        <v>15538.404999999999</v>
      </c>
      <c r="I78" s="37">
        <f t="shared" si="7"/>
        <v>12063.503</v>
      </c>
      <c r="J78" s="37">
        <f t="shared" si="7"/>
        <v>16714.071</v>
      </c>
      <c r="K78" s="37">
        <f t="shared" si="7"/>
        <v>17859.336</v>
      </c>
      <c r="L78" s="37">
        <f t="shared" si="7"/>
        <v>16956.631</v>
      </c>
      <c r="M78" s="37">
        <f t="shared" si="7"/>
        <v>16387.275</v>
      </c>
      <c r="N78" s="37">
        <f t="shared" si="7"/>
        <v>15143.55</v>
      </c>
      <c r="O78" s="38">
        <f aca="true" t="shared" si="9" ref="O78:O141">SUM(C78:N78)</f>
        <v>190125.93899999998</v>
      </c>
      <c r="R78" s="26">
        <v>10197</v>
      </c>
      <c r="S78" s="26" t="s">
        <v>67</v>
      </c>
      <c r="T78" s="27">
        <v>0.0032219</v>
      </c>
      <c r="U78" s="27">
        <v>0.0032219</v>
      </c>
      <c r="V78" s="27">
        <v>0.0032219</v>
      </c>
      <c r="W78" s="27">
        <v>0.0032219</v>
      </c>
      <c r="X78" s="27">
        <v>0</v>
      </c>
      <c r="Y78" s="27">
        <v>0</v>
      </c>
      <c r="Z78" s="28">
        <v>21.704</v>
      </c>
      <c r="AA78" s="28">
        <v>21.704</v>
      </c>
      <c r="AB78" s="28">
        <v>21.704</v>
      </c>
      <c r="AC78" s="29">
        <v>0.08602</v>
      </c>
      <c r="AD78" s="29"/>
    </row>
    <row r="79" spans="1:30" ht="15">
      <c r="A79" s="26">
        <v>10202</v>
      </c>
      <c r="B79" s="26" t="s">
        <v>68</v>
      </c>
      <c r="C79" s="37">
        <f t="shared" si="8"/>
        <v>8447.075</v>
      </c>
      <c r="D79" s="37">
        <f t="shared" si="7"/>
        <v>10694.302</v>
      </c>
      <c r="E79" s="37">
        <f t="shared" si="7"/>
        <v>10467.586</v>
      </c>
      <c r="F79" s="37">
        <f t="shared" si="7"/>
        <v>8645.780999999999</v>
      </c>
      <c r="G79" s="37">
        <f t="shared" si="7"/>
        <v>7493.488</v>
      </c>
      <c r="H79" s="37">
        <f t="shared" si="7"/>
        <v>8945.711</v>
      </c>
      <c r="I79" s="37">
        <f t="shared" si="7"/>
        <v>6945.154</v>
      </c>
      <c r="J79" s="37">
        <f t="shared" si="7"/>
        <v>9622.562</v>
      </c>
      <c r="K79" s="37">
        <f t="shared" si="7"/>
        <v>10281.908</v>
      </c>
      <c r="L79" s="37">
        <f t="shared" si="7"/>
        <v>9762.207</v>
      </c>
      <c r="M79" s="37">
        <f t="shared" si="7"/>
        <v>9434.419</v>
      </c>
      <c r="N79" s="37">
        <f t="shared" si="7"/>
        <v>8718.387</v>
      </c>
      <c r="O79" s="38">
        <f t="shared" si="9"/>
        <v>109458.57999999999</v>
      </c>
      <c r="R79" s="26">
        <v>10202</v>
      </c>
      <c r="S79" s="26" t="s">
        <v>68</v>
      </c>
      <c r="T79" s="27">
        <v>0.0018549</v>
      </c>
      <c r="U79" s="27">
        <v>0.0018549</v>
      </c>
      <c r="V79" s="27">
        <v>0.0018549</v>
      </c>
      <c r="W79" s="27">
        <v>0.0018549</v>
      </c>
      <c r="X79" s="27">
        <v>0</v>
      </c>
      <c r="Y79" s="27">
        <v>0</v>
      </c>
      <c r="Z79" s="28">
        <v>12.495</v>
      </c>
      <c r="AA79" s="28">
        <v>12.495</v>
      </c>
      <c r="AB79" s="28">
        <v>12.495</v>
      </c>
      <c r="AC79" s="29">
        <v>0</v>
      </c>
      <c r="AD79" s="29"/>
    </row>
    <row r="80" spans="1:30" ht="15">
      <c r="A80" s="26">
        <v>10203</v>
      </c>
      <c r="B80" s="26" t="s">
        <v>69</v>
      </c>
      <c r="C80" s="37">
        <f t="shared" si="8"/>
        <v>4006.998</v>
      </c>
      <c r="D80" s="37">
        <f t="shared" si="7"/>
        <v>5073.005</v>
      </c>
      <c r="E80" s="37">
        <f t="shared" si="7"/>
        <v>4965.459000000001</v>
      </c>
      <c r="F80" s="37">
        <f t="shared" si="7"/>
        <v>4101.257</v>
      </c>
      <c r="G80" s="37">
        <f t="shared" si="7"/>
        <v>3554.65</v>
      </c>
      <c r="H80" s="37">
        <f t="shared" si="7"/>
        <v>4243.534</v>
      </c>
      <c r="I80" s="37">
        <f t="shared" si="7"/>
        <v>3294.5389999999998</v>
      </c>
      <c r="J80" s="37">
        <f t="shared" si="7"/>
        <v>4564.608</v>
      </c>
      <c r="K80" s="37">
        <f t="shared" si="7"/>
        <v>4877.38</v>
      </c>
      <c r="L80" s="37">
        <f t="shared" si="7"/>
        <v>4630.851</v>
      </c>
      <c r="M80" s="37">
        <f t="shared" si="7"/>
        <v>4475.361</v>
      </c>
      <c r="N80" s="37">
        <f t="shared" si="7"/>
        <v>4135.7</v>
      </c>
      <c r="O80" s="38">
        <f t="shared" si="9"/>
        <v>51923.342</v>
      </c>
      <c r="R80" s="26">
        <v>10203</v>
      </c>
      <c r="S80" s="26" t="s">
        <v>69</v>
      </c>
      <c r="T80" s="27">
        <v>0.0008799</v>
      </c>
      <c r="U80" s="27">
        <v>0.0008799</v>
      </c>
      <c r="V80" s="27">
        <v>0.0008799</v>
      </c>
      <c r="W80" s="27">
        <v>0.0008799</v>
      </c>
      <c r="X80" s="27">
        <v>0</v>
      </c>
      <c r="Y80" s="27">
        <v>0</v>
      </c>
      <c r="Z80" s="28">
        <v>5.927</v>
      </c>
      <c r="AA80" s="28">
        <v>5.927</v>
      </c>
      <c r="AB80" s="28">
        <v>5.927</v>
      </c>
      <c r="AC80" s="29">
        <v>0.07645</v>
      </c>
      <c r="AD80" s="29"/>
    </row>
    <row r="81" spans="1:30" ht="15">
      <c r="A81" s="26">
        <v>10204</v>
      </c>
      <c r="B81" s="26" t="s">
        <v>70</v>
      </c>
      <c r="C81" s="37">
        <f t="shared" si="8"/>
        <v>26304.834000000003</v>
      </c>
      <c r="D81" s="37">
        <f t="shared" si="7"/>
        <v>33302.873999999996</v>
      </c>
      <c r="E81" s="37">
        <f t="shared" si="7"/>
        <v>32596.86</v>
      </c>
      <c r="F81" s="37">
        <f t="shared" si="7"/>
        <v>26923.62</v>
      </c>
      <c r="G81" s="37">
        <f t="shared" si="7"/>
        <v>23335.292</v>
      </c>
      <c r="H81" s="37">
        <f t="shared" si="7"/>
        <v>27857.626000000004</v>
      </c>
      <c r="I81" s="37">
        <f t="shared" si="7"/>
        <v>21627.738</v>
      </c>
      <c r="J81" s="37">
        <f t="shared" si="7"/>
        <v>29965.391</v>
      </c>
      <c r="K81" s="37">
        <f t="shared" si="7"/>
        <v>32018.647</v>
      </c>
      <c r="L81" s="37">
        <f t="shared" si="7"/>
        <v>30400.254999999997</v>
      </c>
      <c r="M81" s="37">
        <f t="shared" si="7"/>
        <v>29379.501</v>
      </c>
      <c r="N81" s="37">
        <f t="shared" si="7"/>
        <v>27149.722</v>
      </c>
      <c r="O81" s="38">
        <f t="shared" si="9"/>
        <v>340862.36</v>
      </c>
      <c r="R81" s="26">
        <v>10204</v>
      </c>
      <c r="S81" s="26" t="s">
        <v>70</v>
      </c>
      <c r="T81" s="27">
        <v>0.0112656</v>
      </c>
      <c r="U81" s="27">
        <v>0.0093614</v>
      </c>
      <c r="V81" s="27">
        <v>0.005776300000000001</v>
      </c>
      <c r="W81" s="27">
        <v>0.0038721000000000007</v>
      </c>
      <c r="X81" s="27">
        <v>0.0054893</v>
      </c>
      <c r="Y81" s="27">
        <v>0.0054893</v>
      </c>
      <c r="Z81" s="28">
        <v>75.889</v>
      </c>
      <c r="AA81" s="28">
        <v>75.889</v>
      </c>
      <c r="AB81" s="28">
        <v>63.062</v>
      </c>
      <c r="AC81" s="29">
        <v>0</v>
      </c>
      <c r="AD81" s="29"/>
    </row>
    <row r="82" spans="1:30" ht="15">
      <c r="A82" s="26">
        <v>10209</v>
      </c>
      <c r="B82" s="26" t="s">
        <v>71</v>
      </c>
      <c r="C82" s="37">
        <f t="shared" si="8"/>
        <v>67639.44</v>
      </c>
      <c r="D82" s="37">
        <f t="shared" si="7"/>
        <v>85633.985</v>
      </c>
      <c r="E82" s="37">
        <f t="shared" si="7"/>
        <v>83818.563</v>
      </c>
      <c r="F82" s="37">
        <f t="shared" si="7"/>
        <v>69230.56899999999</v>
      </c>
      <c r="G82" s="37">
        <f t="shared" si="7"/>
        <v>60003.651</v>
      </c>
      <c r="H82" s="37">
        <f t="shared" si="7"/>
        <v>71632.242</v>
      </c>
      <c r="I82" s="37">
        <f t="shared" si="7"/>
        <v>55612.9</v>
      </c>
      <c r="J82" s="37">
        <f t="shared" si="7"/>
        <v>77052.082</v>
      </c>
      <c r="K82" s="37">
        <f t="shared" si="7"/>
        <v>82331.764</v>
      </c>
      <c r="L82" s="37">
        <f t="shared" si="7"/>
        <v>78170.281</v>
      </c>
      <c r="M82" s="37">
        <f t="shared" si="7"/>
        <v>75545.546</v>
      </c>
      <c r="N82" s="37">
        <f t="shared" si="7"/>
        <v>69811.96</v>
      </c>
      <c r="O82" s="38">
        <f t="shared" si="9"/>
        <v>876482.9829999999</v>
      </c>
      <c r="R82" s="26">
        <v>10209</v>
      </c>
      <c r="S82" s="26" t="s">
        <v>71</v>
      </c>
      <c r="T82" s="27">
        <v>0.014853</v>
      </c>
      <c r="U82" s="27">
        <v>0.014853</v>
      </c>
      <c r="V82" s="27">
        <v>0.014853</v>
      </c>
      <c r="W82" s="27">
        <v>0.014853</v>
      </c>
      <c r="X82" s="27">
        <v>0</v>
      </c>
      <c r="Y82" s="27">
        <v>0</v>
      </c>
      <c r="Z82" s="28">
        <v>100.055</v>
      </c>
      <c r="AA82" s="28">
        <v>100.055</v>
      </c>
      <c r="AB82" s="28">
        <v>100.055</v>
      </c>
      <c r="AC82" s="29">
        <v>0.08238</v>
      </c>
      <c r="AD82" s="29"/>
    </row>
    <row r="83" spans="1:30" ht="15">
      <c r="A83" s="26">
        <v>10230</v>
      </c>
      <c r="B83" s="26" t="s">
        <v>72</v>
      </c>
      <c r="C83" s="37">
        <f t="shared" si="8"/>
        <v>6256.637</v>
      </c>
      <c r="D83" s="37">
        <f t="shared" si="7"/>
        <v>7921.129000000001</v>
      </c>
      <c r="E83" s="37">
        <f t="shared" si="7"/>
        <v>7753.203</v>
      </c>
      <c r="F83" s="37">
        <f t="shared" si="7"/>
        <v>6403.816000000001</v>
      </c>
      <c r="G83" s="37">
        <f t="shared" si="7"/>
        <v>5550.3279999999995</v>
      </c>
      <c r="H83" s="37">
        <f t="shared" si="7"/>
        <v>6625.97</v>
      </c>
      <c r="I83" s="37">
        <f t="shared" si="7"/>
        <v>5144.184</v>
      </c>
      <c r="J83" s="37">
        <f t="shared" si="7"/>
        <v>7127.305</v>
      </c>
      <c r="K83" s="37">
        <f t="shared" si="7"/>
        <v>7615.675</v>
      </c>
      <c r="L83" s="37">
        <f t="shared" si="7"/>
        <v>7230.737999999999</v>
      </c>
      <c r="M83" s="37">
        <f t="shared" si="7"/>
        <v>6987.951</v>
      </c>
      <c r="N83" s="37">
        <f t="shared" si="7"/>
        <v>6457.594</v>
      </c>
      <c r="O83" s="38">
        <f t="shared" si="9"/>
        <v>81074.53000000001</v>
      </c>
      <c r="R83" s="26">
        <v>10230</v>
      </c>
      <c r="S83" s="26" t="s">
        <v>72</v>
      </c>
      <c r="T83" s="27">
        <v>0.0013739</v>
      </c>
      <c r="U83" s="27">
        <v>0.0013739</v>
      </c>
      <c r="V83" s="27">
        <v>0.0013739</v>
      </c>
      <c r="W83" s="27">
        <v>0.0013739</v>
      </c>
      <c r="X83" s="27">
        <v>0</v>
      </c>
      <c r="Y83" s="27">
        <v>0</v>
      </c>
      <c r="Z83" s="28">
        <v>9.255</v>
      </c>
      <c r="AA83" s="28">
        <v>9.255</v>
      </c>
      <c r="AB83" s="28">
        <v>9.255</v>
      </c>
      <c r="AC83" s="29">
        <v>0.09296</v>
      </c>
      <c r="AD83" s="29"/>
    </row>
    <row r="84" spans="1:30" ht="15">
      <c r="A84" s="26">
        <v>10231</v>
      </c>
      <c r="B84" s="26" t="s">
        <v>73</v>
      </c>
      <c r="C84" s="37">
        <f t="shared" si="8"/>
        <v>23639.877</v>
      </c>
      <c r="D84" s="37">
        <f t="shared" si="7"/>
        <v>29928.942000000003</v>
      </c>
      <c r="E84" s="37">
        <f t="shared" si="7"/>
        <v>29294.455</v>
      </c>
      <c r="F84" s="37">
        <f t="shared" si="7"/>
        <v>24195.975</v>
      </c>
      <c r="G84" s="37">
        <f t="shared" si="7"/>
        <v>20971.181</v>
      </c>
      <c r="H84" s="37">
        <f t="shared" si="7"/>
        <v>25035.356</v>
      </c>
      <c r="I84" s="37">
        <f t="shared" si="7"/>
        <v>19436.621</v>
      </c>
      <c r="J84" s="37">
        <f t="shared" si="7"/>
        <v>26929.58</v>
      </c>
      <c r="K84" s="37">
        <f t="shared" si="7"/>
        <v>28774.821</v>
      </c>
      <c r="L84" s="37">
        <f t="shared" si="7"/>
        <v>27320.39</v>
      </c>
      <c r="M84" s="37">
        <f t="shared" si="7"/>
        <v>26403.049</v>
      </c>
      <c r="N84" s="37">
        <f t="shared" si="7"/>
        <v>24399.17</v>
      </c>
      <c r="O84" s="38">
        <f t="shared" si="9"/>
        <v>306329.417</v>
      </c>
      <c r="R84" s="26">
        <v>10231</v>
      </c>
      <c r="S84" s="26" t="s">
        <v>73</v>
      </c>
      <c r="T84" s="27">
        <v>0.0051911</v>
      </c>
      <c r="U84" s="27">
        <v>0.0051911</v>
      </c>
      <c r="V84" s="27">
        <v>0.0051911</v>
      </c>
      <c r="W84" s="27">
        <v>0.0051911</v>
      </c>
      <c r="X84" s="27">
        <v>0</v>
      </c>
      <c r="Y84" s="27">
        <v>0</v>
      </c>
      <c r="Z84" s="28">
        <v>34.969</v>
      </c>
      <c r="AA84" s="28">
        <v>34.969</v>
      </c>
      <c r="AB84" s="28">
        <v>34.969</v>
      </c>
      <c r="AC84" s="29">
        <v>0.09018</v>
      </c>
      <c r="AD84" s="29"/>
    </row>
    <row r="85" spans="1:30" ht="15">
      <c r="A85" s="26">
        <v>10234</v>
      </c>
      <c r="B85" s="26" t="s">
        <v>74</v>
      </c>
      <c r="C85" s="37">
        <f t="shared" si="8"/>
        <v>32887.076</v>
      </c>
      <c r="D85" s="37">
        <f t="shared" si="7"/>
        <v>41636.232</v>
      </c>
      <c r="E85" s="37">
        <f t="shared" si="7"/>
        <v>40753.553</v>
      </c>
      <c r="F85" s="37">
        <f t="shared" si="7"/>
        <v>33660.701</v>
      </c>
      <c r="G85" s="37">
        <f t="shared" si="7"/>
        <v>29174.468</v>
      </c>
      <c r="H85" s="37">
        <f t="shared" si="7"/>
        <v>34828.422999999995</v>
      </c>
      <c r="I85" s="37">
        <f t="shared" si="7"/>
        <v>27039.634</v>
      </c>
      <c r="J85" s="37">
        <f t="shared" si="7"/>
        <v>37463.612</v>
      </c>
      <c r="K85" s="37">
        <f t="shared" si="7"/>
        <v>40030.654</v>
      </c>
      <c r="L85" s="37">
        <f t="shared" si="7"/>
        <v>38007.293</v>
      </c>
      <c r="M85" s="37">
        <f t="shared" si="7"/>
        <v>36731.116</v>
      </c>
      <c r="N85" s="37">
        <f t="shared" si="7"/>
        <v>33943.380000000005</v>
      </c>
      <c r="O85" s="38">
        <f t="shared" si="9"/>
        <v>426156.14199999993</v>
      </c>
      <c r="R85" s="26">
        <v>10234</v>
      </c>
      <c r="S85" s="26" t="s">
        <v>74</v>
      </c>
      <c r="T85" s="27">
        <v>0.0072217</v>
      </c>
      <c r="U85" s="27">
        <v>0.0072217</v>
      </c>
      <c r="V85" s="27">
        <v>0.0072217</v>
      </c>
      <c r="W85" s="27">
        <v>0.0072217</v>
      </c>
      <c r="X85" s="27">
        <v>0</v>
      </c>
      <c r="Y85" s="27">
        <v>0</v>
      </c>
      <c r="Z85" s="28">
        <v>48.648</v>
      </c>
      <c r="AA85" s="28">
        <v>48.648</v>
      </c>
      <c r="AB85" s="28">
        <v>48.648</v>
      </c>
      <c r="AC85" s="29">
        <v>0</v>
      </c>
      <c r="AD85" s="29"/>
    </row>
    <row r="86" spans="1:30" ht="15">
      <c r="A86" s="26">
        <v>10235</v>
      </c>
      <c r="B86" s="26" t="s">
        <v>75</v>
      </c>
      <c r="C86" s="37">
        <f t="shared" si="8"/>
        <v>20737.661</v>
      </c>
      <c r="D86" s="37">
        <f t="shared" si="7"/>
        <v>26254.631999999998</v>
      </c>
      <c r="E86" s="37">
        <f t="shared" si="7"/>
        <v>25698.038999999997</v>
      </c>
      <c r="F86" s="37">
        <f t="shared" si="7"/>
        <v>21225.487999999998</v>
      </c>
      <c r="G86" s="37">
        <f t="shared" si="7"/>
        <v>18396.595</v>
      </c>
      <c r="H86" s="37">
        <f t="shared" si="7"/>
        <v>21961.82</v>
      </c>
      <c r="I86" s="37">
        <f t="shared" si="7"/>
        <v>17050.429</v>
      </c>
      <c r="J86" s="37">
        <f t="shared" si="7"/>
        <v>23623.495000000003</v>
      </c>
      <c r="K86" s="37">
        <f t="shared" si="7"/>
        <v>25242.199</v>
      </c>
      <c r="L86" s="37">
        <f t="shared" si="7"/>
        <v>23966.325</v>
      </c>
      <c r="M86" s="37">
        <f t="shared" si="7"/>
        <v>23161.604</v>
      </c>
      <c r="N86" s="37">
        <f t="shared" si="7"/>
        <v>21403.737</v>
      </c>
      <c r="O86" s="38">
        <f t="shared" si="9"/>
        <v>268722.024</v>
      </c>
      <c r="R86" s="26">
        <v>10235</v>
      </c>
      <c r="S86" s="26" t="s">
        <v>75</v>
      </c>
      <c r="T86" s="27">
        <v>0.0045538</v>
      </c>
      <c r="U86" s="27">
        <v>0.0045765</v>
      </c>
      <c r="V86" s="27">
        <v>0.0045538</v>
      </c>
      <c r="W86" s="27">
        <v>0.0045765</v>
      </c>
      <c r="X86" s="27">
        <v>0</v>
      </c>
      <c r="Y86" s="27">
        <v>0</v>
      </c>
      <c r="Z86" s="28">
        <v>31.587</v>
      </c>
      <c r="AA86" s="28">
        <v>30.676</v>
      </c>
      <c r="AB86" s="28">
        <v>30.829</v>
      </c>
      <c r="AC86" s="29">
        <v>0</v>
      </c>
      <c r="AD86" s="29"/>
    </row>
    <row r="87" spans="1:30" ht="15">
      <c r="A87" s="26">
        <v>10236</v>
      </c>
      <c r="B87" s="26" t="s">
        <v>76</v>
      </c>
      <c r="C87" s="37">
        <f t="shared" si="8"/>
        <v>18509.426</v>
      </c>
      <c r="D87" s="37">
        <f t="shared" si="7"/>
        <v>23433.605</v>
      </c>
      <c r="E87" s="37">
        <f t="shared" si="7"/>
        <v>22936.818</v>
      </c>
      <c r="F87" s="37">
        <f t="shared" si="7"/>
        <v>18944.836</v>
      </c>
      <c r="G87" s="37">
        <f t="shared" si="7"/>
        <v>16419.904</v>
      </c>
      <c r="H87" s="37">
        <f t="shared" si="7"/>
        <v>19602.050000000003</v>
      </c>
      <c r="I87" s="37">
        <f t="shared" si="7"/>
        <v>15218.381999999998</v>
      </c>
      <c r="J87" s="37">
        <f t="shared" si="7"/>
        <v>21085.181</v>
      </c>
      <c r="K87" s="37">
        <f t="shared" si="7"/>
        <v>22529.957000000002</v>
      </c>
      <c r="L87" s="37">
        <f t="shared" si="7"/>
        <v>21391.174</v>
      </c>
      <c r="M87" s="37">
        <f t="shared" si="7"/>
        <v>20672.92</v>
      </c>
      <c r="N87" s="37">
        <f t="shared" si="7"/>
        <v>19103.932999999997</v>
      </c>
      <c r="O87" s="38">
        <f t="shared" si="9"/>
        <v>239848.18600000002</v>
      </c>
      <c r="R87" s="26">
        <v>10236</v>
      </c>
      <c r="S87" s="26" t="s">
        <v>76</v>
      </c>
      <c r="T87" s="27">
        <v>0.0040645</v>
      </c>
      <c r="U87" s="27">
        <v>0.0040645</v>
      </c>
      <c r="V87" s="27">
        <v>0.0040645</v>
      </c>
      <c r="W87" s="27">
        <v>0.0040645</v>
      </c>
      <c r="X87" s="27">
        <v>0</v>
      </c>
      <c r="Y87" s="27">
        <v>0</v>
      </c>
      <c r="Z87" s="28">
        <v>27.761</v>
      </c>
      <c r="AA87" s="28">
        <v>27.38</v>
      </c>
      <c r="AB87" s="28">
        <v>27.38</v>
      </c>
      <c r="AC87" s="29">
        <v>0.065</v>
      </c>
      <c r="AD87" s="29"/>
    </row>
    <row r="88" spans="1:30" ht="15">
      <c r="A88" s="26">
        <v>10237</v>
      </c>
      <c r="B88" s="26" t="s">
        <v>77</v>
      </c>
      <c r="C88" s="37">
        <f t="shared" si="8"/>
        <v>29601.875</v>
      </c>
      <c r="D88" s="37">
        <f t="shared" si="7"/>
        <v>37477.048</v>
      </c>
      <c r="E88" s="37">
        <f t="shared" si="7"/>
        <v>36682.543</v>
      </c>
      <c r="F88" s="37">
        <f t="shared" si="7"/>
        <v>30298.220999999998</v>
      </c>
      <c r="G88" s="37">
        <f t="shared" si="7"/>
        <v>26260.131999999998</v>
      </c>
      <c r="H88" s="37">
        <f t="shared" si="7"/>
        <v>31349.295</v>
      </c>
      <c r="I88" s="37">
        <f t="shared" si="7"/>
        <v>24338.554</v>
      </c>
      <c r="J88" s="37">
        <f t="shared" si="7"/>
        <v>33721.245</v>
      </c>
      <c r="K88" s="37">
        <f t="shared" si="7"/>
        <v>36031.856</v>
      </c>
      <c r="L88" s="37">
        <f t="shared" si="7"/>
        <v>34210.616</v>
      </c>
      <c r="M88" s="37">
        <f t="shared" si="7"/>
        <v>33061.921</v>
      </c>
      <c r="N88" s="37">
        <f t="shared" si="7"/>
        <v>30552.661</v>
      </c>
      <c r="O88" s="38">
        <f t="shared" si="9"/>
        <v>383585.967</v>
      </c>
      <c r="R88" s="26">
        <v>10237</v>
      </c>
      <c r="S88" s="26" t="s">
        <v>77</v>
      </c>
      <c r="T88" s="27">
        <v>0.0161051</v>
      </c>
      <c r="U88" s="27">
        <v>0.0155762</v>
      </c>
      <c r="V88" s="27">
        <v>0.0065003000000000005</v>
      </c>
      <c r="W88" s="27">
        <v>0.0059714</v>
      </c>
      <c r="X88" s="27">
        <v>0.0096048</v>
      </c>
      <c r="Y88" s="27">
        <v>0.0096048</v>
      </c>
      <c r="Z88" s="28">
        <v>108.49</v>
      </c>
      <c r="AA88" s="28">
        <v>108.49</v>
      </c>
      <c r="AB88" s="28">
        <v>104.927</v>
      </c>
      <c r="AC88" s="29">
        <v>0.05147</v>
      </c>
      <c r="AD88" s="29"/>
    </row>
    <row r="89" spans="1:30" ht="15">
      <c r="A89" s="26">
        <v>10239</v>
      </c>
      <c r="B89" s="26" t="s">
        <v>78</v>
      </c>
      <c r="C89" s="37">
        <f t="shared" si="8"/>
        <v>9028.154999999999</v>
      </c>
      <c r="D89" s="37">
        <f t="shared" si="7"/>
        <v>11429.972</v>
      </c>
      <c r="E89" s="37">
        <f t="shared" si="7"/>
        <v>11187.659</v>
      </c>
      <c r="F89" s="37">
        <f t="shared" si="7"/>
        <v>9240.530999999999</v>
      </c>
      <c r="G89" s="37">
        <f t="shared" si="7"/>
        <v>8008.97</v>
      </c>
      <c r="H89" s="37">
        <f t="shared" si="7"/>
        <v>9561.092999999999</v>
      </c>
      <c r="I89" s="37">
        <f t="shared" si="7"/>
        <v>7422.915999999999</v>
      </c>
      <c r="J89" s="37">
        <f t="shared" si="7"/>
        <v>10284.505</v>
      </c>
      <c r="K89" s="37">
        <f t="shared" si="7"/>
        <v>10989.208</v>
      </c>
      <c r="L89" s="37">
        <f t="shared" si="7"/>
        <v>10433.756</v>
      </c>
      <c r="M89" s="37">
        <f t="shared" si="7"/>
        <v>10083.42</v>
      </c>
      <c r="N89" s="37">
        <f t="shared" si="7"/>
        <v>9318.132</v>
      </c>
      <c r="O89" s="38">
        <f t="shared" si="9"/>
        <v>116988.317</v>
      </c>
      <c r="R89" s="26">
        <v>10239</v>
      </c>
      <c r="S89" s="26" t="s">
        <v>78</v>
      </c>
      <c r="T89" s="27">
        <v>0.0019825</v>
      </c>
      <c r="U89" s="27">
        <v>0.0019825</v>
      </c>
      <c r="V89" s="27">
        <v>0.0019825</v>
      </c>
      <c r="W89" s="27">
        <v>0.0019825</v>
      </c>
      <c r="X89" s="27">
        <v>0</v>
      </c>
      <c r="Y89" s="27">
        <v>0</v>
      </c>
      <c r="Z89" s="28">
        <v>13.355</v>
      </c>
      <c r="AA89" s="28">
        <v>13.355</v>
      </c>
      <c r="AB89" s="28">
        <v>13.355</v>
      </c>
      <c r="AC89" s="29">
        <v>0.07682</v>
      </c>
      <c r="AD89" s="29"/>
    </row>
    <row r="90" spans="1:30" ht="15">
      <c r="A90" s="26">
        <v>10242</v>
      </c>
      <c r="B90" s="26" t="s">
        <v>79</v>
      </c>
      <c r="C90" s="37">
        <f t="shared" si="8"/>
        <v>6142.789</v>
      </c>
      <c r="D90" s="37">
        <f t="shared" si="7"/>
        <v>7776.993</v>
      </c>
      <c r="E90" s="37">
        <f t="shared" si="7"/>
        <v>7612.123</v>
      </c>
      <c r="F90" s="37">
        <f t="shared" si="7"/>
        <v>6287.29</v>
      </c>
      <c r="G90" s="37">
        <f t="shared" si="7"/>
        <v>5449.331</v>
      </c>
      <c r="H90" s="37">
        <f aca="true" t="shared" si="10" ref="D90:N113">ROUND(H$3*$V90,3)+ROUND(H$4*$V90,3)</f>
        <v>6505.402</v>
      </c>
      <c r="I90" s="37">
        <f t="shared" si="10"/>
        <v>5050.5779999999995</v>
      </c>
      <c r="J90" s="37">
        <f t="shared" si="10"/>
        <v>6997.6140000000005</v>
      </c>
      <c r="K90" s="37">
        <f t="shared" si="10"/>
        <v>7477.096</v>
      </c>
      <c r="L90" s="37">
        <f t="shared" si="10"/>
        <v>7099.164</v>
      </c>
      <c r="M90" s="37">
        <f t="shared" si="10"/>
        <v>6860.795</v>
      </c>
      <c r="N90" s="37">
        <f t="shared" si="10"/>
        <v>6340.09</v>
      </c>
      <c r="O90" s="38">
        <f t="shared" si="9"/>
        <v>79599.265</v>
      </c>
      <c r="R90" s="26">
        <v>10242</v>
      </c>
      <c r="S90" s="26" t="s">
        <v>79</v>
      </c>
      <c r="T90" s="27">
        <v>0.0013489</v>
      </c>
      <c r="U90" s="27">
        <v>0.0013489</v>
      </c>
      <c r="V90" s="27">
        <v>0.0013489</v>
      </c>
      <c r="W90" s="27">
        <v>0.0013489</v>
      </c>
      <c r="X90" s="27">
        <v>0</v>
      </c>
      <c r="Y90" s="27">
        <v>0</v>
      </c>
      <c r="Z90" s="28">
        <v>9.087</v>
      </c>
      <c r="AA90" s="28">
        <v>9.087</v>
      </c>
      <c r="AB90" s="28">
        <v>9.087</v>
      </c>
      <c r="AC90" s="29">
        <v>0.07424</v>
      </c>
      <c r="AD90" s="29"/>
    </row>
    <row r="91" spans="1:30" ht="15">
      <c r="A91" s="26">
        <v>10244</v>
      </c>
      <c r="B91" s="26" t="s">
        <v>80</v>
      </c>
      <c r="C91" s="37">
        <f t="shared" si="8"/>
        <v>55481.827000000005</v>
      </c>
      <c r="D91" s="37">
        <f t="shared" si="10"/>
        <v>70242.007</v>
      </c>
      <c r="E91" s="37">
        <f t="shared" si="10"/>
        <v>68752.89199999999</v>
      </c>
      <c r="F91" s="37">
        <f t="shared" si="10"/>
        <v>56786.965</v>
      </c>
      <c r="G91" s="37">
        <f t="shared" si="10"/>
        <v>49218.507</v>
      </c>
      <c r="H91" s="37">
        <f t="shared" si="10"/>
        <v>58756.958</v>
      </c>
      <c r="I91" s="37">
        <f t="shared" si="10"/>
        <v>45616.956</v>
      </c>
      <c r="J91" s="37">
        <f t="shared" si="10"/>
        <v>63202.628</v>
      </c>
      <c r="K91" s="37">
        <f t="shared" si="10"/>
        <v>67533.332</v>
      </c>
      <c r="L91" s="37">
        <f t="shared" si="10"/>
        <v>64119.84</v>
      </c>
      <c r="M91" s="37">
        <f t="shared" si="10"/>
        <v>61966.879</v>
      </c>
      <c r="N91" s="37">
        <f t="shared" si="10"/>
        <v>57263.856</v>
      </c>
      <c r="O91" s="38">
        <f t="shared" si="9"/>
        <v>718942.6469999999</v>
      </c>
      <c r="R91" s="26">
        <v>10244</v>
      </c>
      <c r="S91" s="26" t="s">
        <v>80</v>
      </c>
      <c r="T91" s="27">
        <v>0.0121833</v>
      </c>
      <c r="U91" s="27">
        <v>0.0121833</v>
      </c>
      <c r="V91" s="27">
        <v>0.0121833</v>
      </c>
      <c r="W91" s="27">
        <v>0.0121833</v>
      </c>
      <c r="X91" s="27">
        <v>0</v>
      </c>
      <c r="Y91" s="27">
        <v>0</v>
      </c>
      <c r="Z91" s="28">
        <v>82.071</v>
      </c>
      <c r="AA91" s="28">
        <v>82.071</v>
      </c>
      <c r="AB91" s="28">
        <v>82.071</v>
      </c>
      <c r="AC91" s="29">
        <v>0.07175</v>
      </c>
      <c r="AD91" s="29"/>
    </row>
    <row r="92" spans="1:30" ht="15">
      <c r="A92" s="26">
        <v>10246</v>
      </c>
      <c r="B92" s="26" t="s">
        <v>81</v>
      </c>
      <c r="C92" s="37">
        <f t="shared" si="8"/>
        <v>5795.325000000001</v>
      </c>
      <c r="D92" s="37">
        <f t="shared" si="10"/>
        <v>7337.091</v>
      </c>
      <c r="E92" s="37">
        <f t="shared" si="10"/>
        <v>7181.546</v>
      </c>
      <c r="F92" s="37">
        <f t="shared" si="10"/>
        <v>5931.651</v>
      </c>
      <c r="G92" s="37">
        <f t="shared" si="10"/>
        <v>5141.093000000001</v>
      </c>
      <c r="H92" s="37">
        <f t="shared" si="10"/>
        <v>6137.427</v>
      </c>
      <c r="I92" s="37">
        <f t="shared" si="10"/>
        <v>4764.894</v>
      </c>
      <c r="J92" s="37">
        <f t="shared" si="10"/>
        <v>6601.796</v>
      </c>
      <c r="K92" s="37">
        <f t="shared" si="10"/>
        <v>7054.157</v>
      </c>
      <c r="L92" s="37">
        <f t="shared" si="10"/>
        <v>6697.603000000001</v>
      </c>
      <c r="M92" s="37">
        <f t="shared" si="10"/>
        <v>6472.717</v>
      </c>
      <c r="N92" s="37">
        <f t="shared" si="10"/>
        <v>5981.465</v>
      </c>
      <c r="O92" s="38">
        <f t="shared" si="9"/>
        <v>75096.765</v>
      </c>
      <c r="R92" s="26">
        <v>10246</v>
      </c>
      <c r="S92" s="26" t="s">
        <v>81</v>
      </c>
      <c r="T92" s="27">
        <v>0.0012726</v>
      </c>
      <c r="U92" s="27">
        <v>0.0012726</v>
      </c>
      <c r="V92" s="27">
        <v>0.0012726</v>
      </c>
      <c r="W92" s="27">
        <v>0.0012726</v>
      </c>
      <c r="X92" s="27">
        <v>0</v>
      </c>
      <c r="Y92" s="27">
        <v>0</v>
      </c>
      <c r="Z92" s="28">
        <v>8.573</v>
      </c>
      <c r="AA92" s="28">
        <v>8.573</v>
      </c>
      <c r="AB92" s="28">
        <v>8.573</v>
      </c>
      <c r="AC92" s="29">
        <v>0.06195</v>
      </c>
      <c r="AD92" s="29"/>
    </row>
    <row r="93" spans="1:30" ht="15">
      <c r="A93" s="26">
        <v>10247</v>
      </c>
      <c r="B93" s="26" t="s">
        <v>82</v>
      </c>
      <c r="C93" s="37">
        <f t="shared" si="8"/>
        <v>51542.682</v>
      </c>
      <c r="D93" s="37">
        <f t="shared" si="10"/>
        <v>65254.90700000001</v>
      </c>
      <c r="E93" s="37">
        <f t="shared" si="10"/>
        <v>63871.517</v>
      </c>
      <c r="F93" s="37">
        <f t="shared" si="10"/>
        <v>52755.157</v>
      </c>
      <c r="G93" s="37">
        <f t="shared" si="10"/>
        <v>45724.05100000001</v>
      </c>
      <c r="H93" s="37">
        <f t="shared" si="10"/>
        <v>54585.282999999996</v>
      </c>
      <c r="I93" s="37">
        <f t="shared" si="10"/>
        <v>42378.206</v>
      </c>
      <c r="J93" s="37">
        <f t="shared" si="10"/>
        <v>58715.316000000006</v>
      </c>
      <c r="K93" s="37">
        <f t="shared" si="10"/>
        <v>62738.545</v>
      </c>
      <c r="L93" s="37">
        <f t="shared" si="10"/>
        <v>59567.40700000001</v>
      </c>
      <c r="M93" s="37">
        <f t="shared" si="10"/>
        <v>57567.304</v>
      </c>
      <c r="N93" s="37">
        <f t="shared" si="10"/>
        <v>53198.19</v>
      </c>
      <c r="O93" s="38">
        <f t="shared" si="9"/>
        <v>667898.565</v>
      </c>
      <c r="R93" s="26">
        <v>10247</v>
      </c>
      <c r="S93" s="26" t="s">
        <v>82</v>
      </c>
      <c r="T93" s="27">
        <v>0.0113183</v>
      </c>
      <c r="U93" s="27">
        <v>0.0113183</v>
      </c>
      <c r="V93" s="27">
        <v>0.0113183</v>
      </c>
      <c r="W93" s="27">
        <v>0.0113183</v>
      </c>
      <c r="X93" s="27">
        <v>0</v>
      </c>
      <c r="Y93" s="27">
        <v>0</v>
      </c>
      <c r="Z93" s="28">
        <v>76.244</v>
      </c>
      <c r="AA93" s="28">
        <v>76.244</v>
      </c>
      <c r="AB93" s="28">
        <v>76.244</v>
      </c>
      <c r="AC93" s="29">
        <v>0.05108</v>
      </c>
      <c r="AD93" s="29"/>
    </row>
    <row r="94" spans="1:30" ht="15">
      <c r="A94" s="26">
        <v>10256</v>
      </c>
      <c r="B94" s="26" t="s">
        <v>83</v>
      </c>
      <c r="C94" s="37">
        <f t="shared" si="8"/>
        <v>30144.247000000003</v>
      </c>
      <c r="D94" s="37">
        <f t="shared" si="10"/>
        <v>38163.711</v>
      </c>
      <c r="E94" s="37">
        <f t="shared" si="10"/>
        <v>37354.649</v>
      </c>
      <c r="F94" s="37">
        <f t="shared" si="10"/>
        <v>30853.351</v>
      </c>
      <c r="G94" s="37">
        <f t="shared" si="10"/>
        <v>26741.275999999998</v>
      </c>
      <c r="H94" s="37">
        <f t="shared" si="10"/>
        <v>31923.682999999997</v>
      </c>
      <c r="I94" s="37">
        <f t="shared" si="10"/>
        <v>24784.489999999998</v>
      </c>
      <c r="J94" s="37">
        <f t="shared" si="10"/>
        <v>34339.094</v>
      </c>
      <c r="K94" s="37">
        <f t="shared" si="10"/>
        <v>36692.04</v>
      </c>
      <c r="L94" s="37">
        <f t="shared" si="10"/>
        <v>34837.431</v>
      </c>
      <c r="M94" s="37">
        <f t="shared" si="10"/>
        <v>33667.689</v>
      </c>
      <c r="N94" s="37">
        <f t="shared" si="10"/>
        <v>31112.455</v>
      </c>
      <c r="O94" s="38">
        <f t="shared" si="9"/>
        <v>390614.116</v>
      </c>
      <c r="R94" s="26">
        <v>10256</v>
      </c>
      <c r="S94" s="26" t="s">
        <v>83</v>
      </c>
      <c r="T94" s="27">
        <v>0.0066194</v>
      </c>
      <c r="U94" s="27">
        <v>0.0066194</v>
      </c>
      <c r="V94" s="27">
        <v>0.0066194</v>
      </c>
      <c r="W94" s="27">
        <v>0.0066194</v>
      </c>
      <c r="X94" s="27">
        <v>0</v>
      </c>
      <c r="Y94" s="27">
        <v>0</v>
      </c>
      <c r="Z94" s="28">
        <v>44.591</v>
      </c>
      <c r="AA94" s="28">
        <v>44.591</v>
      </c>
      <c r="AB94" s="28">
        <v>44.591</v>
      </c>
      <c r="AC94" s="29">
        <v>0.06876</v>
      </c>
      <c r="AD94" s="29"/>
    </row>
    <row r="95" spans="1:30" ht="15">
      <c r="A95" s="26">
        <v>10258</v>
      </c>
      <c r="B95" s="26" t="s">
        <v>84</v>
      </c>
      <c r="C95" s="37">
        <f t="shared" si="8"/>
        <v>24473.245000000003</v>
      </c>
      <c r="D95" s="37">
        <f t="shared" si="10"/>
        <v>30984.017</v>
      </c>
      <c r="E95" s="37">
        <f t="shared" si="10"/>
        <v>30327.162</v>
      </c>
      <c r="F95" s="37">
        <f t="shared" si="10"/>
        <v>25048.947</v>
      </c>
      <c r="G95" s="37">
        <f t="shared" si="10"/>
        <v>21710.47</v>
      </c>
      <c r="H95" s="37">
        <f t="shared" si="10"/>
        <v>25917.917999999998</v>
      </c>
      <c r="I95" s="37">
        <f t="shared" si="10"/>
        <v>20121.813000000002</v>
      </c>
      <c r="J95" s="37">
        <f t="shared" si="10"/>
        <v>27878.919</v>
      </c>
      <c r="K95" s="37">
        <f t="shared" si="10"/>
        <v>29789.21</v>
      </c>
      <c r="L95" s="37">
        <f t="shared" si="10"/>
        <v>28283.506</v>
      </c>
      <c r="M95" s="37">
        <f t="shared" si="10"/>
        <v>27333.826</v>
      </c>
      <c r="N95" s="37">
        <f t="shared" si="10"/>
        <v>25259.305</v>
      </c>
      <c r="O95" s="38">
        <f t="shared" si="9"/>
        <v>317128.338</v>
      </c>
      <c r="R95" s="26">
        <v>10258</v>
      </c>
      <c r="S95" s="26" t="s">
        <v>84</v>
      </c>
      <c r="T95" s="27">
        <v>0.0053741</v>
      </c>
      <c r="U95" s="27">
        <v>0.0053741</v>
      </c>
      <c r="V95" s="27">
        <v>0.0053741</v>
      </c>
      <c r="W95" s="27">
        <v>0.0053741</v>
      </c>
      <c r="X95" s="27">
        <v>0</v>
      </c>
      <c r="Y95" s="27">
        <v>0</v>
      </c>
      <c r="Z95" s="28">
        <v>36.202</v>
      </c>
      <c r="AA95" s="28">
        <v>36.202</v>
      </c>
      <c r="AB95" s="28">
        <v>36.202</v>
      </c>
      <c r="AC95" s="29">
        <v>0.05897</v>
      </c>
      <c r="AD95" s="29"/>
    </row>
    <row r="96" spans="1:30" ht="15">
      <c r="A96" s="26">
        <v>10259</v>
      </c>
      <c r="B96" s="26" t="s">
        <v>85</v>
      </c>
      <c r="C96" s="37">
        <f t="shared" si="8"/>
        <v>17401.456000000002</v>
      </c>
      <c r="D96" s="37">
        <f t="shared" si="10"/>
        <v>22030.875</v>
      </c>
      <c r="E96" s="37">
        <f t="shared" si="10"/>
        <v>21563.825</v>
      </c>
      <c r="F96" s="37">
        <f t="shared" si="10"/>
        <v>17810.802</v>
      </c>
      <c r="G96" s="37">
        <f t="shared" si="10"/>
        <v>15437.013</v>
      </c>
      <c r="H96" s="37">
        <f t="shared" si="10"/>
        <v>18428.676</v>
      </c>
      <c r="I96" s="37">
        <f t="shared" si="10"/>
        <v>14307.414</v>
      </c>
      <c r="J96" s="37">
        <f t="shared" si="10"/>
        <v>19823.027000000002</v>
      </c>
      <c r="K96" s="37">
        <f t="shared" si="10"/>
        <v>21181.319</v>
      </c>
      <c r="L96" s="37">
        <f t="shared" si="10"/>
        <v>20110.703999999998</v>
      </c>
      <c r="M96" s="37">
        <f t="shared" si="10"/>
        <v>19435.443</v>
      </c>
      <c r="N96" s="37">
        <f t="shared" si="10"/>
        <v>17960.375</v>
      </c>
      <c r="O96" s="38">
        <f t="shared" si="9"/>
        <v>225490.92899999997</v>
      </c>
      <c r="R96" s="26">
        <v>10259</v>
      </c>
      <c r="S96" s="26" t="s">
        <v>85</v>
      </c>
      <c r="T96" s="27">
        <v>0.0038212</v>
      </c>
      <c r="U96" s="27">
        <v>0.0038212</v>
      </c>
      <c r="V96" s="27">
        <v>0.0038212</v>
      </c>
      <c r="W96" s="27">
        <v>0.0038212</v>
      </c>
      <c r="X96" s="27">
        <v>0</v>
      </c>
      <c r="Y96" s="27">
        <v>0</v>
      </c>
      <c r="Z96" s="28">
        <v>25.741</v>
      </c>
      <c r="AA96" s="28">
        <v>25.741</v>
      </c>
      <c r="AB96" s="28">
        <v>25.741</v>
      </c>
      <c r="AC96" s="29">
        <v>0.07324</v>
      </c>
      <c r="AD96" s="29"/>
    </row>
    <row r="97" spans="1:30" ht="15">
      <c r="A97" s="26">
        <v>10260</v>
      </c>
      <c r="B97" s="26" t="s">
        <v>86</v>
      </c>
      <c r="C97" s="37">
        <f t="shared" si="8"/>
        <v>16949.706</v>
      </c>
      <c r="D97" s="37">
        <f t="shared" si="10"/>
        <v>21458.944</v>
      </c>
      <c r="E97" s="37">
        <f t="shared" si="10"/>
        <v>21004.019</v>
      </c>
      <c r="F97" s="37">
        <f t="shared" si="10"/>
        <v>17348.427</v>
      </c>
      <c r="G97" s="37">
        <f t="shared" si="10"/>
        <v>15036.261999999999</v>
      </c>
      <c r="H97" s="37">
        <f t="shared" si="10"/>
        <v>17950.260000000002</v>
      </c>
      <c r="I97" s="37">
        <f t="shared" si="10"/>
        <v>13935.987000000001</v>
      </c>
      <c r="J97" s="37">
        <f t="shared" si="10"/>
        <v>19308.412</v>
      </c>
      <c r="K97" s="37">
        <f t="shared" si="10"/>
        <v>20631.443</v>
      </c>
      <c r="L97" s="37">
        <f t="shared" si="10"/>
        <v>19588.621</v>
      </c>
      <c r="M97" s="37">
        <f t="shared" si="10"/>
        <v>18930.891</v>
      </c>
      <c r="N97" s="37">
        <f t="shared" si="10"/>
        <v>17494.117</v>
      </c>
      <c r="O97" s="38">
        <f t="shared" si="9"/>
        <v>219637.089</v>
      </c>
      <c r="R97" s="26">
        <v>10260</v>
      </c>
      <c r="S97" s="26" t="s">
        <v>86</v>
      </c>
      <c r="T97" s="27">
        <v>0.003722</v>
      </c>
      <c r="U97" s="27">
        <v>0.003722</v>
      </c>
      <c r="V97" s="27">
        <v>0.003722</v>
      </c>
      <c r="W97" s="27">
        <v>0.003722</v>
      </c>
      <c r="X97" s="27">
        <v>0</v>
      </c>
      <c r="Y97" s="27">
        <v>0</v>
      </c>
      <c r="Z97" s="28">
        <v>25.073</v>
      </c>
      <c r="AA97" s="28">
        <v>25.073</v>
      </c>
      <c r="AB97" s="28">
        <v>25.073</v>
      </c>
      <c r="AC97" s="29">
        <v>0</v>
      </c>
      <c r="AD97" s="29"/>
    </row>
    <row r="98" spans="1:30" ht="15">
      <c r="A98" s="26">
        <v>10273</v>
      </c>
      <c r="B98" s="26" t="s">
        <v>87</v>
      </c>
      <c r="C98" s="37">
        <f t="shared" si="8"/>
        <v>3792.5080000000003</v>
      </c>
      <c r="D98" s="37">
        <f t="shared" si="10"/>
        <v>4801.4529999999995</v>
      </c>
      <c r="E98" s="37">
        <f t="shared" si="10"/>
        <v>4699.663</v>
      </c>
      <c r="F98" s="37">
        <f t="shared" si="10"/>
        <v>3881.7219999999998</v>
      </c>
      <c r="G98" s="37">
        <f t="shared" si="10"/>
        <v>3364.374</v>
      </c>
      <c r="H98" s="37">
        <f t="shared" si="10"/>
        <v>4016.383</v>
      </c>
      <c r="I98" s="37">
        <f t="shared" si="10"/>
        <v>3118.187</v>
      </c>
      <c r="J98" s="37">
        <f t="shared" si="10"/>
        <v>4320.2699999999995</v>
      </c>
      <c r="K98" s="37">
        <f t="shared" si="10"/>
        <v>4616.3</v>
      </c>
      <c r="L98" s="37">
        <f t="shared" si="10"/>
        <v>4382.968</v>
      </c>
      <c r="M98" s="37">
        <f t="shared" si="10"/>
        <v>4235.8</v>
      </c>
      <c r="N98" s="37">
        <f t="shared" si="10"/>
        <v>3914.321</v>
      </c>
      <c r="O98" s="38">
        <f t="shared" si="9"/>
        <v>49143.94899999999</v>
      </c>
      <c r="R98" s="26">
        <v>10273</v>
      </c>
      <c r="S98" s="26" t="s">
        <v>87</v>
      </c>
      <c r="T98" s="27">
        <v>0.0008328</v>
      </c>
      <c r="U98" s="27">
        <v>0.0008328</v>
      </c>
      <c r="V98" s="27">
        <v>0.0008328</v>
      </c>
      <c r="W98" s="27">
        <v>0.0008328</v>
      </c>
      <c r="X98" s="27">
        <v>0</v>
      </c>
      <c r="Y98" s="27">
        <v>0</v>
      </c>
      <c r="Z98" s="28">
        <v>5.61</v>
      </c>
      <c r="AA98" s="28">
        <v>5.61</v>
      </c>
      <c r="AB98" s="28">
        <v>5.61</v>
      </c>
      <c r="AC98" s="29">
        <v>0.10555</v>
      </c>
      <c r="AD98" s="29"/>
    </row>
    <row r="99" spans="1:30" ht="15">
      <c r="A99" s="26">
        <v>10278</v>
      </c>
      <c r="B99" s="26" t="s">
        <v>88</v>
      </c>
      <c r="C99" s="37">
        <f t="shared" si="8"/>
        <v>23168.546000000002</v>
      </c>
      <c r="D99" s="37">
        <f t="shared" si="10"/>
        <v>29332.22</v>
      </c>
      <c r="E99" s="37">
        <f t="shared" si="10"/>
        <v>28710.383</v>
      </c>
      <c r="F99" s="37">
        <f t="shared" si="10"/>
        <v>23713.556</v>
      </c>
      <c r="G99" s="37">
        <f t="shared" si="10"/>
        <v>20553.059</v>
      </c>
      <c r="H99" s="37">
        <f t="shared" si="10"/>
        <v>24536.201</v>
      </c>
      <c r="I99" s="37">
        <f t="shared" si="10"/>
        <v>19049.094</v>
      </c>
      <c r="J99" s="37">
        <f t="shared" si="10"/>
        <v>26392.660000000003</v>
      </c>
      <c r="K99" s="37">
        <f t="shared" si="10"/>
        <v>28201.108999999997</v>
      </c>
      <c r="L99" s="37">
        <f t="shared" si="10"/>
        <v>26775.676</v>
      </c>
      <c r="M99" s="37">
        <f t="shared" si="10"/>
        <v>25876.625</v>
      </c>
      <c r="N99" s="37">
        <f t="shared" si="10"/>
        <v>23912.699</v>
      </c>
      <c r="O99" s="38">
        <f t="shared" si="9"/>
        <v>300221.82800000004</v>
      </c>
      <c r="R99" s="26">
        <v>10278</v>
      </c>
      <c r="S99" s="26" t="s">
        <v>88</v>
      </c>
      <c r="T99" s="27">
        <v>0.0050876</v>
      </c>
      <c r="U99" s="27">
        <v>0.0050876</v>
      </c>
      <c r="V99" s="27">
        <v>0.0050876</v>
      </c>
      <c r="W99" s="27">
        <v>0.0050876</v>
      </c>
      <c r="X99" s="27">
        <v>0</v>
      </c>
      <c r="Y99" s="27">
        <v>0</v>
      </c>
      <c r="Z99" s="28">
        <v>34.272</v>
      </c>
      <c r="AA99" s="28">
        <v>34.272</v>
      </c>
      <c r="AB99" s="28">
        <v>34.272</v>
      </c>
      <c r="AC99" s="29">
        <v>0.07294</v>
      </c>
      <c r="AD99" s="29"/>
    </row>
    <row r="100" spans="1:30" ht="15">
      <c r="A100" s="26">
        <v>10279</v>
      </c>
      <c r="B100" s="26" t="s">
        <v>89</v>
      </c>
      <c r="C100" s="37">
        <f t="shared" si="8"/>
        <v>41764.041</v>
      </c>
      <c r="D100" s="37">
        <f t="shared" si="10"/>
        <v>52874.791</v>
      </c>
      <c r="E100" s="37">
        <f t="shared" si="10"/>
        <v>51753.857</v>
      </c>
      <c r="F100" s="37">
        <f t="shared" si="10"/>
        <v>42746.486000000004</v>
      </c>
      <c r="G100" s="37">
        <f t="shared" si="10"/>
        <v>37049.316</v>
      </c>
      <c r="H100" s="37">
        <f t="shared" si="10"/>
        <v>44229.401</v>
      </c>
      <c r="I100" s="37">
        <f t="shared" si="10"/>
        <v>34338.242</v>
      </c>
      <c r="J100" s="37">
        <f t="shared" si="10"/>
        <v>47575.886</v>
      </c>
      <c r="K100" s="37">
        <f t="shared" si="10"/>
        <v>50835.831</v>
      </c>
      <c r="L100" s="37">
        <f t="shared" si="10"/>
        <v>48266.32</v>
      </c>
      <c r="M100" s="37">
        <f t="shared" si="10"/>
        <v>46645.675</v>
      </c>
      <c r="N100" s="37">
        <f t="shared" si="10"/>
        <v>43105.466</v>
      </c>
      <c r="O100" s="38">
        <f t="shared" si="9"/>
        <v>541185.3119999999</v>
      </c>
      <c r="R100" s="26">
        <v>10279</v>
      </c>
      <c r="S100" s="26" t="s">
        <v>89</v>
      </c>
      <c r="T100" s="27">
        <v>0.009171</v>
      </c>
      <c r="U100" s="27">
        <v>0.009171</v>
      </c>
      <c r="V100" s="27">
        <v>0.009171</v>
      </c>
      <c r="W100" s="27">
        <v>0.009171</v>
      </c>
      <c r="X100" s="27">
        <v>0</v>
      </c>
      <c r="Y100" s="27">
        <v>0</v>
      </c>
      <c r="Z100" s="28">
        <v>61.779</v>
      </c>
      <c r="AA100" s="28">
        <v>61.779</v>
      </c>
      <c r="AB100" s="28">
        <v>61.779</v>
      </c>
      <c r="AC100" s="29">
        <v>0</v>
      </c>
      <c r="AD100" s="29"/>
    </row>
    <row r="101" spans="1:30" ht="15">
      <c r="A101" s="26">
        <v>10284</v>
      </c>
      <c r="B101" s="26" t="s">
        <v>90</v>
      </c>
      <c r="C101" s="37">
        <f t="shared" si="8"/>
        <v>6550.82</v>
      </c>
      <c r="D101" s="37">
        <f t="shared" si="10"/>
        <v>8293.576000000001</v>
      </c>
      <c r="E101" s="37">
        <f t="shared" si="10"/>
        <v>8117.754000000001</v>
      </c>
      <c r="F101" s="37">
        <f t="shared" si="10"/>
        <v>6704.919</v>
      </c>
      <c r="G101" s="37">
        <f t="shared" si="10"/>
        <v>5811.3009999999995</v>
      </c>
      <c r="H101" s="37">
        <f t="shared" si="10"/>
        <v>6937.52</v>
      </c>
      <c r="I101" s="37">
        <f t="shared" si="10"/>
        <v>5386.061</v>
      </c>
      <c r="J101" s="37">
        <f t="shared" si="10"/>
        <v>7462.426</v>
      </c>
      <c r="K101" s="37">
        <f t="shared" si="10"/>
        <v>7973.759</v>
      </c>
      <c r="L101" s="37">
        <f t="shared" si="10"/>
        <v>7570.723</v>
      </c>
      <c r="M101" s="37">
        <f t="shared" si="10"/>
        <v>7316.519</v>
      </c>
      <c r="N101" s="37">
        <f t="shared" si="10"/>
        <v>6761.226999999999</v>
      </c>
      <c r="O101" s="38">
        <f t="shared" si="9"/>
        <v>84886.605</v>
      </c>
      <c r="R101" s="26">
        <v>10284</v>
      </c>
      <c r="S101" s="26" t="s">
        <v>90</v>
      </c>
      <c r="T101" s="27">
        <v>0.0014385000000000001</v>
      </c>
      <c r="U101" s="27">
        <v>0.0014385000000000001</v>
      </c>
      <c r="V101" s="27">
        <v>0.0014385000000000001</v>
      </c>
      <c r="W101" s="27">
        <v>0.0014385000000000001</v>
      </c>
      <c r="X101" s="27">
        <v>0</v>
      </c>
      <c r="Y101" s="27">
        <v>0</v>
      </c>
      <c r="Z101" s="28">
        <v>9.69</v>
      </c>
      <c r="AA101" s="28">
        <v>9.69</v>
      </c>
      <c r="AB101" s="28">
        <v>9.69</v>
      </c>
      <c r="AC101" s="29">
        <v>0.05048</v>
      </c>
      <c r="AD101" s="29"/>
    </row>
    <row r="102" spans="1:30" ht="15">
      <c r="A102" s="26">
        <v>10285</v>
      </c>
      <c r="B102" s="26" t="s">
        <v>91</v>
      </c>
      <c r="C102" s="37">
        <f t="shared" si="8"/>
        <v>4210.104</v>
      </c>
      <c r="D102" s="37">
        <f t="shared" si="10"/>
        <v>5330.143</v>
      </c>
      <c r="E102" s="37">
        <f t="shared" si="10"/>
        <v>5217.145</v>
      </c>
      <c r="F102" s="37">
        <f t="shared" si="10"/>
        <v>4309.14</v>
      </c>
      <c r="G102" s="37">
        <f t="shared" si="10"/>
        <v>3734.826</v>
      </c>
      <c r="H102" s="37">
        <f t="shared" si="10"/>
        <v>4458.628</v>
      </c>
      <c r="I102" s="37">
        <f t="shared" si="10"/>
        <v>3461.531</v>
      </c>
      <c r="J102" s="37">
        <f t="shared" si="10"/>
        <v>4795.978</v>
      </c>
      <c r="K102" s="37">
        <f t="shared" si="10"/>
        <v>5124.602</v>
      </c>
      <c r="L102" s="37">
        <f t="shared" si="10"/>
        <v>4865.577</v>
      </c>
      <c r="M102" s="37">
        <f t="shared" si="10"/>
        <v>4702.205</v>
      </c>
      <c r="N102" s="37">
        <f t="shared" si="10"/>
        <v>4345.3279999999995</v>
      </c>
      <c r="O102" s="38">
        <f t="shared" si="9"/>
        <v>54555.207</v>
      </c>
      <c r="R102" s="26">
        <v>10285</v>
      </c>
      <c r="S102" s="26" t="s">
        <v>91</v>
      </c>
      <c r="T102" s="27">
        <v>0.0009245</v>
      </c>
      <c r="U102" s="27">
        <v>0.0009245</v>
      </c>
      <c r="V102" s="27">
        <v>0.0009245</v>
      </c>
      <c r="W102" s="27">
        <v>0.0009245</v>
      </c>
      <c r="X102" s="27">
        <v>0</v>
      </c>
      <c r="Y102" s="27">
        <v>0</v>
      </c>
      <c r="Z102" s="28">
        <v>6.228</v>
      </c>
      <c r="AA102" s="28">
        <v>6.228</v>
      </c>
      <c r="AB102" s="28">
        <v>6.228</v>
      </c>
      <c r="AC102" s="29">
        <v>0.07233</v>
      </c>
      <c r="AD102" s="29"/>
    </row>
    <row r="103" spans="1:30" ht="15">
      <c r="A103" s="26">
        <v>10286</v>
      </c>
      <c r="B103" s="26" t="s">
        <v>92</v>
      </c>
      <c r="C103" s="37">
        <f t="shared" si="8"/>
        <v>29606.429000000004</v>
      </c>
      <c r="D103" s="37">
        <f t="shared" si="10"/>
        <v>37482.812999999995</v>
      </c>
      <c r="E103" s="37">
        <f t="shared" si="10"/>
        <v>36688.186</v>
      </c>
      <c r="F103" s="37">
        <f t="shared" si="10"/>
        <v>30302.881</v>
      </c>
      <c r="G103" s="37">
        <f t="shared" si="10"/>
        <v>26264.171000000002</v>
      </c>
      <c r="H103" s="37">
        <f t="shared" si="10"/>
        <v>31354.117</v>
      </c>
      <c r="I103" s="37">
        <f t="shared" si="10"/>
        <v>24342.298000000003</v>
      </c>
      <c r="J103" s="37">
        <f t="shared" si="10"/>
        <v>33726.432</v>
      </c>
      <c r="K103" s="37">
        <f t="shared" si="10"/>
        <v>36037.4</v>
      </c>
      <c r="L103" s="37">
        <f t="shared" si="10"/>
        <v>34215.878</v>
      </c>
      <c r="M103" s="37">
        <f t="shared" si="10"/>
        <v>33067.007</v>
      </c>
      <c r="N103" s="37">
        <f t="shared" si="10"/>
        <v>30557.362</v>
      </c>
      <c r="O103" s="38">
        <f t="shared" si="9"/>
        <v>383644.974</v>
      </c>
      <c r="R103" s="26">
        <v>10286</v>
      </c>
      <c r="S103" s="26" t="s">
        <v>92</v>
      </c>
      <c r="T103" s="27">
        <v>0.0065013</v>
      </c>
      <c r="U103" s="27">
        <v>0.0065013</v>
      </c>
      <c r="V103" s="27">
        <v>0.0065013</v>
      </c>
      <c r="W103" s="27">
        <v>0.0065013</v>
      </c>
      <c r="X103" s="27">
        <v>0</v>
      </c>
      <c r="Y103" s="27">
        <v>0</v>
      </c>
      <c r="Z103" s="28">
        <v>43.795</v>
      </c>
      <c r="AA103" s="28">
        <v>43.795</v>
      </c>
      <c r="AB103" s="28">
        <v>43.795</v>
      </c>
      <c r="AC103" s="29">
        <v>0</v>
      </c>
      <c r="AD103" s="29"/>
    </row>
    <row r="104" spans="1:30" ht="15">
      <c r="A104" s="26">
        <v>10288</v>
      </c>
      <c r="B104" s="26" t="s">
        <v>93</v>
      </c>
      <c r="C104" s="37">
        <f t="shared" si="8"/>
        <v>15950.119999999999</v>
      </c>
      <c r="D104" s="37">
        <f t="shared" si="10"/>
        <v>20193.431</v>
      </c>
      <c r="E104" s="37">
        <f t="shared" si="10"/>
        <v>19765.335</v>
      </c>
      <c r="F104" s="37">
        <f t="shared" si="10"/>
        <v>16325.326</v>
      </c>
      <c r="G104" s="37">
        <f t="shared" si="10"/>
        <v>14149.518</v>
      </c>
      <c r="H104" s="37">
        <f t="shared" si="10"/>
        <v>16891.667</v>
      </c>
      <c r="I104" s="37">
        <f t="shared" si="10"/>
        <v>13114.131000000001</v>
      </c>
      <c r="J104" s="37">
        <f t="shared" si="10"/>
        <v>18169.724000000002</v>
      </c>
      <c r="K104" s="37">
        <f t="shared" si="10"/>
        <v>19414.732</v>
      </c>
      <c r="L104" s="37">
        <f t="shared" si="10"/>
        <v>18433.408</v>
      </c>
      <c r="M104" s="37">
        <f t="shared" si="10"/>
        <v>17814.467</v>
      </c>
      <c r="N104" s="37">
        <f t="shared" si="10"/>
        <v>16462.425000000003</v>
      </c>
      <c r="O104" s="38">
        <f t="shared" si="9"/>
        <v>206684.28399999999</v>
      </c>
      <c r="R104" s="26">
        <v>10288</v>
      </c>
      <c r="S104" s="26" t="s">
        <v>93</v>
      </c>
      <c r="T104" s="27">
        <v>0.0035025</v>
      </c>
      <c r="U104" s="27">
        <v>0.0035025</v>
      </c>
      <c r="V104" s="27">
        <v>0.0035025</v>
      </c>
      <c r="W104" s="27">
        <v>0.0035025</v>
      </c>
      <c r="X104" s="27">
        <v>0</v>
      </c>
      <c r="Y104" s="27">
        <v>0</v>
      </c>
      <c r="Z104" s="28">
        <v>23.594</v>
      </c>
      <c r="AA104" s="28">
        <v>23.594</v>
      </c>
      <c r="AB104" s="28">
        <v>23.594</v>
      </c>
      <c r="AC104" s="29">
        <v>0.05832</v>
      </c>
      <c r="AD104" s="29"/>
    </row>
    <row r="105" spans="1:30" ht="15">
      <c r="A105" s="26">
        <v>10291</v>
      </c>
      <c r="B105" s="26" t="s">
        <v>174</v>
      </c>
      <c r="C105" s="37">
        <f t="shared" si="8"/>
        <v>51061.333</v>
      </c>
      <c r="D105" s="37">
        <f t="shared" si="10"/>
        <v>64645.501000000004</v>
      </c>
      <c r="E105" s="37">
        <f t="shared" si="10"/>
        <v>63275.03</v>
      </c>
      <c r="F105" s="37">
        <f t="shared" si="10"/>
        <v>52262.484</v>
      </c>
      <c r="G105" s="37">
        <f t="shared" si="10"/>
        <v>45297.041</v>
      </c>
      <c r="H105" s="37">
        <f t="shared" si="10"/>
        <v>54075.519</v>
      </c>
      <c r="I105" s="37">
        <f t="shared" si="10"/>
        <v>41982.442</v>
      </c>
      <c r="J105" s="37">
        <f t="shared" si="10"/>
        <v>58166.981</v>
      </c>
      <c r="K105" s="37">
        <f t="shared" si="10"/>
        <v>62152.638000000006</v>
      </c>
      <c r="L105" s="37">
        <f t="shared" si="10"/>
        <v>59011.116</v>
      </c>
      <c r="M105" s="37">
        <f t="shared" si="10"/>
        <v>57029.691000000006</v>
      </c>
      <c r="N105" s="37">
        <f t="shared" si="10"/>
        <v>52701.379</v>
      </c>
      <c r="O105" s="38">
        <f t="shared" si="9"/>
        <v>661661.1549999999</v>
      </c>
      <c r="R105" s="26">
        <v>10291</v>
      </c>
      <c r="S105" s="26" t="s">
        <v>174</v>
      </c>
      <c r="T105" s="27">
        <v>0.0112126</v>
      </c>
      <c r="U105" s="27">
        <v>0.0112126</v>
      </c>
      <c r="V105" s="27">
        <v>0.0112126</v>
      </c>
      <c r="W105" s="27">
        <v>0.0112126</v>
      </c>
      <c r="X105" s="27">
        <v>0</v>
      </c>
      <c r="Y105" s="27">
        <v>0</v>
      </c>
      <c r="Z105" s="28">
        <v>75.532</v>
      </c>
      <c r="AA105" s="28">
        <v>75.532</v>
      </c>
      <c r="AB105" s="28">
        <v>75.532</v>
      </c>
      <c r="AC105" s="29">
        <v>0.05316</v>
      </c>
      <c r="AD105" s="29"/>
    </row>
    <row r="106" spans="1:30" ht="15">
      <c r="A106" s="26">
        <v>10294</v>
      </c>
      <c r="B106" s="26" t="s">
        <v>94</v>
      </c>
      <c r="C106" s="37">
        <f t="shared" si="8"/>
        <v>10601.992</v>
      </c>
      <c r="D106" s="37">
        <f t="shared" si="10"/>
        <v>13422.506000000001</v>
      </c>
      <c r="E106" s="37">
        <f t="shared" si="10"/>
        <v>13137.952</v>
      </c>
      <c r="F106" s="37">
        <f t="shared" si="10"/>
        <v>10851.39</v>
      </c>
      <c r="G106" s="37">
        <f t="shared" si="10"/>
        <v>9405.136999999999</v>
      </c>
      <c r="H106" s="37">
        <f t="shared" si="10"/>
        <v>11227.833999999999</v>
      </c>
      <c r="I106" s="37">
        <f t="shared" si="10"/>
        <v>8716.919</v>
      </c>
      <c r="J106" s="37">
        <f t="shared" si="10"/>
        <v>12077.355</v>
      </c>
      <c r="K106" s="37">
        <f t="shared" si="10"/>
        <v>12904.907</v>
      </c>
      <c r="L106" s="37">
        <f t="shared" si="10"/>
        <v>12252.624</v>
      </c>
      <c r="M106" s="37">
        <f t="shared" si="10"/>
        <v>11841.216</v>
      </c>
      <c r="N106" s="37">
        <f t="shared" si="10"/>
        <v>10942.519</v>
      </c>
      <c r="O106" s="38">
        <f t="shared" si="9"/>
        <v>137382.351</v>
      </c>
      <c r="R106" s="26">
        <v>10294</v>
      </c>
      <c r="S106" s="26" t="s">
        <v>94</v>
      </c>
      <c r="T106" s="27">
        <v>0.005144</v>
      </c>
      <c r="U106" s="27">
        <v>0.005144</v>
      </c>
      <c r="V106" s="27">
        <v>0.0023281</v>
      </c>
      <c r="W106" s="27">
        <v>0.0023281</v>
      </c>
      <c r="X106" s="27">
        <v>0.0028159</v>
      </c>
      <c r="Y106" s="27">
        <v>0.0028159</v>
      </c>
      <c r="Z106" s="28">
        <v>34.652</v>
      </c>
      <c r="AA106" s="28">
        <v>34.652</v>
      </c>
      <c r="AB106" s="28">
        <v>34.652</v>
      </c>
      <c r="AC106" s="29">
        <v>0</v>
      </c>
      <c r="AD106" s="29"/>
    </row>
    <row r="107" spans="1:30" ht="15">
      <c r="A107" s="26">
        <v>10304</v>
      </c>
      <c r="B107" s="26" t="s">
        <v>95</v>
      </c>
      <c r="C107" s="37">
        <f t="shared" si="8"/>
        <v>9049.103</v>
      </c>
      <c r="D107" s="37">
        <f t="shared" si="10"/>
        <v>11456.493</v>
      </c>
      <c r="E107" s="37">
        <f t="shared" si="10"/>
        <v>11213.618</v>
      </c>
      <c r="F107" s="37">
        <f t="shared" si="10"/>
        <v>9261.971</v>
      </c>
      <c r="G107" s="37">
        <f t="shared" si="10"/>
        <v>8027.554</v>
      </c>
      <c r="H107" s="37">
        <f t="shared" si="10"/>
        <v>9583.277999999998</v>
      </c>
      <c r="I107" s="37">
        <f t="shared" si="10"/>
        <v>7440.14</v>
      </c>
      <c r="J107" s="37">
        <f t="shared" si="10"/>
        <v>10308.368</v>
      </c>
      <c r="K107" s="37">
        <f t="shared" si="10"/>
        <v>11014.706999999999</v>
      </c>
      <c r="L107" s="37">
        <f t="shared" si="10"/>
        <v>10457.966</v>
      </c>
      <c r="M107" s="37">
        <f t="shared" si="10"/>
        <v>10106.817000000001</v>
      </c>
      <c r="N107" s="37">
        <f t="shared" si="10"/>
        <v>9339.753</v>
      </c>
      <c r="O107" s="38">
        <f t="shared" si="9"/>
        <v>117259.768</v>
      </c>
      <c r="R107" s="26">
        <v>10304</v>
      </c>
      <c r="S107" s="26" t="s">
        <v>95</v>
      </c>
      <c r="T107" s="27">
        <v>0.0019871</v>
      </c>
      <c r="U107" s="27">
        <v>0.0019919</v>
      </c>
      <c r="V107" s="27">
        <v>0.0019871</v>
      </c>
      <c r="W107" s="27">
        <v>0.0019919</v>
      </c>
      <c r="X107" s="27">
        <v>0</v>
      </c>
      <c r="Y107" s="27">
        <v>0</v>
      </c>
      <c r="Z107" s="28">
        <v>13.42</v>
      </c>
      <c r="AA107" s="28">
        <v>13.386</v>
      </c>
      <c r="AB107" s="28">
        <v>13.418</v>
      </c>
      <c r="AC107" s="29">
        <v>0</v>
      </c>
      <c r="AD107" s="29"/>
    </row>
    <row r="108" spans="1:30" ht="15">
      <c r="A108" s="26">
        <v>10306</v>
      </c>
      <c r="B108" s="26" t="s">
        <v>96</v>
      </c>
      <c r="C108" s="37">
        <f t="shared" si="8"/>
        <v>15866.783</v>
      </c>
      <c r="D108" s="37">
        <f t="shared" si="10"/>
        <v>20087.924</v>
      </c>
      <c r="E108" s="37">
        <f t="shared" si="10"/>
        <v>19662.064</v>
      </c>
      <c r="F108" s="37">
        <f t="shared" si="10"/>
        <v>16240.029</v>
      </c>
      <c r="G108" s="37">
        <f t="shared" si="10"/>
        <v>14075.589</v>
      </c>
      <c r="H108" s="37">
        <f t="shared" si="10"/>
        <v>16803.41</v>
      </c>
      <c r="I108" s="37">
        <f t="shared" si="10"/>
        <v>13045.611</v>
      </c>
      <c r="J108" s="37">
        <f t="shared" si="10"/>
        <v>18074.791</v>
      </c>
      <c r="K108" s="37">
        <f t="shared" si="10"/>
        <v>19313.292</v>
      </c>
      <c r="L108" s="37">
        <f t="shared" si="10"/>
        <v>18337.095999999998</v>
      </c>
      <c r="M108" s="37">
        <f t="shared" si="10"/>
        <v>17721.389</v>
      </c>
      <c r="N108" s="37">
        <f t="shared" si="10"/>
        <v>16376.41</v>
      </c>
      <c r="O108" s="38">
        <f t="shared" si="9"/>
        <v>205604.388</v>
      </c>
      <c r="R108" s="26">
        <v>10306</v>
      </c>
      <c r="S108" s="26" t="s">
        <v>96</v>
      </c>
      <c r="T108" s="27">
        <v>0.0034842</v>
      </c>
      <c r="U108" s="27">
        <v>0</v>
      </c>
      <c r="V108" s="27">
        <v>0.0034842</v>
      </c>
      <c r="W108" s="27">
        <v>0</v>
      </c>
      <c r="X108" s="27">
        <v>0</v>
      </c>
      <c r="Y108" s="27">
        <v>0</v>
      </c>
      <c r="Z108" s="28">
        <v>24.581</v>
      </c>
      <c r="AA108" s="28">
        <v>23.471</v>
      </c>
      <c r="AB108" s="28">
        <v>0</v>
      </c>
      <c r="AC108" s="29">
        <v>0</v>
      </c>
      <c r="AD108" s="29"/>
    </row>
    <row r="109" spans="1:30" ht="15">
      <c r="A109" s="26">
        <v>10307</v>
      </c>
      <c r="B109" s="26" t="s">
        <v>97</v>
      </c>
      <c r="C109" s="37">
        <f t="shared" si="8"/>
        <v>46057.937</v>
      </c>
      <c r="D109" s="37">
        <f t="shared" si="10"/>
        <v>58311.019</v>
      </c>
      <c r="E109" s="37">
        <f t="shared" si="10"/>
        <v>57074.837</v>
      </c>
      <c r="F109" s="37">
        <f t="shared" si="10"/>
        <v>47141.389</v>
      </c>
      <c r="G109" s="37">
        <f t="shared" si="10"/>
        <v>40858.475</v>
      </c>
      <c r="H109" s="37">
        <f t="shared" si="10"/>
        <v>48776.768</v>
      </c>
      <c r="I109" s="37">
        <f t="shared" si="10"/>
        <v>37868.667</v>
      </c>
      <c r="J109" s="37">
        <f t="shared" si="10"/>
        <v>52467.317</v>
      </c>
      <c r="K109" s="37">
        <f t="shared" si="10"/>
        <v>56062.426</v>
      </c>
      <c r="L109" s="37">
        <f t="shared" si="10"/>
        <v>53228.735</v>
      </c>
      <c r="M109" s="37">
        <f t="shared" si="10"/>
        <v>51441.467000000004</v>
      </c>
      <c r="N109" s="37">
        <f t="shared" si="10"/>
        <v>47537.277</v>
      </c>
      <c r="O109" s="38">
        <f t="shared" si="9"/>
        <v>596826.314</v>
      </c>
      <c r="R109" s="26">
        <v>10307</v>
      </c>
      <c r="S109" s="26" t="s">
        <v>97</v>
      </c>
      <c r="T109" s="27">
        <v>0.0101139</v>
      </c>
      <c r="U109" s="27">
        <v>0.0101243</v>
      </c>
      <c r="V109" s="27">
        <v>0.0101139</v>
      </c>
      <c r="W109" s="27">
        <v>0.0101243</v>
      </c>
      <c r="X109" s="27">
        <v>0</v>
      </c>
      <c r="Y109" s="27">
        <v>0</v>
      </c>
      <c r="Z109" s="28">
        <v>68.667</v>
      </c>
      <c r="AA109" s="28">
        <v>68.131</v>
      </c>
      <c r="AB109" s="28">
        <v>68.201</v>
      </c>
      <c r="AC109" s="29">
        <v>0</v>
      </c>
      <c r="AD109" s="29"/>
    </row>
    <row r="110" spans="1:30" ht="15">
      <c r="A110" s="26">
        <v>10326</v>
      </c>
      <c r="B110" s="26" t="s">
        <v>98</v>
      </c>
      <c r="C110" s="37">
        <f t="shared" si="8"/>
        <v>19641.987</v>
      </c>
      <c r="D110" s="37">
        <f t="shared" si="10"/>
        <v>24867.468</v>
      </c>
      <c r="E110" s="37">
        <f t="shared" si="10"/>
        <v>24340.283000000003</v>
      </c>
      <c r="F110" s="37">
        <f t="shared" si="10"/>
        <v>20104.039</v>
      </c>
      <c r="G110" s="37">
        <f t="shared" si="10"/>
        <v>17424.611</v>
      </c>
      <c r="H110" s="37">
        <f t="shared" si="10"/>
        <v>20801.467</v>
      </c>
      <c r="I110" s="37">
        <f t="shared" si="10"/>
        <v>16149.57</v>
      </c>
      <c r="J110" s="37">
        <f t="shared" si="10"/>
        <v>22375.347999999998</v>
      </c>
      <c r="K110" s="37">
        <f t="shared" si="10"/>
        <v>23908.527000000002</v>
      </c>
      <c r="L110" s="37">
        <f t="shared" si="10"/>
        <v>22700.065</v>
      </c>
      <c r="M110" s="37">
        <f t="shared" si="10"/>
        <v>21937.861</v>
      </c>
      <c r="N110" s="37">
        <f t="shared" si="10"/>
        <v>20272.87</v>
      </c>
      <c r="O110" s="38">
        <f t="shared" si="9"/>
        <v>254524.09600000002</v>
      </c>
      <c r="R110" s="26">
        <v>10326</v>
      </c>
      <c r="S110" s="26" t="s">
        <v>98</v>
      </c>
      <c r="T110" s="27">
        <v>0.0043132</v>
      </c>
      <c r="U110" s="27">
        <v>0.0043132</v>
      </c>
      <c r="V110" s="27">
        <v>0.0043132</v>
      </c>
      <c r="W110" s="27">
        <v>0.0043132</v>
      </c>
      <c r="X110" s="27">
        <v>0</v>
      </c>
      <c r="Y110" s="27">
        <v>0</v>
      </c>
      <c r="Z110" s="28">
        <v>29.055</v>
      </c>
      <c r="AA110" s="28">
        <v>29.055</v>
      </c>
      <c r="AB110" s="28">
        <v>29.055</v>
      </c>
      <c r="AC110" s="29">
        <v>0</v>
      </c>
      <c r="AD110" s="29"/>
    </row>
    <row r="111" spans="1:30" ht="15">
      <c r="A111" s="26">
        <v>10331</v>
      </c>
      <c r="B111" s="26" t="s">
        <v>99</v>
      </c>
      <c r="C111" s="37">
        <f t="shared" si="8"/>
        <v>23603.446</v>
      </c>
      <c r="D111" s="37">
        <f t="shared" si="10"/>
        <v>29882.819000000003</v>
      </c>
      <c r="E111" s="37">
        <f t="shared" si="10"/>
        <v>29249.309999999998</v>
      </c>
      <c r="F111" s="37">
        <f t="shared" si="10"/>
        <v>24158.686</v>
      </c>
      <c r="G111" s="37">
        <f t="shared" si="10"/>
        <v>20938.862999999998</v>
      </c>
      <c r="H111" s="37">
        <f t="shared" si="10"/>
        <v>24996.773</v>
      </c>
      <c r="I111" s="37">
        <f t="shared" si="10"/>
        <v>19406.667</v>
      </c>
      <c r="J111" s="37">
        <f t="shared" si="10"/>
        <v>26888.08</v>
      </c>
      <c r="K111" s="37">
        <f t="shared" si="10"/>
        <v>28730.477</v>
      </c>
      <c r="L111" s="37">
        <f t="shared" si="10"/>
        <v>27278.286</v>
      </c>
      <c r="M111" s="37">
        <f t="shared" si="10"/>
        <v>26362.358999999997</v>
      </c>
      <c r="N111" s="37">
        <f t="shared" si="10"/>
        <v>24361.568</v>
      </c>
      <c r="O111" s="38">
        <f t="shared" si="9"/>
        <v>305857.33400000003</v>
      </c>
      <c r="R111" s="26">
        <v>10331</v>
      </c>
      <c r="S111" s="26" t="s">
        <v>99</v>
      </c>
      <c r="T111" s="27">
        <v>0.0051831</v>
      </c>
      <c r="U111" s="27">
        <v>0.0051831</v>
      </c>
      <c r="V111" s="27">
        <v>0.0051831</v>
      </c>
      <c r="W111" s="27">
        <v>0.0051831</v>
      </c>
      <c r="X111" s="27">
        <v>0</v>
      </c>
      <c r="Y111" s="27">
        <v>0</v>
      </c>
      <c r="Z111" s="28">
        <v>34.915</v>
      </c>
      <c r="AA111" s="28">
        <v>34.915</v>
      </c>
      <c r="AB111" s="28">
        <v>34.915</v>
      </c>
      <c r="AC111" s="29">
        <v>0.07099</v>
      </c>
      <c r="AD111" s="29"/>
    </row>
    <row r="112" spans="1:30" ht="15">
      <c r="A112" s="26">
        <v>10333</v>
      </c>
      <c r="B112" s="26" t="s">
        <v>100</v>
      </c>
      <c r="C112" s="37">
        <f t="shared" si="8"/>
        <v>11939.024</v>
      </c>
      <c r="D112" s="37">
        <f t="shared" si="10"/>
        <v>15115.237000000001</v>
      </c>
      <c r="E112" s="37">
        <f t="shared" si="10"/>
        <v>14794.797</v>
      </c>
      <c r="F112" s="37">
        <f t="shared" si="10"/>
        <v>12219.874</v>
      </c>
      <c r="G112" s="37">
        <f t="shared" si="10"/>
        <v>10591.232</v>
      </c>
      <c r="H112" s="37">
        <f t="shared" si="10"/>
        <v>12643.793</v>
      </c>
      <c r="I112" s="37">
        <f t="shared" si="10"/>
        <v>9816.221</v>
      </c>
      <c r="J112" s="37">
        <f t="shared" si="10"/>
        <v>13600.447</v>
      </c>
      <c r="K112" s="37">
        <f t="shared" si="10"/>
        <v>14532.363000000001</v>
      </c>
      <c r="L112" s="37">
        <f t="shared" si="10"/>
        <v>13797.82</v>
      </c>
      <c r="M112" s="37">
        <f t="shared" si="10"/>
        <v>13334.529</v>
      </c>
      <c r="N112" s="37">
        <f t="shared" si="10"/>
        <v>12322.494999999999</v>
      </c>
      <c r="O112" s="38">
        <f t="shared" si="9"/>
        <v>154707.83200000002</v>
      </c>
      <c r="R112" s="26">
        <v>10333</v>
      </c>
      <c r="S112" s="26" t="s">
        <v>100</v>
      </c>
      <c r="T112" s="27">
        <v>0.0026217</v>
      </c>
      <c r="U112" s="27">
        <v>0.0026217</v>
      </c>
      <c r="V112" s="27">
        <v>0.0026217</v>
      </c>
      <c r="W112" s="27">
        <v>0.0026217</v>
      </c>
      <c r="X112" s="27">
        <v>0</v>
      </c>
      <c r="Y112" s="27">
        <v>0</v>
      </c>
      <c r="Z112" s="28">
        <v>17.661</v>
      </c>
      <c r="AA112" s="28">
        <v>17.661</v>
      </c>
      <c r="AB112" s="28">
        <v>17.661</v>
      </c>
      <c r="AC112" s="29">
        <v>0.06379</v>
      </c>
      <c r="AD112" s="29"/>
    </row>
    <row r="113" spans="1:30" ht="15">
      <c r="A113" s="26">
        <v>10338</v>
      </c>
      <c r="B113" s="26" t="s">
        <v>101</v>
      </c>
      <c r="C113" s="37">
        <f t="shared" si="8"/>
        <v>1529.663</v>
      </c>
      <c r="D113" s="37">
        <f t="shared" si="10"/>
        <v>1936.609</v>
      </c>
      <c r="E113" s="37">
        <f t="shared" si="10"/>
        <v>1895.5539999999999</v>
      </c>
      <c r="F113" s="37">
        <f t="shared" si="10"/>
        <v>1565.647</v>
      </c>
      <c r="G113" s="37">
        <f t="shared" si="10"/>
        <v>1356.98</v>
      </c>
      <c r="H113" s="37">
        <f t="shared" si="10"/>
        <v>1619.96</v>
      </c>
      <c r="I113" s="37">
        <f t="shared" si="10"/>
        <v>1257.684</v>
      </c>
      <c r="J113" s="37">
        <f aca="true" t="shared" si="11" ref="D113:N136">ROUND(J$3*$V113,3)+ROUND(J$4*$V113,3)</f>
        <v>1742.5300000000002</v>
      </c>
      <c r="K113" s="37">
        <f t="shared" si="11"/>
        <v>1861.929</v>
      </c>
      <c r="L113" s="37">
        <f t="shared" si="11"/>
        <v>1767.817</v>
      </c>
      <c r="M113" s="37">
        <f t="shared" si="11"/>
        <v>1708.46</v>
      </c>
      <c r="N113" s="37">
        <f t="shared" si="11"/>
        <v>1578.794</v>
      </c>
      <c r="O113" s="38">
        <f t="shared" si="9"/>
        <v>19821.627</v>
      </c>
      <c r="R113" s="26">
        <v>10338</v>
      </c>
      <c r="S113" s="26" t="s">
        <v>101</v>
      </c>
      <c r="T113" s="27">
        <v>0.0003359</v>
      </c>
      <c r="U113" s="27">
        <v>0.0003359</v>
      </c>
      <c r="V113" s="27">
        <v>0.0003359</v>
      </c>
      <c r="W113" s="27">
        <v>0.0003359</v>
      </c>
      <c r="X113" s="27">
        <v>0</v>
      </c>
      <c r="Y113" s="27">
        <v>0</v>
      </c>
      <c r="Z113" s="28">
        <v>2.263</v>
      </c>
      <c r="AA113" s="28">
        <v>2.263</v>
      </c>
      <c r="AB113" s="28">
        <v>2.263</v>
      </c>
      <c r="AC113" s="29">
        <v>0.03932</v>
      </c>
      <c r="AD113" s="29"/>
    </row>
    <row r="114" spans="1:30" ht="15">
      <c r="A114" s="26">
        <v>10342</v>
      </c>
      <c r="B114" s="26" t="s">
        <v>102</v>
      </c>
      <c r="C114" s="37">
        <f t="shared" si="8"/>
        <v>24950.040999999997</v>
      </c>
      <c r="D114" s="37">
        <f t="shared" si="11"/>
        <v>31587.658</v>
      </c>
      <c r="E114" s="37">
        <f t="shared" si="11"/>
        <v>30918.006</v>
      </c>
      <c r="F114" s="37">
        <f t="shared" si="11"/>
        <v>25536.958</v>
      </c>
      <c r="G114" s="37">
        <f t="shared" si="11"/>
        <v>22133.442000000003</v>
      </c>
      <c r="H114" s="37">
        <f t="shared" si="11"/>
        <v>26422.86</v>
      </c>
      <c r="I114" s="37">
        <f t="shared" si="11"/>
        <v>20513.833</v>
      </c>
      <c r="J114" s="37">
        <f t="shared" si="11"/>
        <v>28422.066000000003</v>
      </c>
      <c r="K114" s="37">
        <f t="shared" si="11"/>
        <v>30369.573000000004</v>
      </c>
      <c r="L114" s="37">
        <f t="shared" si="11"/>
        <v>28834.534</v>
      </c>
      <c r="M114" s="37">
        <f t="shared" si="11"/>
        <v>27866.353000000003</v>
      </c>
      <c r="N114" s="37">
        <f t="shared" si="11"/>
        <v>25751.415</v>
      </c>
      <c r="O114" s="38">
        <f t="shared" si="9"/>
        <v>323306.73899999994</v>
      </c>
      <c r="R114" s="26">
        <v>10342</v>
      </c>
      <c r="S114" s="26" t="s">
        <v>102</v>
      </c>
      <c r="T114" s="27">
        <v>0.0054788</v>
      </c>
      <c r="U114" s="27">
        <v>0.0054788</v>
      </c>
      <c r="V114" s="27">
        <v>0.0054788</v>
      </c>
      <c r="W114" s="27">
        <v>0.0054788</v>
      </c>
      <c r="X114" s="27">
        <v>0</v>
      </c>
      <c r="Y114" s="27">
        <v>0</v>
      </c>
      <c r="Z114" s="28">
        <v>36.907</v>
      </c>
      <c r="AA114" s="28">
        <v>36.907</v>
      </c>
      <c r="AB114" s="28">
        <v>36.907</v>
      </c>
      <c r="AC114" s="29">
        <v>0</v>
      </c>
      <c r="AD114" s="29"/>
    </row>
    <row r="115" spans="1:30" ht="15">
      <c r="A115" s="26">
        <v>10343</v>
      </c>
      <c r="B115" s="26" t="s">
        <v>103</v>
      </c>
      <c r="C115" s="37">
        <f t="shared" si="8"/>
        <v>8123.290999999999</v>
      </c>
      <c r="D115" s="37">
        <f t="shared" si="11"/>
        <v>10284.381</v>
      </c>
      <c r="E115" s="37">
        <f t="shared" si="11"/>
        <v>10066.354</v>
      </c>
      <c r="F115" s="37">
        <f t="shared" si="11"/>
        <v>8314.380000000001</v>
      </c>
      <c r="G115" s="37">
        <f t="shared" si="11"/>
        <v>7206.255999999999</v>
      </c>
      <c r="H115" s="37">
        <f t="shared" si="11"/>
        <v>8602.814</v>
      </c>
      <c r="I115" s="37">
        <f t="shared" si="11"/>
        <v>6678.9400000000005</v>
      </c>
      <c r="J115" s="37">
        <f t="shared" si="11"/>
        <v>9253.72</v>
      </c>
      <c r="K115" s="37">
        <f t="shared" si="11"/>
        <v>9887.794</v>
      </c>
      <c r="L115" s="37">
        <f t="shared" si="11"/>
        <v>9388.011999999999</v>
      </c>
      <c r="M115" s="37">
        <f t="shared" si="11"/>
        <v>9072.789</v>
      </c>
      <c r="N115" s="37">
        <f t="shared" si="11"/>
        <v>8384.203</v>
      </c>
      <c r="O115" s="38">
        <f t="shared" si="9"/>
        <v>105262.934</v>
      </c>
      <c r="R115" s="26">
        <v>10343</v>
      </c>
      <c r="S115" s="26" t="s">
        <v>103</v>
      </c>
      <c r="T115" s="27">
        <v>0.0017838</v>
      </c>
      <c r="U115" s="27">
        <v>0.0017838</v>
      </c>
      <c r="V115" s="27">
        <v>0.0017838</v>
      </c>
      <c r="W115" s="27">
        <v>0.0017838</v>
      </c>
      <c r="X115" s="27">
        <v>0</v>
      </c>
      <c r="Y115" s="27">
        <v>0</v>
      </c>
      <c r="Z115" s="28">
        <v>29.942</v>
      </c>
      <c r="AA115" s="28">
        <v>12.016</v>
      </c>
      <c r="AB115" s="28">
        <v>12.016</v>
      </c>
      <c r="AC115" s="29">
        <v>0.07</v>
      </c>
      <c r="AD115" s="29"/>
    </row>
    <row r="116" spans="1:30" ht="15">
      <c r="A116" s="26">
        <v>10349</v>
      </c>
      <c r="B116" s="26" t="s">
        <v>104</v>
      </c>
      <c r="C116" s="37">
        <f t="shared" si="8"/>
        <v>291112.351</v>
      </c>
      <c r="D116" s="37">
        <f t="shared" si="11"/>
        <v>368558.802</v>
      </c>
      <c r="E116" s="37">
        <f t="shared" si="11"/>
        <v>360745.435</v>
      </c>
      <c r="F116" s="37">
        <f t="shared" si="11"/>
        <v>297960.389</v>
      </c>
      <c r="G116" s="37">
        <f t="shared" si="11"/>
        <v>258248.799</v>
      </c>
      <c r="H116" s="37">
        <f t="shared" si="11"/>
        <v>308296.915</v>
      </c>
      <c r="I116" s="37">
        <f t="shared" si="11"/>
        <v>239351.511</v>
      </c>
      <c r="J116" s="37">
        <f t="shared" si="11"/>
        <v>331623.28099999996</v>
      </c>
      <c r="K116" s="37">
        <f t="shared" si="11"/>
        <v>354346.419</v>
      </c>
      <c r="L116" s="37">
        <f t="shared" si="11"/>
        <v>336435.88</v>
      </c>
      <c r="M116" s="37">
        <f t="shared" si="11"/>
        <v>325139.324</v>
      </c>
      <c r="N116" s="37">
        <f t="shared" si="11"/>
        <v>300462.629</v>
      </c>
      <c r="O116" s="38">
        <f t="shared" si="9"/>
        <v>3772281.735</v>
      </c>
      <c r="R116" s="26">
        <v>10349</v>
      </c>
      <c r="S116" s="26" t="s">
        <v>104</v>
      </c>
      <c r="T116" s="27">
        <v>0.0639256</v>
      </c>
      <c r="U116" s="27">
        <v>0.0637291</v>
      </c>
      <c r="V116" s="27">
        <v>0.0639256</v>
      </c>
      <c r="W116" s="27">
        <v>0.0637291</v>
      </c>
      <c r="X116" s="27">
        <v>0</v>
      </c>
      <c r="Y116" s="27">
        <v>0</v>
      </c>
      <c r="Z116" s="28">
        <v>499.76</v>
      </c>
      <c r="AA116" s="28">
        <v>430.626</v>
      </c>
      <c r="AB116" s="28">
        <v>429.302</v>
      </c>
      <c r="AC116" s="29">
        <v>0</v>
      </c>
      <c r="AD116" s="29"/>
    </row>
    <row r="117" spans="1:30" ht="15">
      <c r="A117" s="26">
        <v>10352</v>
      </c>
      <c r="B117" s="26" t="s">
        <v>105</v>
      </c>
      <c r="C117" s="37">
        <f t="shared" si="8"/>
        <v>10257.259</v>
      </c>
      <c r="D117" s="37">
        <f t="shared" si="11"/>
        <v>12986.063</v>
      </c>
      <c r="E117" s="37">
        <f t="shared" si="11"/>
        <v>12710.761</v>
      </c>
      <c r="F117" s="37">
        <f t="shared" si="11"/>
        <v>10498.547999999999</v>
      </c>
      <c r="G117" s="37">
        <f t="shared" si="11"/>
        <v>9099.322</v>
      </c>
      <c r="H117" s="37">
        <f t="shared" si="11"/>
        <v>10862.753</v>
      </c>
      <c r="I117" s="37">
        <f t="shared" si="11"/>
        <v>8433.481</v>
      </c>
      <c r="J117" s="37">
        <f t="shared" si="11"/>
        <v>11684.65</v>
      </c>
      <c r="K117" s="37">
        <f t="shared" si="11"/>
        <v>12485.293</v>
      </c>
      <c r="L117" s="37">
        <f t="shared" si="11"/>
        <v>11854.221000000001</v>
      </c>
      <c r="M117" s="37">
        <f t="shared" si="11"/>
        <v>11456.19</v>
      </c>
      <c r="N117" s="37">
        <f t="shared" si="11"/>
        <v>10586.713</v>
      </c>
      <c r="O117" s="38">
        <f t="shared" si="9"/>
        <v>132915.254</v>
      </c>
      <c r="R117" s="26">
        <v>10352</v>
      </c>
      <c r="S117" s="26" t="s">
        <v>105</v>
      </c>
      <c r="T117" s="27">
        <v>0.0022524</v>
      </c>
      <c r="U117" s="27">
        <v>0.0022524</v>
      </c>
      <c r="V117" s="27">
        <v>0.0022524</v>
      </c>
      <c r="W117" s="27">
        <v>0.0022524</v>
      </c>
      <c r="X117" s="27">
        <v>0</v>
      </c>
      <c r="Y117" s="27">
        <v>0</v>
      </c>
      <c r="Z117" s="28">
        <v>15.173</v>
      </c>
      <c r="AA117" s="28">
        <v>15.173</v>
      </c>
      <c r="AB117" s="28">
        <v>15.173</v>
      </c>
      <c r="AC117" s="29">
        <v>0.05043</v>
      </c>
      <c r="AD117" s="29"/>
    </row>
    <row r="118" spans="1:30" ht="15">
      <c r="A118" s="26">
        <v>10354</v>
      </c>
      <c r="B118" s="26" t="s">
        <v>106</v>
      </c>
      <c r="C118" s="37">
        <f t="shared" si="8"/>
        <v>237843.731</v>
      </c>
      <c r="D118" s="37">
        <f t="shared" si="11"/>
        <v>301118.795</v>
      </c>
      <c r="E118" s="37">
        <f t="shared" si="11"/>
        <v>294735.142</v>
      </c>
      <c r="F118" s="37">
        <f t="shared" si="11"/>
        <v>243438.69299999997</v>
      </c>
      <c r="G118" s="37">
        <f t="shared" si="11"/>
        <v>210993.652</v>
      </c>
      <c r="H118" s="37">
        <f t="shared" si="11"/>
        <v>251883.81199999998</v>
      </c>
      <c r="I118" s="37">
        <f t="shared" si="11"/>
        <v>195554.247</v>
      </c>
      <c r="J118" s="37">
        <f t="shared" si="11"/>
        <v>270941.848</v>
      </c>
      <c r="K118" s="37">
        <f t="shared" si="11"/>
        <v>289507.038</v>
      </c>
      <c r="L118" s="37">
        <f t="shared" si="11"/>
        <v>274873.823</v>
      </c>
      <c r="M118" s="37">
        <f t="shared" si="11"/>
        <v>265644.345</v>
      </c>
      <c r="N118" s="37">
        <f t="shared" si="11"/>
        <v>245483.067</v>
      </c>
      <c r="O118" s="38">
        <f t="shared" si="9"/>
        <v>3082018.193</v>
      </c>
      <c r="R118" s="26">
        <v>10354</v>
      </c>
      <c r="S118" s="26" t="s">
        <v>106</v>
      </c>
      <c r="T118" s="27">
        <v>0.106592</v>
      </c>
      <c r="U118" s="27">
        <v>0.1040734</v>
      </c>
      <c r="V118" s="27">
        <v>0.052228300000000005</v>
      </c>
      <c r="W118" s="27">
        <v>0.049709699999999996</v>
      </c>
      <c r="X118" s="27">
        <v>0.0543637</v>
      </c>
      <c r="Y118" s="27">
        <v>0.0543637</v>
      </c>
      <c r="Z118" s="28">
        <v>762.234</v>
      </c>
      <c r="AA118" s="28">
        <v>718.042</v>
      </c>
      <c r="AB118" s="28">
        <v>701.076</v>
      </c>
      <c r="AC118" s="29">
        <v>0</v>
      </c>
      <c r="AD118" s="29"/>
    </row>
    <row r="119" spans="1:30" ht="15">
      <c r="A119" s="26">
        <v>10360</v>
      </c>
      <c r="B119" s="26" t="s">
        <v>175</v>
      </c>
      <c r="C119" s="37">
        <f t="shared" si="8"/>
        <v>4362.204</v>
      </c>
      <c r="D119" s="37">
        <f t="shared" si="11"/>
        <v>5522.709</v>
      </c>
      <c r="E119" s="37">
        <f t="shared" si="11"/>
        <v>5405.629000000001</v>
      </c>
      <c r="F119" s="37">
        <f t="shared" si="11"/>
        <v>4464.8189999999995</v>
      </c>
      <c r="G119" s="37">
        <f t="shared" si="11"/>
        <v>3869.756</v>
      </c>
      <c r="H119" s="37">
        <f t="shared" si="11"/>
        <v>4619.7080000000005</v>
      </c>
      <c r="I119" s="37">
        <f t="shared" si="11"/>
        <v>3586.589</v>
      </c>
      <c r="J119" s="37">
        <f t="shared" si="11"/>
        <v>4969.244</v>
      </c>
      <c r="K119" s="37">
        <f t="shared" si="11"/>
        <v>5309.741</v>
      </c>
      <c r="L119" s="37">
        <f t="shared" si="11"/>
        <v>5041.36</v>
      </c>
      <c r="M119" s="37">
        <f t="shared" si="11"/>
        <v>4872.085</v>
      </c>
      <c r="N119" s="37">
        <f t="shared" si="11"/>
        <v>4502.314</v>
      </c>
      <c r="O119" s="38">
        <f t="shared" si="9"/>
        <v>56526.158</v>
      </c>
      <c r="R119" s="26">
        <v>10360</v>
      </c>
      <c r="S119" s="26" t="s">
        <v>175</v>
      </c>
      <c r="T119" s="27">
        <v>0.0009579</v>
      </c>
      <c r="U119" s="27">
        <v>0.0009579</v>
      </c>
      <c r="V119" s="27">
        <v>0.0009579</v>
      </c>
      <c r="W119" s="27">
        <v>0.0009579</v>
      </c>
      <c r="X119" s="27">
        <v>0</v>
      </c>
      <c r="Y119" s="27">
        <v>0</v>
      </c>
      <c r="Z119" s="28">
        <v>6.453</v>
      </c>
      <c r="AA119" s="28">
        <v>6.453</v>
      </c>
      <c r="AB119" s="28">
        <v>6.453</v>
      </c>
      <c r="AC119" s="29">
        <v>0.05025</v>
      </c>
      <c r="AD119" s="29"/>
    </row>
    <row r="120" spans="1:30" ht="15">
      <c r="A120" s="26">
        <v>10363</v>
      </c>
      <c r="B120" s="26" t="s">
        <v>107</v>
      </c>
      <c r="C120" s="37">
        <f t="shared" si="8"/>
        <v>61596.837</v>
      </c>
      <c r="D120" s="37">
        <f t="shared" si="11"/>
        <v>77983.831</v>
      </c>
      <c r="E120" s="37">
        <f t="shared" si="11"/>
        <v>76330.591</v>
      </c>
      <c r="F120" s="37">
        <f t="shared" si="11"/>
        <v>63045.823000000004</v>
      </c>
      <c r="G120" s="37">
        <f t="shared" si="11"/>
        <v>54643.195999999996</v>
      </c>
      <c r="H120" s="37">
        <f t="shared" si="11"/>
        <v>65232.941</v>
      </c>
      <c r="I120" s="37">
        <f t="shared" si="11"/>
        <v>50644.69500000001</v>
      </c>
      <c r="J120" s="37">
        <f t="shared" si="11"/>
        <v>70168.59700000001</v>
      </c>
      <c r="K120" s="37">
        <f t="shared" si="11"/>
        <v>74976.615</v>
      </c>
      <c r="L120" s="37">
        <f t="shared" si="11"/>
        <v>71186.901</v>
      </c>
      <c r="M120" s="37">
        <f t="shared" si="11"/>
        <v>68796.648</v>
      </c>
      <c r="N120" s="37">
        <f t="shared" si="11"/>
        <v>63575.274</v>
      </c>
      <c r="O120" s="38">
        <f t="shared" si="9"/>
        <v>798181.949</v>
      </c>
      <c r="R120" s="26">
        <v>10363</v>
      </c>
      <c r="S120" s="26" t="s">
        <v>107</v>
      </c>
      <c r="T120" s="27">
        <v>0.0135261</v>
      </c>
      <c r="U120" s="27">
        <v>0.0135595</v>
      </c>
      <c r="V120" s="27">
        <v>0.0135261</v>
      </c>
      <c r="W120" s="27">
        <v>0.0135595</v>
      </c>
      <c r="X120" s="27">
        <v>0</v>
      </c>
      <c r="Y120" s="27">
        <v>0</v>
      </c>
      <c r="Z120" s="28">
        <v>96.063</v>
      </c>
      <c r="AA120" s="28">
        <v>91.117</v>
      </c>
      <c r="AB120" s="28">
        <v>91.342</v>
      </c>
      <c r="AC120" s="29">
        <v>0</v>
      </c>
      <c r="AD120" s="29"/>
    </row>
    <row r="121" spans="1:30" ht="15">
      <c r="A121" s="26">
        <v>10369</v>
      </c>
      <c r="B121" s="26" t="s">
        <v>108</v>
      </c>
      <c r="C121" s="37">
        <f t="shared" si="8"/>
        <v>10596.072</v>
      </c>
      <c r="D121" s="37">
        <f t="shared" si="11"/>
        <v>13415.011</v>
      </c>
      <c r="E121" s="37">
        <f t="shared" si="11"/>
        <v>13130.615</v>
      </c>
      <c r="F121" s="37">
        <f t="shared" si="11"/>
        <v>10845.33</v>
      </c>
      <c r="G121" s="37">
        <f t="shared" si="11"/>
        <v>9399.886</v>
      </c>
      <c r="H121" s="37">
        <f t="shared" si="11"/>
        <v>11221.565</v>
      </c>
      <c r="I121" s="37">
        <f t="shared" si="11"/>
        <v>8712.051</v>
      </c>
      <c r="J121" s="37">
        <f t="shared" si="11"/>
        <v>12070.611</v>
      </c>
      <c r="K121" s="37">
        <f t="shared" si="11"/>
        <v>12897.699999999999</v>
      </c>
      <c r="L121" s="37">
        <f t="shared" si="11"/>
        <v>12245.783</v>
      </c>
      <c r="M121" s="37">
        <f t="shared" si="11"/>
        <v>11834.604</v>
      </c>
      <c r="N121" s="37">
        <f t="shared" si="11"/>
        <v>10936.408</v>
      </c>
      <c r="O121" s="38">
        <f t="shared" si="9"/>
        <v>137305.636</v>
      </c>
      <c r="R121" s="26">
        <v>10369</v>
      </c>
      <c r="S121" s="26" t="s">
        <v>108</v>
      </c>
      <c r="T121" s="27">
        <v>0.0023268</v>
      </c>
      <c r="U121" s="27">
        <v>0.0023268</v>
      </c>
      <c r="V121" s="27">
        <v>0.0023268</v>
      </c>
      <c r="W121" s="27">
        <v>0.0023268</v>
      </c>
      <c r="X121" s="27">
        <v>0</v>
      </c>
      <c r="Y121" s="27">
        <v>0</v>
      </c>
      <c r="Z121" s="28">
        <v>15.674</v>
      </c>
      <c r="AA121" s="28">
        <v>15.674</v>
      </c>
      <c r="AB121" s="28">
        <v>15.674</v>
      </c>
      <c r="AC121" s="29">
        <v>0.07659</v>
      </c>
      <c r="AD121" s="29"/>
    </row>
    <row r="122" spans="1:30" ht="15">
      <c r="A122" s="26">
        <v>10370</v>
      </c>
      <c r="B122" s="26" t="s">
        <v>109</v>
      </c>
      <c r="C122" s="37">
        <f t="shared" si="8"/>
        <v>122991.024</v>
      </c>
      <c r="D122" s="37">
        <f t="shared" si="11"/>
        <v>155711.101</v>
      </c>
      <c r="E122" s="37">
        <f t="shared" si="11"/>
        <v>152410.06</v>
      </c>
      <c r="F122" s="37">
        <f t="shared" si="11"/>
        <v>125884.228</v>
      </c>
      <c r="G122" s="37">
        <f t="shared" si="11"/>
        <v>109106.619</v>
      </c>
      <c r="H122" s="37">
        <f t="shared" si="11"/>
        <v>130251.26999999999</v>
      </c>
      <c r="I122" s="37">
        <f t="shared" si="11"/>
        <v>101122.771</v>
      </c>
      <c r="J122" s="37">
        <f t="shared" si="11"/>
        <v>140106.34399999998</v>
      </c>
      <c r="K122" s="37">
        <f t="shared" si="11"/>
        <v>149706.562</v>
      </c>
      <c r="L122" s="37">
        <f t="shared" si="11"/>
        <v>142139.601</v>
      </c>
      <c r="M122" s="37">
        <f t="shared" si="11"/>
        <v>137366.96000000002</v>
      </c>
      <c r="N122" s="37">
        <f t="shared" si="11"/>
        <v>126941.39000000001</v>
      </c>
      <c r="O122" s="38">
        <f t="shared" si="9"/>
        <v>1593737.9299999997</v>
      </c>
      <c r="R122" s="26">
        <v>10370</v>
      </c>
      <c r="S122" s="26" t="s">
        <v>109</v>
      </c>
      <c r="T122" s="27">
        <v>0.0566188</v>
      </c>
      <c r="U122" s="27">
        <v>0.0539306</v>
      </c>
      <c r="V122" s="27">
        <v>0.027007699999999996</v>
      </c>
      <c r="W122" s="27">
        <v>0.0243195</v>
      </c>
      <c r="X122" s="27">
        <v>0.0296111</v>
      </c>
      <c r="Y122" s="27">
        <v>0.0296111</v>
      </c>
      <c r="Z122" s="28">
        <v>383.841</v>
      </c>
      <c r="AA122" s="28">
        <v>381.405</v>
      </c>
      <c r="AB122" s="28">
        <v>363.296</v>
      </c>
      <c r="AC122" s="29">
        <v>0</v>
      </c>
      <c r="AD122" s="29"/>
    </row>
    <row r="123" spans="1:30" ht="15">
      <c r="A123" s="26">
        <v>10371</v>
      </c>
      <c r="B123" s="26" t="s">
        <v>110</v>
      </c>
      <c r="C123" s="37">
        <f t="shared" si="8"/>
        <v>7114.596</v>
      </c>
      <c r="D123" s="37">
        <f t="shared" si="11"/>
        <v>9007.337</v>
      </c>
      <c r="E123" s="37">
        <f t="shared" si="11"/>
        <v>8816.383</v>
      </c>
      <c r="F123" s="37">
        <f t="shared" si="11"/>
        <v>7281.9580000000005</v>
      </c>
      <c r="G123" s="37">
        <f t="shared" si="11"/>
        <v>6311.432</v>
      </c>
      <c r="H123" s="37">
        <f t="shared" si="11"/>
        <v>7534.575</v>
      </c>
      <c r="I123" s="37">
        <f t="shared" si="11"/>
        <v>5849.594999999999</v>
      </c>
      <c r="J123" s="37">
        <f t="shared" si="11"/>
        <v>8104.656999999999</v>
      </c>
      <c r="K123" s="37">
        <f t="shared" si="11"/>
        <v>8659.995</v>
      </c>
      <c r="L123" s="37">
        <f t="shared" si="11"/>
        <v>8222.274</v>
      </c>
      <c r="M123" s="37">
        <f t="shared" si="11"/>
        <v>7946.193</v>
      </c>
      <c r="N123" s="37">
        <f t="shared" si="11"/>
        <v>7343.111000000001</v>
      </c>
      <c r="O123" s="38">
        <f t="shared" si="9"/>
        <v>92192.106</v>
      </c>
      <c r="R123" s="26">
        <v>10371</v>
      </c>
      <c r="S123" s="26" t="s">
        <v>110</v>
      </c>
      <c r="T123" s="27">
        <v>0.0015623</v>
      </c>
      <c r="U123" s="27">
        <v>0.0015623</v>
      </c>
      <c r="V123" s="27">
        <v>0.0015623</v>
      </c>
      <c r="W123" s="27">
        <v>0.0015623</v>
      </c>
      <c r="X123" s="27">
        <v>0</v>
      </c>
      <c r="Y123" s="27">
        <v>0</v>
      </c>
      <c r="Z123" s="28">
        <v>10.524</v>
      </c>
      <c r="AA123" s="28">
        <v>10.524</v>
      </c>
      <c r="AB123" s="28">
        <v>10.524</v>
      </c>
      <c r="AC123" s="29">
        <v>0</v>
      </c>
      <c r="AD123" s="29"/>
    </row>
    <row r="124" spans="1:30" ht="15">
      <c r="A124" s="26">
        <v>10376</v>
      </c>
      <c r="B124" s="26" t="s">
        <v>111</v>
      </c>
      <c r="C124" s="37">
        <f t="shared" si="8"/>
        <v>36130.835999999996</v>
      </c>
      <c r="D124" s="37">
        <f t="shared" si="11"/>
        <v>45742.95</v>
      </c>
      <c r="E124" s="37">
        <f t="shared" si="11"/>
        <v>44773.209</v>
      </c>
      <c r="F124" s="37">
        <f t="shared" si="11"/>
        <v>36980.768</v>
      </c>
      <c r="G124" s="37">
        <f t="shared" si="11"/>
        <v>32052.040999999997</v>
      </c>
      <c r="H124" s="37">
        <f t="shared" si="11"/>
        <v>38263.665</v>
      </c>
      <c r="I124" s="37">
        <f t="shared" si="11"/>
        <v>29706.641</v>
      </c>
      <c r="J124" s="37">
        <f t="shared" si="11"/>
        <v>41158.771</v>
      </c>
      <c r="K124" s="37">
        <f t="shared" si="11"/>
        <v>43979.009</v>
      </c>
      <c r="L124" s="37">
        <f t="shared" si="11"/>
        <v>41756.077000000005</v>
      </c>
      <c r="M124" s="37">
        <f t="shared" si="11"/>
        <v>40354.027</v>
      </c>
      <c r="N124" s="37">
        <f t="shared" si="11"/>
        <v>37291.328</v>
      </c>
      <c r="O124" s="38">
        <f t="shared" si="9"/>
        <v>468189.322</v>
      </c>
      <c r="R124" s="26">
        <v>10376</v>
      </c>
      <c r="S124" s="26" t="s">
        <v>111</v>
      </c>
      <c r="T124" s="27">
        <v>0.007934</v>
      </c>
      <c r="U124" s="27">
        <v>0.007934</v>
      </c>
      <c r="V124" s="27">
        <v>0.007934</v>
      </c>
      <c r="W124" s="27">
        <v>0.007934</v>
      </c>
      <c r="X124" s="27">
        <v>0</v>
      </c>
      <c r="Y124" s="27">
        <v>0</v>
      </c>
      <c r="Z124" s="28">
        <v>53.446</v>
      </c>
      <c r="AA124" s="28">
        <v>53.446</v>
      </c>
      <c r="AB124" s="28">
        <v>53.446</v>
      </c>
      <c r="AC124" s="29">
        <v>0</v>
      </c>
      <c r="AD124" s="29"/>
    </row>
    <row r="125" spans="1:30" ht="15">
      <c r="A125" s="26">
        <v>10378</v>
      </c>
      <c r="B125" s="26" t="s">
        <v>112</v>
      </c>
      <c r="C125" s="37">
        <f t="shared" si="8"/>
        <v>1270.089</v>
      </c>
      <c r="D125" s="37">
        <f t="shared" si="11"/>
        <v>1607.98</v>
      </c>
      <c r="E125" s="37">
        <f t="shared" si="11"/>
        <v>1573.891</v>
      </c>
      <c r="F125" s="37">
        <f t="shared" si="11"/>
        <v>1299.967</v>
      </c>
      <c r="G125" s="37">
        <f t="shared" si="11"/>
        <v>1126.71</v>
      </c>
      <c r="H125" s="37">
        <f t="shared" si="11"/>
        <v>1345.0639999999999</v>
      </c>
      <c r="I125" s="37">
        <f t="shared" si="11"/>
        <v>1044.263</v>
      </c>
      <c r="J125" s="37">
        <f t="shared" si="11"/>
        <v>1446.8339999999998</v>
      </c>
      <c r="K125" s="37">
        <f t="shared" si="11"/>
        <v>1545.972</v>
      </c>
      <c r="L125" s="37">
        <f t="shared" si="11"/>
        <v>1467.8310000000001</v>
      </c>
      <c r="M125" s="37">
        <f t="shared" si="11"/>
        <v>1418.545</v>
      </c>
      <c r="N125" s="37">
        <f t="shared" si="11"/>
        <v>1310.884</v>
      </c>
      <c r="O125" s="38">
        <f t="shared" si="9"/>
        <v>16458.03</v>
      </c>
      <c r="R125" s="26">
        <v>10378</v>
      </c>
      <c r="S125" s="26" t="s">
        <v>112</v>
      </c>
      <c r="T125" s="27">
        <v>0.0002789</v>
      </c>
      <c r="U125" s="27">
        <v>0.0002795</v>
      </c>
      <c r="V125" s="27">
        <v>0.0002789</v>
      </c>
      <c r="W125" s="27">
        <v>0.0002795</v>
      </c>
      <c r="X125" s="27">
        <v>0</v>
      </c>
      <c r="Y125" s="27">
        <v>0</v>
      </c>
      <c r="Z125" s="28">
        <v>1.928</v>
      </c>
      <c r="AA125" s="28">
        <v>1.879</v>
      </c>
      <c r="AB125" s="28">
        <v>1.883</v>
      </c>
      <c r="AC125" s="29">
        <v>0</v>
      </c>
      <c r="AD125" s="29"/>
    </row>
    <row r="126" spans="1:30" ht="15">
      <c r="A126" s="26">
        <v>10379</v>
      </c>
      <c r="B126" s="26" t="s">
        <v>113</v>
      </c>
      <c r="C126" s="37">
        <f t="shared" si="8"/>
        <v>3073.899</v>
      </c>
      <c r="D126" s="37">
        <f t="shared" si="11"/>
        <v>3891.6679999999997</v>
      </c>
      <c r="E126" s="37">
        <f t="shared" si="11"/>
        <v>3809.165</v>
      </c>
      <c r="F126" s="37">
        <f t="shared" si="11"/>
        <v>3146.208</v>
      </c>
      <c r="G126" s="37">
        <f t="shared" si="11"/>
        <v>2726.888</v>
      </c>
      <c r="H126" s="37">
        <f t="shared" si="11"/>
        <v>3255.353</v>
      </c>
      <c r="I126" s="37">
        <f t="shared" si="11"/>
        <v>2527.349</v>
      </c>
      <c r="J126" s="37">
        <f t="shared" si="11"/>
        <v>3501.66</v>
      </c>
      <c r="K126" s="37">
        <f t="shared" si="11"/>
        <v>3741.5969999999998</v>
      </c>
      <c r="L126" s="37">
        <f t="shared" si="11"/>
        <v>3552.477</v>
      </c>
      <c r="M126" s="37">
        <f t="shared" si="11"/>
        <v>3433.195</v>
      </c>
      <c r="N126" s="37">
        <f t="shared" si="11"/>
        <v>3172.63</v>
      </c>
      <c r="O126" s="38">
        <f t="shared" si="9"/>
        <v>39832.08899999999</v>
      </c>
      <c r="R126" s="26">
        <v>10379</v>
      </c>
      <c r="S126" s="26" t="s">
        <v>113</v>
      </c>
      <c r="T126" s="27">
        <v>0.000675</v>
      </c>
      <c r="U126" s="27">
        <v>0.0006783</v>
      </c>
      <c r="V126" s="27">
        <v>0.000675</v>
      </c>
      <c r="W126" s="27">
        <v>0.0006783</v>
      </c>
      <c r="X126" s="27">
        <v>0</v>
      </c>
      <c r="Y126" s="27">
        <v>0</v>
      </c>
      <c r="Z126" s="28">
        <v>4.587</v>
      </c>
      <c r="AA126" s="28">
        <v>4.547</v>
      </c>
      <c r="AB126" s="28">
        <v>4.569</v>
      </c>
      <c r="AC126" s="29">
        <v>0</v>
      </c>
      <c r="AD126" s="29"/>
    </row>
    <row r="127" spans="1:30" ht="15">
      <c r="A127" s="26">
        <v>10388</v>
      </c>
      <c r="B127" s="26" t="s">
        <v>114</v>
      </c>
      <c r="C127" s="37">
        <f t="shared" si="8"/>
        <v>73013.07</v>
      </c>
      <c r="D127" s="37">
        <f t="shared" si="11"/>
        <v>92437.197</v>
      </c>
      <c r="E127" s="37">
        <f t="shared" si="11"/>
        <v>90477.549</v>
      </c>
      <c r="F127" s="37">
        <f t="shared" si="11"/>
        <v>74730.60800000001</v>
      </c>
      <c r="G127" s="37">
        <f t="shared" si="11"/>
        <v>64770.655</v>
      </c>
      <c r="H127" s="37">
        <f t="shared" si="11"/>
        <v>77323.083</v>
      </c>
      <c r="I127" s="37">
        <f t="shared" si="11"/>
        <v>60031.079</v>
      </c>
      <c r="J127" s="37">
        <f t="shared" si="11"/>
        <v>83173.50200000001</v>
      </c>
      <c r="K127" s="37">
        <f t="shared" si="11"/>
        <v>88872.629</v>
      </c>
      <c r="L127" s="37">
        <f t="shared" si="11"/>
        <v>84380.53700000001</v>
      </c>
      <c r="M127" s="37">
        <f t="shared" si="11"/>
        <v>81547.279</v>
      </c>
      <c r="N127" s="37">
        <f t="shared" si="11"/>
        <v>75358.188</v>
      </c>
      <c r="O127" s="38">
        <f t="shared" si="9"/>
        <v>946115.3759999999</v>
      </c>
      <c r="R127" s="26">
        <v>10388</v>
      </c>
      <c r="S127" s="26" t="s">
        <v>114</v>
      </c>
      <c r="T127" s="27">
        <v>0.016033</v>
      </c>
      <c r="U127" s="27">
        <v>0.016033</v>
      </c>
      <c r="V127" s="27">
        <v>0.016033</v>
      </c>
      <c r="W127" s="27">
        <v>0.016033</v>
      </c>
      <c r="X127" s="27">
        <v>0</v>
      </c>
      <c r="Y127" s="27">
        <v>0</v>
      </c>
      <c r="Z127" s="28">
        <v>108.004</v>
      </c>
      <c r="AA127" s="28">
        <v>108.004</v>
      </c>
      <c r="AB127" s="28">
        <v>108.004</v>
      </c>
      <c r="AC127" s="29">
        <v>0.09213</v>
      </c>
      <c r="AD127" s="29"/>
    </row>
    <row r="128" spans="1:30" ht="15">
      <c r="A128" s="26">
        <v>10391</v>
      </c>
      <c r="B128" s="26" t="s">
        <v>115</v>
      </c>
      <c r="C128" s="37">
        <f t="shared" si="8"/>
        <v>19330.953999999998</v>
      </c>
      <c r="D128" s="37">
        <f t="shared" si="11"/>
        <v>24473.689</v>
      </c>
      <c r="E128" s="37">
        <f t="shared" si="11"/>
        <v>23954.852</v>
      </c>
      <c r="F128" s="37">
        <f t="shared" si="11"/>
        <v>19785.689</v>
      </c>
      <c r="G128" s="37">
        <f t="shared" si="11"/>
        <v>17148.691</v>
      </c>
      <c r="H128" s="37">
        <f t="shared" si="11"/>
        <v>20472.073</v>
      </c>
      <c r="I128" s="37">
        <f t="shared" si="11"/>
        <v>15893.84</v>
      </c>
      <c r="J128" s="37">
        <f t="shared" si="11"/>
        <v>22021.032</v>
      </c>
      <c r="K128" s="37">
        <f t="shared" si="11"/>
        <v>23529.934</v>
      </c>
      <c r="L128" s="37">
        <f t="shared" si="11"/>
        <v>22340.607</v>
      </c>
      <c r="M128" s="37">
        <f t="shared" si="11"/>
        <v>21590.472999999998</v>
      </c>
      <c r="N128" s="37">
        <f t="shared" si="11"/>
        <v>19951.847999999998</v>
      </c>
      <c r="O128" s="38">
        <f t="shared" si="9"/>
        <v>250493.682</v>
      </c>
      <c r="R128" s="26">
        <v>10391</v>
      </c>
      <c r="S128" s="26" t="s">
        <v>115</v>
      </c>
      <c r="T128" s="27">
        <v>0.0042449</v>
      </c>
      <c r="U128" s="27">
        <v>0.0042449</v>
      </c>
      <c r="V128" s="27">
        <v>0.0042449</v>
      </c>
      <c r="W128" s="27">
        <v>0.0042449</v>
      </c>
      <c r="X128" s="27">
        <v>0</v>
      </c>
      <c r="Y128" s="27">
        <v>0</v>
      </c>
      <c r="Z128" s="28">
        <v>28.595</v>
      </c>
      <c r="AA128" s="28">
        <v>28.595</v>
      </c>
      <c r="AB128" s="28">
        <v>28.595</v>
      </c>
      <c r="AC128" s="29">
        <v>0.03412</v>
      </c>
      <c r="AD128" s="29"/>
    </row>
    <row r="129" spans="1:30" ht="15">
      <c r="A129" s="26">
        <v>10406</v>
      </c>
      <c r="B129" s="26" t="s">
        <v>116</v>
      </c>
      <c r="C129" s="37">
        <f t="shared" si="8"/>
        <v>295.549</v>
      </c>
      <c r="D129" s="37">
        <f t="shared" si="11"/>
        <v>374.177</v>
      </c>
      <c r="E129" s="37">
        <f t="shared" si="11"/>
        <v>366.244</v>
      </c>
      <c r="F129" s="37">
        <f t="shared" si="11"/>
        <v>302.503</v>
      </c>
      <c r="G129" s="37">
        <f t="shared" si="11"/>
        <v>262.185</v>
      </c>
      <c r="H129" s="37">
        <f t="shared" si="11"/>
        <v>312.996</v>
      </c>
      <c r="I129" s="37">
        <f t="shared" si="11"/>
        <v>243</v>
      </c>
      <c r="J129" s="37">
        <f t="shared" si="11"/>
        <v>336.67900000000003</v>
      </c>
      <c r="K129" s="37">
        <f t="shared" si="11"/>
        <v>359.747</v>
      </c>
      <c r="L129" s="37">
        <f t="shared" si="11"/>
        <v>341.565</v>
      </c>
      <c r="M129" s="37">
        <f t="shared" si="11"/>
        <v>330.095</v>
      </c>
      <c r="N129" s="37">
        <f t="shared" si="11"/>
        <v>305.043</v>
      </c>
      <c r="O129" s="38">
        <f t="shared" si="9"/>
        <v>3829.783</v>
      </c>
      <c r="R129" s="26">
        <v>10406</v>
      </c>
      <c r="S129" s="26" t="s">
        <v>116</v>
      </c>
      <c r="T129" s="27">
        <v>6.49E-05</v>
      </c>
      <c r="U129" s="27">
        <v>6.49E-05</v>
      </c>
      <c r="V129" s="27">
        <v>6.49E-05</v>
      </c>
      <c r="W129" s="27">
        <v>6.49E-05</v>
      </c>
      <c r="X129" s="27">
        <v>0</v>
      </c>
      <c r="Y129" s="27">
        <v>0</v>
      </c>
      <c r="Z129" s="28">
        <v>0.437</v>
      </c>
      <c r="AA129" s="28">
        <v>0.437</v>
      </c>
      <c r="AB129" s="28">
        <v>0.437</v>
      </c>
      <c r="AC129" s="29">
        <v>0</v>
      </c>
      <c r="AD129" s="29"/>
    </row>
    <row r="130" spans="1:30" ht="15">
      <c r="A130" s="26">
        <v>10408</v>
      </c>
      <c r="B130" s="26" t="s">
        <v>117</v>
      </c>
      <c r="C130" s="37">
        <f t="shared" si="8"/>
        <v>985.0140000000001</v>
      </c>
      <c r="D130" s="37">
        <f t="shared" si="11"/>
        <v>1247.064</v>
      </c>
      <c r="E130" s="37">
        <f t="shared" si="11"/>
        <v>1220.626</v>
      </c>
      <c r="F130" s="37">
        <f t="shared" si="11"/>
        <v>1008.1850000000001</v>
      </c>
      <c r="G130" s="37">
        <f t="shared" si="11"/>
        <v>873.816</v>
      </c>
      <c r="H130" s="37">
        <f t="shared" si="11"/>
        <v>1043.1599999999999</v>
      </c>
      <c r="I130" s="37">
        <f t="shared" si="11"/>
        <v>809.875</v>
      </c>
      <c r="J130" s="37">
        <f t="shared" si="11"/>
        <v>1122.087</v>
      </c>
      <c r="K130" s="37">
        <f t="shared" si="11"/>
        <v>1198.974</v>
      </c>
      <c r="L130" s="37">
        <f t="shared" si="11"/>
        <v>1138.372</v>
      </c>
      <c r="M130" s="37">
        <f t="shared" si="11"/>
        <v>1100.149</v>
      </c>
      <c r="N130" s="37">
        <f t="shared" si="11"/>
        <v>1016.652</v>
      </c>
      <c r="O130" s="38">
        <f t="shared" si="9"/>
        <v>12763.974</v>
      </c>
      <c r="R130" s="26">
        <v>10408</v>
      </c>
      <c r="S130" s="26" t="s">
        <v>117</v>
      </c>
      <c r="T130" s="27">
        <v>0.0002163</v>
      </c>
      <c r="U130" s="27">
        <v>0.0002163</v>
      </c>
      <c r="V130" s="27">
        <v>0.0002163</v>
      </c>
      <c r="W130" s="27">
        <v>0.0002163</v>
      </c>
      <c r="X130" s="27">
        <v>0</v>
      </c>
      <c r="Y130" s="27">
        <v>0</v>
      </c>
      <c r="Z130" s="28">
        <v>1.457</v>
      </c>
      <c r="AA130" s="28">
        <v>1.457</v>
      </c>
      <c r="AB130" s="28">
        <v>1.457</v>
      </c>
      <c r="AC130" s="29">
        <v>0</v>
      </c>
      <c r="AD130" s="29"/>
    </row>
    <row r="131" spans="1:30" ht="15">
      <c r="A131" s="26">
        <v>10409</v>
      </c>
      <c r="B131" s="26" t="s">
        <v>118</v>
      </c>
      <c r="C131" s="37">
        <f t="shared" si="8"/>
        <v>13169.038</v>
      </c>
      <c r="D131" s="37">
        <f t="shared" si="11"/>
        <v>16672.481</v>
      </c>
      <c r="E131" s="37">
        <f t="shared" si="11"/>
        <v>16319.028</v>
      </c>
      <c r="F131" s="37">
        <f t="shared" si="11"/>
        <v>13478.823</v>
      </c>
      <c r="G131" s="37">
        <f t="shared" si="11"/>
        <v>11682.391</v>
      </c>
      <c r="H131" s="37">
        <f t="shared" si="11"/>
        <v>13946.416000000001</v>
      </c>
      <c r="I131" s="37">
        <f t="shared" si="11"/>
        <v>10827.536</v>
      </c>
      <c r="J131" s="37">
        <f t="shared" si="11"/>
        <v>15001.630000000001</v>
      </c>
      <c r="K131" s="37">
        <f t="shared" si="11"/>
        <v>16029.555</v>
      </c>
      <c r="L131" s="37">
        <f t="shared" si="11"/>
        <v>15219.337</v>
      </c>
      <c r="M131" s="37">
        <f t="shared" si="11"/>
        <v>14708.315</v>
      </c>
      <c r="N131" s="37">
        <f t="shared" si="11"/>
        <v>13592.017</v>
      </c>
      <c r="O131" s="38">
        <f t="shared" si="9"/>
        <v>170646.56699999998</v>
      </c>
      <c r="R131" s="26">
        <v>10409</v>
      </c>
      <c r="S131" s="26" t="s">
        <v>118</v>
      </c>
      <c r="T131" s="27">
        <v>0.0028918</v>
      </c>
      <c r="U131" s="27">
        <v>0.0028918</v>
      </c>
      <c r="V131" s="27">
        <v>0.0028918</v>
      </c>
      <c r="W131" s="27">
        <v>0.0028918</v>
      </c>
      <c r="X131" s="27">
        <v>0</v>
      </c>
      <c r="Y131" s="27">
        <v>0</v>
      </c>
      <c r="Z131" s="28">
        <v>19.48</v>
      </c>
      <c r="AA131" s="28">
        <v>19.48</v>
      </c>
      <c r="AB131" s="28">
        <v>19.48</v>
      </c>
      <c r="AC131" s="29">
        <v>0</v>
      </c>
      <c r="AD131" s="29"/>
    </row>
    <row r="132" spans="1:30" ht="15">
      <c r="A132" s="26">
        <v>10426</v>
      </c>
      <c r="B132" s="26" t="s">
        <v>119</v>
      </c>
      <c r="C132" s="37">
        <f aca="true" t="shared" si="12" ref="C132:C146">ROUND(C$3*$V132,3)+ROUND(C$4*$V132,3)</f>
        <v>11074.689</v>
      </c>
      <c r="D132" s="37">
        <f t="shared" si="11"/>
        <v>14020.958</v>
      </c>
      <c r="E132" s="37">
        <f t="shared" si="11"/>
        <v>13723.717</v>
      </c>
      <c r="F132" s="37">
        <f t="shared" si="11"/>
        <v>11335.207</v>
      </c>
      <c r="G132" s="37">
        <f t="shared" si="11"/>
        <v>9824.472</v>
      </c>
      <c r="H132" s="37">
        <f t="shared" si="11"/>
        <v>11728.436</v>
      </c>
      <c r="I132" s="37">
        <f t="shared" si="11"/>
        <v>9105.569</v>
      </c>
      <c r="J132" s="37">
        <f t="shared" si="11"/>
        <v>12615.832</v>
      </c>
      <c r="K132" s="37">
        <f t="shared" si="11"/>
        <v>13480.282000000001</v>
      </c>
      <c r="L132" s="37">
        <f t="shared" si="11"/>
        <v>12798.917000000001</v>
      </c>
      <c r="M132" s="37">
        <f t="shared" si="11"/>
        <v>12369.166000000001</v>
      </c>
      <c r="N132" s="37">
        <f t="shared" si="11"/>
        <v>11430.398000000001</v>
      </c>
      <c r="O132" s="38">
        <f t="shared" si="9"/>
        <v>143507.64300000004</v>
      </c>
      <c r="R132" s="26">
        <v>10426</v>
      </c>
      <c r="S132" s="26" t="s">
        <v>119</v>
      </c>
      <c r="T132" s="27">
        <v>0.0024319</v>
      </c>
      <c r="U132" s="27">
        <v>0.0024319</v>
      </c>
      <c r="V132" s="27">
        <v>0.0024319</v>
      </c>
      <c r="W132" s="27">
        <v>0.0024319</v>
      </c>
      <c r="X132" s="27">
        <v>0</v>
      </c>
      <c r="Y132" s="27">
        <v>0</v>
      </c>
      <c r="Z132" s="28">
        <v>33.455</v>
      </c>
      <c r="AA132" s="28">
        <v>16.382</v>
      </c>
      <c r="AB132" s="28">
        <v>16.382</v>
      </c>
      <c r="AC132" s="29">
        <v>0</v>
      </c>
      <c r="AD132" s="29"/>
    </row>
    <row r="133" spans="1:30" ht="15">
      <c r="A133" s="26">
        <v>10434</v>
      </c>
      <c r="B133" s="26" t="s">
        <v>120</v>
      </c>
      <c r="C133" s="37">
        <f t="shared" si="12"/>
        <v>17512.115999999998</v>
      </c>
      <c r="D133" s="37">
        <f t="shared" si="11"/>
        <v>22170.975</v>
      </c>
      <c r="E133" s="37">
        <f t="shared" si="11"/>
        <v>21700.955</v>
      </c>
      <c r="F133" s="37">
        <f t="shared" si="11"/>
        <v>17924.066</v>
      </c>
      <c r="G133" s="37">
        <f t="shared" si="11"/>
        <v>15535.181</v>
      </c>
      <c r="H133" s="37">
        <f t="shared" si="11"/>
        <v>18545.869</v>
      </c>
      <c r="I133" s="37">
        <f t="shared" si="11"/>
        <v>14398.399</v>
      </c>
      <c r="J133" s="37">
        <f t="shared" si="11"/>
        <v>19949.087</v>
      </c>
      <c r="K133" s="37">
        <f t="shared" si="11"/>
        <v>21316.017</v>
      </c>
      <c r="L133" s="37">
        <f t="shared" si="11"/>
        <v>20238.592</v>
      </c>
      <c r="M133" s="37">
        <f t="shared" si="11"/>
        <v>19559.038</v>
      </c>
      <c r="N133" s="37">
        <f t="shared" si="11"/>
        <v>18074.591</v>
      </c>
      <c r="O133" s="38">
        <f t="shared" si="9"/>
        <v>226924.886</v>
      </c>
      <c r="R133" s="26">
        <v>10434</v>
      </c>
      <c r="S133" s="26" t="s">
        <v>120</v>
      </c>
      <c r="T133" s="27">
        <v>0.0038455</v>
      </c>
      <c r="U133" s="27">
        <v>0.0038455</v>
      </c>
      <c r="V133" s="27">
        <v>0.0038455</v>
      </c>
      <c r="W133" s="27">
        <v>0.0038455</v>
      </c>
      <c r="X133" s="27">
        <v>0</v>
      </c>
      <c r="Y133" s="27">
        <v>0</v>
      </c>
      <c r="Z133" s="28">
        <v>25.905</v>
      </c>
      <c r="AA133" s="28">
        <v>25.905</v>
      </c>
      <c r="AB133" s="28">
        <v>25.905</v>
      </c>
      <c r="AC133" s="29">
        <v>0</v>
      </c>
      <c r="AD133" s="29"/>
    </row>
    <row r="134" spans="1:30" ht="15">
      <c r="A134" s="26">
        <v>10436</v>
      </c>
      <c r="B134" s="26" t="s">
        <v>121</v>
      </c>
      <c r="C134" s="37">
        <f t="shared" si="12"/>
        <v>12350.243</v>
      </c>
      <c r="D134" s="37">
        <f t="shared" si="11"/>
        <v>15635.856</v>
      </c>
      <c r="E134" s="37">
        <f t="shared" si="11"/>
        <v>15304.379</v>
      </c>
      <c r="F134" s="37">
        <f t="shared" si="11"/>
        <v>12640.766</v>
      </c>
      <c r="G134" s="37">
        <f t="shared" si="11"/>
        <v>10956.029999999999</v>
      </c>
      <c r="H134" s="37">
        <f t="shared" si="11"/>
        <v>13079.286</v>
      </c>
      <c r="I134" s="37">
        <f t="shared" si="11"/>
        <v>10154.325</v>
      </c>
      <c r="J134" s="37">
        <f t="shared" si="11"/>
        <v>14068.892</v>
      </c>
      <c r="K134" s="37">
        <f t="shared" si="11"/>
        <v>15032.904999999999</v>
      </c>
      <c r="L134" s="37">
        <f t="shared" si="11"/>
        <v>14273.062999999998</v>
      </c>
      <c r="M134" s="37">
        <f t="shared" si="11"/>
        <v>13793.814</v>
      </c>
      <c r="N134" s="37">
        <f t="shared" si="11"/>
        <v>12746.922999999999</v>
      </c>
      <c r="O134" s="38">
        <f t="shared" si="9"/>
        <v>160036.48200000002</v>
      </c>
      <c r="R134" s="26">
        <v>10436</v>
      </c>
      <c r="S134" s="26" t="s">
        <v>121</v>
      </c>
      <c r="T134" s="27">
        <v>0.002712</v>
      </c>
      <c r="U134" s="27">
        <v>0.002712</v>
      </c>
      <c r="V134" s="27">
        <v>0.002712</v>
      </c>
      <c r="W134" s="27">
        <v>0.002712</v>
      </c>
      <c r="X134" s="27">
        <v>0</v>
      </c>
      <c r="Y134" s="27">
        <v>0</v>
      </c>
      <c r="Z134" s="28">
        <v>18.269</v>
      </c>
      <c r="AA134" s="28">
        <v>18.269</v>
      </c>
      <c r="AB134" s="28">
        <v>18.269</v>
      </c>
      <c r="AC134" s="29">
        <v>0.08135</v>
      </c>
      <c r="AD134" s="29"/>
    </row>
    <row r="135" spans="1:30" ht="15">
      <c r="A135" s="26">
        <v>10440</v>
      </c>
      <c r="B135" s="26" t="s">
        <v>122</v>
      </c>
      <c r="C135" s="37">
        <f t="shared" si="12"/>
        <v>3227.821</v>
      </c>
      <c r="D135" s="37">
        <f t="shared" si="11"/>
        <v>4086.54</v>
      </c>
      <c r="E135" s="37">
        <f t="shared" si="11"/>
        <v>3999.906</v>
      </c>
      <c r="F135" s="37">
        <f t="shared" si="11"/>
        <v>3303.752</v>
      </c>
      <c r="G135" s="37">
        <f t="shared" si="11"/>
        <v>2863.434</v>
      </c>
      <c r="H135" s="37">
        <f t="shared" si="11"/>
        <v>3418.363</v>
      </c>
      <c r="I135" s="37">
        <f t="shared" si="11"/>
        <v>2653.9030000000002</v>
      </c>
      <c r="J135" s="37">
        <f t="shared" si="11"/>
        <v>3677.002</v>
      </c>
      <c r="K135" s="37">
        <f t="shared" si="11"/>
        <v>3928.9539999999997</v>
      </c>
      <c r="L135" s="37">
        <f t="shared" si="11"/>
        <v>3730.364</v>
      </c>
      <c r="M135" s="37">
        <f t="shared" si="11"/>
        <v>3605.1090000000004</v>
      </c>
      <c r="N135" s="37">
        <f t="shared" si="11"/>
        <v>3331.4970000000003</v>
      </c>
      <c r="O135" s="38">
        <f t="shared" si="9"/>
        <v>41826.645000000004</v>
      </c>
      <c r="R135" s="26">
        <v>10440</v>
      </c>
      <c r="S135" s="26" t="s">
        <v>122</v>
      </c>
      <c r="T135" s="27">
        <v>0.0007088</v>
      </c>
      <c r="U135" s="27">
        <v>0.0007088</v>
      </c>
      <c r="V135" s="27">
        <v>0.0007088</v>
      </c>
      <c r="W135" s="27">
        <v>0.0007088</v>
      </c>
      <c r="X135" s="27">
        <v>0</v>
      </c>
      <c r="Y135" s="27">
        <v>0</v>
      </c>
      <c r="Z135" s="28">
        <v>4.775</v>
      </c>
      <c r="AA135" s="28">
        <v>4.775</v>
      </c>
      <c r="AB135" s="28">
        <v>4.775</v>
      </c>
      <c r="AC135" s="29">
        <v>0.05668</v>
      </c>
      <c r="AD135" s="29"/>
    </row>
    <row r="136" spans="1:30" ht="15">
      <c r="A136" s="26">
        <v>10442</v>
      </c>
      <c r="B136" s="26" t="s">
        <v>123</v>
      </c>
      <c r="C136" s="37">
        <f t="shared" si="12"/>
        <v>8599.631</v>
      </c>
      <c r="D136" s="37">
        <f t="shared" si="11"/>
        <v>10887.445</v>
      </c>
      <c r="E136" s="37">
        <f t="shared" si="11"/>
        <v>10656.633</v>
      </c>
      <c r="F136" s="37">
        <f t="shared" si="11"/>
        <v>8801.926</v>
      </c>
      <c r="G136" s="37">
        <f t="shared" si="11"/>
        <v>7628.823</v>
      </c>
      <c r="H136" s="37">
        <f t="shared" si="11"/>
        <v>9107.273</v>
      </c>
      <c r="I136" s="37">
        <f t="shared" si="11"/>
        <v>7070.585000000001</v>
      </c>
      <c r="J136" s="37">
        <f t="shared" si="11"/>
        <v>9796.348</v>
      </c>
      <c r="K136" s="37">
        <f t="shared" si="11"/>
        <v>10467.603</v>
      </c>
      <c r="L136" s="37">
        <f aca="true" t="shared" si="13" ref="D136:N146">ROUND(L$3*$V136,3)+ROUND(L$4*$V136,3)</f>
        <v>9938.515</v>
      </c>
      <c r="M136" s="37">
        <f t="shared" si="13"/>
        <v>9604.807</v>
      </c>
      <c r="N136" s="37">
        <f t="shared" si="13"/>
        <v>8875.842999999999</v>
      </c>
      <c r="O136" s="38">
        <f t="shared" si="9"/>
        <v>111435.432</v>
      </c>
      <c r="R136" s="26">
        <v>10442</v>
      </c>
      <c r="S136" s="26" t="s">
        <v>123</v>
      </c>
      <c r="T136" s="27">
        <v>0.0018884</v>
      </c>
      <c r="U136" s="27">
        <v>0.0018884</v>
      </c>
      <c r="V136" s="27">
        <v>0.0018884</v>
      </c>
      <c r="W136" s="27">
        <v>0.0018884</v>
      </c>
      <c r="X136" s="27">
        <v>0</v>
      </c>
      <c r="Y136" s="27">
        <v>0</v>
      </c>
      <c r="Z136" s="28">
        <v>12.779</v>
      </c>
      <c r="AA136" s="28">
        <v>12.721</v>
      </c>
      <c r="AB136" s="28">
        <v>12.721</v>
      </c>
      <c r="AC136" s="29">
        <v>0.07</v>
      </c>
      <c r="AD136" s="29"/>
    </row>
    <row r="137" spans="1:30" ht="15">
      <c r="A137" s="26">
        <v>10446</v>
      </c>
      <c r="B137" s="26" t="s">
        <v>124</v>
      </c>
      <c r="C137" s="37">
        <f t="shared" si="12"/>
        <v>61758.501000000004</v>
      </c>
      <c r="D137" s="37">
        <f t="shared" si="13"/>
        <v>78188.504</v>
      </c>
      <c r="E137" s="37">
        <f t="shared" si="13"/>
        <v>76530.924</v>
      </c>
      <c r="F137" s="37">
        <f t="shared" si="13"/>
        <v>63211.28999999999</v>
      </c>
      <c r="G137" s="37">
        <f t="shared" si="13"/>
        <v>54786.61</v>
      </c>
      <c r="H137" s="37">
        <f t="shared" si="13"/>
        <v>65404.149000000005</v>
      </c>
      <c r="I137" s="37">
        <f t="shared" si="13"/>
        <v>50777.615000000005</v>
      </c>
      <c r="J137" s="37">
        <f t="shared" si="13"/>
        <v>70352.758</v>
      </c>
      <c r="K137" s="37">
        <f t="shared" si="13"/>
        <v>75173.395</v>
      </c>
      <c r="L137" s="37">
        <f t="shared" si="13"/>
        <v>71373.735</v>
      </c>
      <c r="M137" s="37">
        <f t="shared" si="13"/>
        <v>68977.209</v>
      </c>
      <c r="N137" s="37">
        <f t="shared" si="13"/>
        <v>63742.130999999994</v>
      </c>
      <c r="O137" s="38">
        <f t="shared" si="9"/>
        <v>800276.821</v>
      </c>
      <c r="R137" s="26">
        <v>10446</v>
      </c>
      <c r="S137" s="26" t="s">
        <v>124</v>
      </c>
      <c r="T137" s="27">
        <v>0.0135616</v>
      </c>
      <c r="U137" s="27">
        <v>0.0135616</v>
      </c>
      <c r="V137" s="27">
        <v>0.0135616</v>
      </c>
      <c r="W137" s="27">
        <v>0.0135616</v>
      </c>
      <c r="X137" s="27">
        <v>0</v>
      </c>
      <c r="Y137" s="27">
        <v>0</v>
      </c>
      <c r="Z137" s="28">
        <v>91.356</v>
      </c>
      <c r="AA137" s="28">
        <v>91.356</v>
      </c>
      <c r="AB137" s="28">
        <v>91.356</v>
      </c>
      <c r="AC137" s="29">
        <v>0.0772</v>
      </c>
      <c r="AD137" s="29"/>
    </row>
    <row r="138" spans="1:30" ht="15">
      <c r="A138" s="26">
        <v>10448</v>
      </c>
      <c r="B138" s="26" t="s">
        <v>125</v>
      </c>
      <c r="C138" s="37">
        <f t="shared" si="12"/>
        <v>5468.808</v>
      </c>
      <c r="D138" s="37">
        <f t="shared" si="13"/>
        <v>6923.709</v>
      </c>
      <c r="E138" s="37">
        <f t="shared" si="13"/>
        <v>6776.928</v>
      </c>
      <c r="F138" s="37">
        <f t="shared" si="13"/>
        <v>5597.454</v>
      </c>
      <c r="G138" s="37">
        <f t="shared" si="13"/>
        <v>4851.436</v>
      </c>
      <c r="H138" s="37">
        <f t="shared" si="13"/>
        <v>5791.636</v>
      </c>
      <c r="I138" s="37">
        <f t="shared" si="13"/>
        <v>4496.434</v>
      </c>
      <c r="J138" s="37">
        <f t="shared" si="13"/>
        <v>6229.842</v>
      </c>
      <c r="K138" s="37">
        <f t="shared" si="13"/>
        <v>6656.717000000001</v>
      </c>
      <c r="L138" s="37">
        <f t="shared" si="13"/>
        <v>6320.251</v>
      </c>
      <c r="M138" s="37">
        <f t="shared" si="13"/>
        <v>6108.035</v>
      </c>
      <c r="N138" s="37">
        <f t="shared" si="13"/>
        <v>5644.462</v>
      </c>
      <c r="O138" s="38">
        <f t="shared" si="9"/>
        <v>70865.712</v>
      </c>
      <c r="R138" s="26">
        <v>10448</v>
      </c>
      <c r="S138" s="26" t="s">
        <v>125</v>
      </c>
      <c r="T138" s="27">
        <v>0.0012009</v>
      </c>
      <c r="U138" s="27">
        <v>0.0012009</v>
      </c>
      <c r="V138" s="27">
        <v>0.0012009</v>
      </c>
      <c r="W138" s="27">
        <v>0.0012009</v>
      </c>
      <c r="X138" s="27">
        <v>0</v>
      </c>
      <c r="Y138" s="27">
        <v>0</v>
      </c>
      <c r="Z138" s="28">
        <v>8.09</v>
      </c>
      <c r="AA138" s="28">
        <v>8.09</v>
      </c>
      <c r="AB138" s="28">
        <v>8.09</v>
      </c>
      <c r="AC138" s="29">
        <v>0.07144</v>
      </c>
      <c r="AD138" s="29"/>
    </row>
    <row r="139" spans="1:30" ht="15">
      <c r="A139" s="26">
        <v>10451</v>
      </c>
      <c r="B139" s="26" t="s">
        <v>126</v>
      </c>
      <c r="C139" s="37">
        <f t="shared" si="12"/>
        <v>17303.547</v>
      </c>
      <c r="D139" s="37">
        <f t="shared" si="13"/>
        <v>21906.917999999998</v>
      </c>
      <c r="E139" s="37">
        <f t="shared" si="13"/>
        <v>21442.496</v>
      </c>
      <c r="F139" s="37">
        <f t="shared" si="13"/>
        <v>17710.589</v>
      </c>
      <c r="G139" s="37">
        <f t="shared" si="13"/>
        <v>15350.156</v>
      </c>
      <c r="H139" s="37">
        <f t="shared" si="13"/>
        <v>18324.987</v>
      </c>
      <c r="I139" s="37">
        <f t="shared" si="13"/>
        <v>14226.913</v>
      </c>
      <c r="J139" s="37">
        <f t="shared" si="13"/>
        <v>19711.492</v>
      </c>
      <c r="K139" s="37">
        <f t="shared" si="13"/>
        <v>21062.142</v>
      </c>
      <c r="L139" s="37">
        <f t="shared" si="13"/>
        <v>19997.551</v>
      </c>
      <c r="M139" s="37">
        <f t="shared" si="13"/>
        <v>19326.09</v>
      </c>
      <c r="N139" s="37">
        <f t="shared" si="13"/>
        <v>17859.322</v>
      </c>
      <c r="O139" s="38">
        <f t="shared" si="9"/>
        <v>224222.20299999998</v>
      </c>
      <c r="R139" s="26">
        <v>10451</v>
      </c>
      <c r="S139" s="26" t="s">
        <v>126</v>
      </c>
      <c r="T139" s="27">
        <v>0.0037997</v>
      </c>
      <c r="U139" s="27">
        <v>0.0037997</v>
      </c>
      <c r="V139" s="27">
        <v>0.0037997</v>
      </c>
      <c r="W139" s="27">
        <v>0.0037997</v>
      </c>
      <c r="X139" s="27">
        <v>0</v>
      </c>
      <c r="Y139" s="27">
        <v>0</v>
      </c>
      <c r="Z139" s="28">
        <v>25.596</v>
      </c>
      <c r="AA139" s="28">
        <v>25.596</v>
      </c>
      <c r="AB139" s="28">
        <v>25.596</v>
      </c>
      <c r="AC139" s="29">
        <v>0</v>
      </c>
      <c r="AD139" s="29"/>
    </row>
    <row r="140" spans="1:30" ht="15">
      <c r="A140" s="26">
        <v>10482</v>
      </c>
      <c r="B140" s="26" t="s">
        <v>127</v>
      </c>
      <c r="C140" s="37">
        <f t="shared" si="12"/>
        <v>1896.709</v>
      </c>
      <c r="D140" s="37">
        <f t="shared" si="13"/>
        <v>2401.303</v>
      </c>
      <c r="E140" s="37">
        <f t="shared" si="13"/>
        <v>2350.3959999999997</v>
      </c>
      <c r="F140" s="37">
        <f t="shared" si="13"/>
        <v>1941.327</v>
      </c>
      <c r="G140" s="37">
        <f t="shared" si="13"/>
        <v>1682.59</v>
      </c>
      <c r="H140" s="37">
        <f t="shared" si="13"/>
        <v>2008.674</v>
      </c>
      <c r="I140" s="37">
        <f t="shared" si="13"/>
        <v>1559.4679999999998</v>
      </c>
      <c r="J140" s="37">
        <f t="shared" si="13"/>
        <v>2160.654</v>
      </c>
      <c r="K140" s="37">
        <f t="shared" si="13"/>
        <v>2308.7039999999997</v>
      </c>
      <c r="L140" s="37">
        <f t="shared" si="13"/>
        <v>2192.0099999999998</v>
      </c>
      <c r="M140" s="37">
        <f t="shared" si="13"/>
        <v>2118.408</v>
      </c>
      <c r="N140" s="37">
        <f t="shared" si="13"/>
        <v>1957.6299999999999</v>
      </c>
      <c r="O140" s="38">
        <f t="shared" si="9"/>
        <v>24577.873</v>
      </c>
      <c r="R140" s="26">
        <v>10482</v>
      </c>
      <c r="S140" s="26" t="s">
        <v>127</v>
      </c>
      <c r="T140" s="27">
        <v>0.0004165</v>
      </c>
      <c r="U140" s="27">
        <v>0.0004165</v>
      </c>
      <c r="V140" s="27">
        <v>0.0004165</v>
      </c>
      <c r="W140" s="27">
        <v>0.0004165</v>
      </c>
      <c r="X140" s="27">
        <v>0</v>
      </c>
      <c r="Y140" s="27">
        <v>0</v>
      </c>
      <c r="Z140" s="28">
        <v>3.924</v>
      </c>
      <c r="AA140" s="28">
        <v>2.806</v>
      </c>
      <c r="AB140" s="28">
        <v>2.806</v>
      </c>
      <c r="AC140" s="29">
        <v>0</v>
      </c>
      <c r="AD140" s="29"/>
    </row>
    <row r="141" spans="1:30" ht="15">
      <c r="A141" s="26">
        <v>10502</v>
      </c>
      <c r="B141" s="26" t="s">
        <v>128</v>
      </c>
      <c r="C141" s="37">
        <f t="shared" si="12"/>
        <v>12063.801</v>
      </c>
      <c r="D141" s="37">
        <f t="shared" si="13"/>
        <v>15273.211</v>
      </c>
      <c r="E141" s="37">
        <f t="shared" si="13"/>
        <v>14949.421000000002</v>
      </c>
      <c r="F141" s="37">
        <f t="shared" si="13"/>
        <v>12347.586</v>
      </c>
      <c r="G141" s="37">
        <f t="shared" si="13"/>
        <v>10701.923999999999</v>
      </c>
      <c r="H141" s="37">
        <f t="shared" si="13"/>
        <v>12775.935</v>
      </c>
      <c r="I141" s="37">
        <f t="shared" si="13"/>
        <v>9918.814</v>
      </c>
      <c r="J141" s="37">
        <f t="shared" si="13"/>
        <v>13742.588</v>
      </c>
      <c r="K141" s="37">
        <f t="shared" si="13"/>
        <v>14684.244</v>
      </c>
      <c r="L141" s="37">
        <f t="shared" si="13"/>
        <v>13942.024000000001</v>
      </c>
      <c r="M141" s="37">
        <f t="shared" si="13"/>
        <v>13473.891</v>
      </c>
      <c r="N141" s="37">
        <f t="shared" si="13"/>
        <v>12451.280999999999</v>
      </c>
      <c r="O141" s="38">
        <f t="shared" si="9"/>
        <v>156324.72</v>
      </c>
      <c r="R141" s="26">
        <v>10502</v>
      </c>
      <c r="S141" s="26" t="s">
        <v>128</v>
      </c>
      <c r="T141" s="27">
        <v>0.0026491</v>
      </c>
      <c r="U141" s="27">
        <v>0.0026491</v>
      </c>
      <c r="V141" s="27">
        <v>0.0026491</v>
      </c>
      <c r="W141" s="27">
        <v>0.0026491</v>
      </c>
      <c r="X141" s="27">
        <v>0</v>
      </c>
      <c r="Y141" s="27">
        <v>0</v>
      </c>
      <c r="Z141" s="28">
        <v>17.845</v>
      </c>
      <c r="AA141" s="28">
        <v>17.845</v>
      </c>
      <c r="AB141" s="28">
        <v>17.845</v>
      </c>
      <c r="AC141" s="29">
        <v>0.07225</v>
      </c>
      <c r="AD141" s="29"/>
    </row>
    <row r="142" spans="1:30" ht="15">
      <c r="A142" s="26">
        <v>13927</v>
      </c>
      <c r="B142" s="26" t="s">
        <v>129</v>
      </c>
      <c r="C142" s="37">
        <f t="shared" si="12"/>
        <v>2556.118</v>
      </c>
      <c r="D142" s="37">
        <f t="shared" si="13"/>
        <v>3236.138</v>
      </c>
      <c r="E142" s="37">
        <f t="shared" si="13"/>
        <v>3167.533</v>
      </c>
      <c r="F142" s="37">
        <f t="shared" si="13"/>
        <v>2616.2470000000003</v>
      </c>
      <c r="G142" s="37">
        <f t="shared" si="13"/>
        <v>2267.5589999999997</v>
      </c>
      <c r="H142" s="37">
        <f t="shared" si="13"/>
        <v>2707.007</v>
      </c>
      <c r="I142" s="37">
        <f t="shared" si="13"/>
        <v>2101.631</v>
      </c>
      <c r="J142" s="37">
        <f t="shared" si="13"/>
        <v>2911.825</v>
      </c>
      <c r="K142" s="37">
        <f t="shared" si="13"/>
        <v>3111.346</v>
      </c>
      <c r="L142" s="37">
        <f t="shared" si="13"/>
        <v>2954.082</v>
      </c>
      <c r="M142" s="37">
        <f t="shared" si="13"/>
        <v>2854.892</v>
      </c>
      <c r="N142" s="37">
        <f t="shared" si="13"/>
        <v>2638.218</v>
      </c>
      <c r="O142" s="38">
        <f aca="true" t="shared" si="14" ref="O142:O146">SUM(C142:N142)</f>
        <v>33122.596</v>
      </c>
      <c r="R142" s="26">
        <v>13927</v>
      </c>
      <c r="S142" s="26" t="s">
        <v>129</v>
      </c>
      <c r="T142" s="27">
        <v>0.0005613</v>
      </c>
      <c r="U142" s="27">
        <v>0.0005684</v>
      </c>
      <c r="V142" s="27">
        <v>0.0005613</v>
      </c>
      <c r="W142" s="27">
        <v>0.0005684</v>
      </c>
      <c r="X142" s="27">
        <v>0</v>
      </c>
      <c r="Y142" s="27">
        <v>0</v>
      </c>
      <c r="Z142" s="28">
        <v>3.885</v>
      </c>
      <c r="AA142" s="28">
        <v>3.781</v>
      </c>
      <c r="AB142" s="28">
        <v>3.829</v>
      </c>
      <c r="AC142" s="29">
        <v>0</v>
      </c>
      <c r="AD142" s="29"/>
    </row>
    <row r="143" spans="1:30" ht="15">
      <c r="A143" s="26">
        <v>10597</v>
      </c>
      <c r="B143" s="26" t="s">
        <v>130</v>
      </c>
      <c r="C143" s="37">
        <f t="shared" si="12"/>
        <v>8320.02</v>
      </c>
      <c r="D143" s="37">
        <f t="shared" si="13"/>
        <v>10533.447</v>
      </c>
      <c r="E143" s="37">
        <f t="shared" si="13"/>
        <v>10310.14</v>
      </c>
      <c r="F143" s="37">
        <f t="shared" si="13"/>
        <v>8515.737</v>
      </c>
      <c r="G143" s="37">
        <f t="shared" si="13"/>
        <v>7380.776</v>
      </c>
      <c r="H143" s="37">
        <f t="shared" si="13"/>
        <v>8811.155999999999</v>
      </c>
      <c r="I143" s="37">
        <f t="shared" si="13"/>
        <v>6840.6900000000005</v>
      </c>
      <c r="J143" s="37">
        <f t="shared" si="13"/>
        <v>9477.827000000001</v>
      </c>
      <c r="K143" s="37">
        <f t="shared" si="13"/>
        <v>10127.255</v>
      </c>
      <c r="L143" s="37">
        <f t="shared" si="13"/>
        <v>9615.371</v>
      </c>
      <c r="M143" s="37">
        <f t="shared" si="13"/>
        <v>9292.514</v>
      </c>
      <c r="N143" s="37">
        <f t="shared" si="13"/>
        <v>8587.251</v>
      </c>
      <c r="O143" s="38">
        <f t="shared" si="14"/>
        <v>107812.18400000001</v>
      </c>
      <c r="R143" s="26">
        <v>10597</v>
      </c>
      <c r="S143" s="26" t="s">
        <v>130</v>
      </c>
      <c r="T143" s="27">
        <v>0.001827</v>
      </c>
      <c r="U143" s="27">
        <v>0.001828</v>
      </c>
      <c r="V143" s="27">
        <v>0.001827</v>
      </c>
      <c r="W143" s="27">
        <v>0.001828</v>
      </c>
      <c r="X143" s="27">
        <v>0</v>
      </c>
      <c r="Y143" s="27">
        <v>0</v>
      </c>
      <c r="Z143" s="28">
        <v>12.341</v>
      </c>
      <c r="AA143" s="28">
        <v>12.307</v>
      </c>
      <c r="AB143" s="28">
        <v>12.314</v>
      </c>
      <c r="AC143" s="29">
        <v>0</v>
      </c>
      <c r="AD143" s="29"/>
    </row>
    <row r="144" spans="1:30" ht="15">
      <c r="A144" s="26">
        <v>10706</v>
      </c>
      <c r="B144" s="26" t="s">
        <v>131</v>
      </c>
      <c r="C144" s="37">
        <f t="shared" si="12"/>
        <v>11142.087</v>
      </c>
      <c r="D144" s="37">
        <f t="shared" si="13"/>
        <v>14106.286</v>
      </c>
      <c r="E144" s="37">
        <f t="shared" si="13"/>
        <v>13807.236</v>
      </c>
      <c r="F144" s="37">
        <f t="shared" si="13"/>
        <v>11404.189999999999</v>
      </c>
      <c r="G144" s="37">
        <f t="shared" si="13"/>
        <v>9884.261999999999</v>
      </c>
      <c r="H144" s="37">
        <f t="shared" si="13"/>
        <v>11799.812</v>
      </c>
      <c r="I144" s="37">
        <f t="shared" si="13"/>
        <v>9160.983</v>
      </c>
      <c r="J144" s="37">
        <f t="shared" si="13"/>
        <v>12692.61</v>
      </c>
      <c r="K144" s="37">
        <f t="shared" si="13"/>
        <v>13562.319</v>
      </c>
      <c r="L144" s="37">
        <f t="shared" si="13"/>
        <v>12876.807999999999</v>
      </c>
      <c r="M144" s="37">
        <f t="shared" si="13"/>
        <v>12444.442000000001</v>
      </c>
      <c r="N144" s="37">
        <f t="shared" si="13"/>
        <v>11499.961</v>
      </c>
      <c r="O144" s="38">
        <f t="shared" si="14"/>
        <v>144380.996</v>
      </c>
      <c r="R144" s="26">
        <v>10706</v>
      </c>
      <c r="S144" s="26" t="s">
        <v>131</v>
      </c>
      <c r="T144" s="27">
        <v>0.0024467</v>
      </c>
      <c r="U144" s="27">
        <v>0.0024467</v>
      </c>
      <c r="V144" s="27">
        <v>0.0024467</v>
      </c>
      <c r="W144" s="27">
        <v>0.0024467</v>
      </c>
      <c r="X144" s="27">
        <v>0</v>
      </c>
      <c r="Y144" s="27">
        <v>0</v>
      </c>
      <c r="Z144" s="28">
        <v>16.482</v>
      </c>
      <c r="AA144" s="28">
        <v>16.482</v>
      </c>
      <c r="AB144" s="28">
        <v>16.482</v>
      </c>
      <c r="AC144" s="29">
        <v>0</v>
      </c>
      <c r="AD144" s="29"/>
    </row>
    <row r="145" spans="1:30" ht="15">
      <c r="A145" s="26">
        <v>11680</v>
      </c>
      <c r="B145" s="26" t="s">
        <v>132</v>
      </c>
      <c r="C145" s="37">
        <f t="shared" si="12"/>
        <v>4081.227</v>
      </c>
      <c r="D145" s="37">
        <f t="shared" si="13"/>
        <v>5166.981</v>
      </c>
      <c r="E145" s="37">
        <f t="shared" si="13"/>
        <v>5057.443</v>
      </c>
      <c r="F145" s="37">
        <f t="shared" si="13"/>
        <v>4177.233</v>
      </c>
      <c r="G145" s="37">
        <f t="shared" si="13"/>
        <v>3620.499</v>
      </c>
      <c r="H145" s="37">
        <f t="shared" si="13"/>
        <v>4322.144</v>
      </c>
      <c r="I145" s="37">
        <f t="shared" si="13"/>
        <v>3355.5699999999997</v>
      </c>
      <c r="J145" s="37">
        <f t="shared" si="13"/>
        <v>4649.1669999999995</v>
      </c>
      <c r="K145" s="37">
        <f t="shared" si="13"/>
        <v>4967.732</v>
      </c>
      <c r="L145" s="37">
        <f t="shared" si="13"/>
        <v>4716.637000000001</v>
      </c>
      <c r="M145" s="37">
        <f t="shared" si="13"/>
        <v>4558.265</v>
      </c>
      <c r="N145" s="37">
        <f t="shared" si="13"/>
        <v>4212.313</v>
      </c>
      <c r="O145" s="38">
        <f t="shared" si="14"/>
        <v>52885.211</v>
      </c>
      <c r="R145" s="26">
        <v>11680</v>
      </c>
      <c r="S145" s="26" t="s">
        <v>132</v>
      </c>
      <c r="T145" s="27">
        <v>0.0008962</v>
      </c>
      <c r="U145" s="27">
        <v>0.0008962</v>
      </c>
      <c r="V145" s="27">
        <v>0.0008962</v>
      </c>
      <c r="W145" s="27">
        <v>0.0008962</v>
      </c>
      <c r="X145" s="27">
        <v>0</v>
      </c>
      <c r="Y145" s="27">
        <v>0</v>
      </c>
      <c r="Z145" s="28">
        <v>6.037</v>
      </c>
      <c r="AA145" s="28">
        <v>6.037</v>
      </c>
      <c r="AB145" s="28">
        <v>6.037</v>
      </c>
      <c r="AC145" s="29">
        <v>0</v>
      </c>
      <c r="AD145" s="29"/>
    </row>
    <row r="146" spans="1:30" ht="15">
      <c r="A146" s="26">
        <v>12026</v>
      </c>
      <c r="B146" s="26" t="s">
        <v>133</v>
      </c>
      <c r="C146" s="37">
        <f t="shared" si="12"/>
        <v>29130.544</v>
      </c>
      <c r="D146" s="37">
        <f t="shared" si="13"/>
        <v>36880.326</v>
      </c>
      <c r="E146" s="37">
        <f t="shared" si="13"/>
        <v>36098.471000000005</v>
      </c>
      <c r="F146" s="37">
        <f t="shared" si="13"/>
        <v>29815.802</v>
      </c>
      <c r="G146" s="37">
        <f t="shared" si="13"/>
        <v>25842.008</v>
      </c>
      <c r="H146" s="37">
        <f t="shared" si="13"/>
        <v>30850.14</v>
      </c>
      <c r="I146" s="37">
        <f t="shared" si="13"/>
        <v>23951.027000000002</v>
      </c>
      <c r="J146" s="37">
        <f t="shared" si="13"/>
        <v>33184.324</v>
      </c>
      <c r="K146" s="37">
        <f t="shared" si="13"/>
        <v>35458.144</v>
      </c>
      <c r="L146" s="37">
        <f t="shared" si="13"/>
        <v>33665.902</v>
      </c>
      <c r="M146" s="37">
        <f t="shared" si="13"/>
        <v>32535.498</v>
      </c>
      <c r="N146" s="37">
        <f t="shared" si="13"/>
        <v>30066.192</v>
      </c>
      <c r="O146" s="38">
        <f t="shared" si="14"/>
        <v>377478.378</v>
      </c>
      <c r="R146" s="26">
        <v>12026</v>
      </c>
      <c r="S146" s="26" t="s">
        <v>133</v>
      </c>
      <c r="T146" s="27">
        <v>0.0063968</v>
      </c>
      <c r="U146" s="27">
        <v>0.0063968</v>
      </c>
      <c r="V146" s="27">
        <v>0.0063968</v>
      </c>
      <c r="W146" s="27">
        <v>0.0063968</v>
      </c>
      <c r="X146" s="27">
        <v>0</v>
      </c>
      <c r="Y146" s="27">
        <v>0</v>
      </c>
      <c r="Z146" s="28">
        <v>43.091</v>
      </c>
      <c r="AA146" s="28">
        <v>43.091</v>
      </c>
      <c r="AB146" s="28">
        <v>43.091</v>
      </c>
      <c r="AC146" s="29">
        <v>0</v>
      </c>
      <c r="AD146" s="29"/>
    </row>
    <row r="147" spans="1:29" ht="15">
      <c r="A147" s="26"/>
      <c r="B147" s="26"/>
      <c r="R147" s="26">
        <v>10298</v>
      </c>
      <c r="S147" s="26" t="s">
        <v>153</v>
      </c>
      <c r="T147" s="27">
        <v>0.0615935</v>
      </c>
      <c r="U147" s="27">
        <v>0.0615935</v>
      </c>
      <c r="V147" s="27">
        <v>0.0615935</v>
      </c>
      <c r="W147" s="27">
        <v>0.0615935</v>
      </c>
      <c r="X147" s="27">
        <v>0</v>
      </c>
      <c r="Y147" s="27">
        <v>0</v>
      </c>
      <c r="Z147" s="28">
        <v>415.38100000000003</v>
      </c>
      <c r="AA147" s="28">
        <v>414.916</v>
      </c>
      <c r="AB147" s="28">
        <v>414.916</v>
      </c>
      <c r="AC147" s="29"/>
    </row>
    <row r="148" spans="18:29" ht="15">
      <c r="R148" s="26" t="s">
        <v>176</v>
      </c>
      <c r="S148" s="26"/>
      <c r="AC148" s="29"/>
    </row>
    <row r="149" spans="18:29" ht="15">
      <c r="R149" s="26"/>
      <c r="X149" s="43"/>
      <c r="AC149" s="29"/>
    </row>
    <row r="150" ht="15">
      <c r="X150" s="42"/>
    </row>
  </sheetData>
  <printOptions/>
  <pageMargins left="0.25" right="0.25" top="0.75" bottom="0.75" header="0.3" footer="0.3"/>
  <pageSetup fitToHeight="1" fitToWidth="1" horizontalDpi="600" verticalDpi="600" orientation="landscape" scale="71" r:id="rId1"/>
  <colBreaks count="1" manualBreakCount="1">
    <brk id="1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4"/>
  <sheetViews>
    <sheetView view="pageBreakPreview" zoomScale="110" zoomScaleSheetLayoutView="110" workbookViewId="0" topLeftCell="A1">
      <selection activeCell="S30" sqref="S30"/>
    </sheetView>
  </sheetViews>
  <sheetFormatPr defaultColWidth="9.140625" defaultRowHeight="15"/>
  <cols>
    <col min="1" max="1" width="3.8515625" style="23" customWidth="1"/>
    <col min="2" max="2" width="6.00390625" style="22" bestFit="1" customWidth="1"/>
    <col min="3" max="3" width="26.57421875" style="22" customWidth="1"/>
    <col min="4" max="4" width="10.7109375" style="22" customWidth="1"/>
    <col min="5" max="14" width="10.7109375" style="0" customWidth="1"/>
    <col min="15" max="15" width="8.00390625" style="0" bestFit="1" customWidth="1"/>
    <col min="16" max="16" width="11.8515625" style="0" bestFit="1" customWidth="1"/>
  </cols>
  <sheetData>
    <row r="1" spans="1:2" ht="15">
      <c r="A1" s="40" t="s">
        <v>182</v>
      </c>
      <c r="B1" s="21"/>
    </row>
    <row r="2" spans="1:8" ht="15">
      <c r="A2" s="21" t="s">
        <v>158</v>
      </c>
      <c r="B2" s="21"/>
      <c r="D2" s="32"/>
      <c r="E2" s="36"/>
      <c r="F2" s="36"/>
      <c r="G2" s="36"/>
      <c r="H2" s="36"/>
    </row>
    <row r="3" spans="1:8" ht="15">
      <c r="A3" s="21"/>
      <c r="B3" s="21"/>
      <c r="D3" s="32"/>
      <c r="E3" s="36"/>
      <c r="F3" s="36"/>
      <c r="G3" s="36"/>
      <c r="H3" s="36"/>
    </row>
    <row r="4" spans="2:14" ht="15">
      <c r="B4" s="24" t="s">
        <v>0</v>
      </c>
      <c r="C4" s="24" t="s">
        <v>1</v>
      </c>
      <c r="D4" s="25">
        <v>44531</v>
      </c>
      <c r="E4" s="25">
        <v>44562</v>
      </c>
      <c r="F4" s="25">
        <v>44593</v>
      </c>
      <c r="G4" s="25">
        <v>44621</v>
      </c>
      <c r="H4" s="25">
        <v>44652</v>
      </c>
      <c r="I4" s="25">
        <v>44682</v>
      </c>
      <c r="J4" s="25">
        <v>44713</v>
      </c>
      <c r="K4" s="25">
        <v>44743</v>
      </c>
      <c r="L4" s="25">
        <v>44774</v>
      </c>
      <c r="M4" s="25">
        <v>44805</v>
      </c>
      <c r="N4" s="25" t="s">
        <v>136</v>
      </c>
    </row>
    <row r="5" spans="2:16" ht="15">
      <c r="B5" s="26">
        <f>'Sum of Billing Determinants'!A13</f>
        <v>10005</v>
      </c>
      <c r="C5" s="26" t="str">
        <f>'Sum of Billing Determinants'!B13</f>
        <v>Alder Mutual</v>
      </c>
      <c r="D5" s="30">
        <f>ROUND('Sum of Billing Determinants'!E13*-1*'Rate Calculations'!$G$9*(1-'Sum of Billing Determinants'!$AC13),0)</f>
        <v>-162</v>
      </c>
      <c r="E5" s="30">
        <f>ROUND('Sum of Billing Determinants'!F13*-1*'Rate Calculations'!$G$9*(1-'Sum of Billing Determinants'!$AC13),0)</f>
        <v>-134</v>
      </c>
      <c r="F5" s="30">
        <f>ROUND('Sum of Billing Determinants'!G13*-1*'Rate Calculations'!$G$9*(1-'Sum of Billing Determinants'!$AC13),0)</f>
        <v>-116</v>
      </c>
      <c r="G5" s="30">
        <f>ROUND('Sum of Billing Determinants'!H13*-1*'Rate Calculations'!$G$9*(1-'Sum of Billing Determinants'!$AC13),0)</f>
        <v>-139</v>
      </c>
      <c r="H5" s="30">
        <f>ROUND('Sum of Billing Determinants'!I13*-1*'Rate Calculations'!$G$9*(1-'Sum of Billing Determinants'!$AC13),0)</f>
        <v>-108</v>
      </c>
      <c r="I5" s="30">
        <f>ROUND('Sum of Billing Determinants'!J13*-1*'Rate Calculations'!$G$9*(1-'Sum of Billing Determinants'!$AC13),0)</f>
        <v>-149</v>
      </c>
      <c r="J5" s="30">
        <f>ROUND('Sum of Billing Determinants'!K13*-1*'Rate Calculations'!$G$9*(1-'Sum of Billing Determinants'!$AC13),0)</f>
        <v>-160</v>
      </c>
      <c r="K5" s="30">
        <f>ROUND('Sum of Billing Determinants'!L13*-1*'Rate Calculations'!$G$9*(1-'Sum of Billing Determinants'!$AC13),0)</f>
        <v>-151</v>
      </c>
      <c r="L5" s="30">
        <f>ROUND('Sum of Billing Determinants'!M13*-1*'Rate Calculations'!$G$9*(1-'Sum of Billing Determinants'!$AC13),0)</f>
        <v>-146</v>
      </c>
      <c r="M5" s="30">
        <f>ROUND('Sum of Billing Determinants'!N13*-1*'Rate Calculations'!$G$9*(1-'Sum of Billing Determinants'!$AC13),0)</f>
        <v>-135</v>
      </c>
      <c r="N5" s="30">
        <f>SUM(D5:M5)</f>
        <v>-1400</v>
      </c>
      <c r="P5" s="13"/>
    </row>
    <row r="6" spans="2:16" ht="15">
      <c r="B6" s="26">
        <f>'Sum of Billing Determinants'!A14</f>
        <v>10015</v>
      </c>
      <c r="C6" s="26" t="str">
        <f>'Sum of Billing Determinants'!B14</f>
        <v>Asotin County PUD #1</v>
      </c>
      <c r="D6" s="30">
        <f>ROUND('Sum of Billing Determinants'!E14*-1*'Rate Calculations'!$G$9*(1-'Sum of Billing Determinants'!$AC14),0)</f>
        <v>-174</v>
      </c>
      <c r="E6" s="30">
        <f>ROUND('Sum of Billing Determinants'!F14*-1*'Rate Calculations'!$G$9*(1-'Sum of Billing Determinants'!$AC14),0)</f>
        <v>-144</v>
      </c>
      <c r="F6" s="30">
        <f>ROUND('Sum of Billing Determinants'!G14*-1*'Rate Calculations'!$G$9*(1-'Sum of Billing Determinants'!$AC14),0)</f>
        <v>-125</v>
      </c>
      <c r="G6" s="30">
        <f>ROUND('Sum of Billing Determinants'!H14*-1*'Rate Calculations'!$G$9*(1-'Sum of Billing Determinants'!$AC14),0)</f>
        <v>-149</v>
      </c>
      <c r="H6" s="30">
        <f>ROUND('Sum of Billing Determinants'!I14*-1*'Rate Calculations'!$G$9*(1-'Sum of Billing Determinants'!$AC14),0)</f>
        <v>-116</v>
      </c>
      <c r="I6" s="30">
        <f>ROUND('Sum of Billing Determinants'!J14*-1*'Rate Calculations'!$G$9*(1-'Sum of Billing Determinants'!$AC14),0)</f>
        <v>-160</v>
      </c>
      <c r="J6" s="30">
        <f>ROUND('Sum of Billing Determinants'!K14*-1*'Rate Calculations'!$G$9*(1-'Sum of Billing Determinants'!$AC14),0)</f>
        <v>-171</v>
      </c>
      <c r="K6" s="30">
        <f>ROUND('Sum of Billing Determinants'!L14*-1*'Rate Calculations'!$G$9*(1-'Sum of Billing Determinants'!$AC14),0)</f>
        <v>-162</v>
      </c>
      <c r="L6" s="30">
        <f>ROUND('Sum of Billing Determinants'!M14*-1*'Rate Calculations'!$G$9*(1-'Sum of Billing Determinants'!$AC14),0)</f>
        <v>-157</v>
      </c>
      <c r="M6" s="30">
        <f>ROUND('Sum of Billing Determinants'!N14*-1*'Rate Calculations'!$G$9*(1-'Sum of Billing Determinants'!$AC14),0)</f>
        <v>-145</v>
      </c>
      <c r="N6" s="30">
        <f aca="true" t="shared" si="0" ref="N6:N69">SUM(D6:M6)</f>
        <v>-1503</v>
      </c>
      <c r="P6" s="39"/>
    </row>
    <row r="7" spans="2:14" ht="15">
      <c r="B7" s="26">
        <f>'Sum of Billing Determinants'!A15</f>
        <v>10024</v>
      </c>
      <c r="C7" s="26" t="str">
        <f>'Sum of Billing Determinants'!B15</f>
        <v>Benton County PUD #1</v>
      </c>
      <c r="D7" s="30">
        <f>ROUND('Sum of Billing Determinants'!E15*-1*'Rate Calculations'!$G$9*(1-'Sum of Billing Determinants'!$AC15),0)</f>
        <v>-31787</v>
      </c>
      <c r="E7" s="30">
        <f>ROUND('Sum of Billing Determinants'!F15*-1*'Rate Calculations'!$G$9*(1-'Sum of Billing Determinants'!$AC15),0)</f>
        <v>-26254</v>
      </c>
      <c r="F7" s="30">
        <f>ROUND('Sum of Billing Determinants'!G15*-1*'Rate Calculations'!$G$9*(1-'Sum of Billing Determinants'!$AC15),0)</f>
        <v>-22755</v>
      </c>
      <c r="G7" s="30">
        <f>ROUND('Sum of Billing Determinants'!H15*-1*'Rate Calculations'!$G$9*(1-'Sum of Billing Determinants'!$AC15),0)</f>
        <v>-27165</v>
      </c>
      <c r="H7" s="30">
        <f>ROUND('Sum of Billing Determinants'!I15*-1*'Rate Calculations'!$G$9*(1-'Sum of Billing Determinants'!$AC15),0)</f>
        <v>-21090</v>
      </c>
      <c r="I7" s="30">
        <f>ROUND('Sum of Billing Determinants'!J15*-1*'Rate Calculations'!$G$9*(1-'Sum of Billing Determinants'!$AC15),0)</f>
        <v>-29221</v>
      </c>
      <c r="J7" s="30">
        <f>ROUND('Sum of Billing Determinants'!K15*-1*'Rate Calculations'!$G$9*(1-'Sum of Billing Determinants'!$AC15),0)</f>
        <v>-31223</v>
      </c>
      <c r="K7" s="30">
        <f>ROUND('Sum of Billing Determinants'!L15*-1*'Rate Calculations'!$G$9*(1-'Sum of Billing Determinants'!$AC15),0)</f>
        <v>-29645</v>
      </c>
      <c r="L7" s="30">
        <f>ROUND('Sum of Billing Determinants'!M15*-1*'Rate Calculations'!$G$9*(1-'Sum of Billing Determinants'!$AC15),0)</f>
        <v>-28649</v>
      </c>
      <c r="M7" s="30">
        <f>ROUND('Sum of Billing Determinants'!N15*-1*'Rate Calculations'!$G$9*(1-'Sum of Billing Determinants'!$AC15),0)</f>
        <v>-26475</v>
      </c>
      <c r="N7" s="30">
        <f t="shared" si="0"/>
        <v>-274264</v>
      </c>
    </row>
    <row r="8" spans="2:14" ht="15">
      <c r="B8" s="26">
        <f>'Sum of Billing Determinants'!A16</f>
        <v>10025</v>
      </c>
      <c r="C8" s="26" t="str">
        <f>'Sum of Billing Determinants'!B16</f>
        <v>Benton REA</v>
      </c>
      <c r="D8" s="30">
        <f>ROUND('Sum of Billing Determinants'!E16*-1*'Rate Calculations'!$G$9*(1-'Sum of Billing Determinants'!$AC16),0)</f>
        <v>-16949</v>
      </c>
      <c r="E8" s="30">
        <f>ROUND('Sum of Billing Determinants'!F16*-1*'Rate Calculations'!$G$9*(1-'Sum of Billing Determinants'!$AC16),0)</f>
        <v>-13999</v>
      </c>
      <c r="F8" s="30">
        <f>ROUND('Sum of Billing Determinants'!G16*-1*'Rate Calculations'!$G$9*(1-'Sum of Billing Determinants'!$AC16),0)</f>
        <v>-12133</v>
      </c>
      <c r="G8" s="30">
        <f>ROUND('Sum of Billing Determinants'!H16*-1*'Rate Calculations'!$G$9*(1-'Sum of Billing Determinants'!$AC16),0)</f>
        <v>-14485</v>
      </c>
      <c r="H8" s="30">
        <f>ROUND('Sum of Billing Determinants'!I16*-1*'Rate Calculations'!$G$9*(1-'Sum of Billing Determinants'!$AC16),0)</f>
        <v>-11245</v>
      </c>
      <c r="I8" s="30">
        <f>ROUND('Sum of Billing Determinants'!J16*-1*'Rate Calculations'!$G$9*(1-'Sum of Billing Determinants'!$AC16),0)</f>
        <v>-15581</v>
      </c>
      <c r="J8" s="30">
        <f>ROUND('Sum of Billing Determinants'!K16*-1*'Rate Calculations'!$G$9*(1-'Sum of Billing Determinants'!$AC16),0)</f>
        <v>-16648</v>
      </c>
      <c r="K8" s="30">
        <f>ROUND('Sum of Billing Determinants'!L16*-1*'Rate Calculations'!$G$9*(1-'Sum of Billing Determinants'!$AC16),0)</f>
        <v>-15807</v>
      </c>
      <c r="L8" s="30">
        <f>ROUND('Sum of Billing Determinants'!M16*-1*'Rate Calculations'!$G$9*(1-'Sum of Billing Determinants'!$AC16),0)</f>
        <v>-15276</v>
      </c>
      <c r="M8" s="30">
        <f>ROUND('Sum of Billing Determinants'!N16*-1*'Rate Calculations'!$G$9*(1-'Sum of Billing Determinants'!$AC16),0)</f>
        <v>-14117</v>
      </c>
      <c r="N8" s="30">
        <f t="shared" si="0"/>
        <v>-146240</v>
      </c>
    </row>
    <row r="9" spans="2:14" ht="15">
      <c r="B9" s="26">
        <f>'Sum of Billing Determinants'!A17</f>
        <v>10027</v>
      </c>
      <c r="C9" s="26" t="str">
        <f>'Sum of Billing Determinants'!B17</f>
        <v>Big Bend Elec Coop</v>
      </c>
      <c r="D9" s="30">
        <f>ROUND('Sum of Billing Determinants'!E17*-1*'Rate Calculations'!$G$9*(1-'Sum of Billing Determinants'!$AC17),0)</f>
        <v>-17106</v>
      </c>
      <c r="E9" s="30">
        <f>ROUND('Sum of Billing Determinants'!F17*-1*'Rate Calculations'!$G$9*(1-'Sum of Billing Determinants'!$AC17),0)</f>
        <v>-14128</v>
      </c>
      <c r="F9" s="30">
        <f>ROUND('Sum of Billing Determinants'!G17*-1*'Rate Calculations'!$G$9*(1-'Sum of Billing Determinants'!$AC17),0)</f>
        <v>-12245</v>
      </c>
      <c r="G9" s="30">
        <f>ROUND('Sum of Billing Determinants'!H17*-1*'Rate Calculations'!$G$9*(1-'Sum of Billing Determinants'!$AC17),0)</f>
        <v>-14619</v>
      </c>
      <c r="H9" s="30">
        <f>ROUND('Sum of Billing Determinants'!I17*-1*'Rate Calculations'!$G$9*(1-'Sum of Billing Determinants'!$AC17),0)</f>
        <v>-11349</v>
      </c>
      <c r="I9" s="30">
        <f>ROUND('Sum of Billing Determinants'!J17*-1*'Rate Calculations'!$G$9*(1-'Sum of Billing Determinants'!$AC17),0)</f>
        <v>-15725</v>
      </c>
      <c r="J9" s="30">
        <f>ROUND('Sum of Billing Determinants'!K17*-1*'Rate Calculations'!$G$9*(1-'Sum of Billing Determinants'!$AC17),0)</f>
        <v>-16802</v>
      </c>
      <c r="K9" s="30">
        <f>ROUND('Sum of Billing Determinants'!L17*-1*'Rate Calculations'!$G$9*(1-'Sum of Billing Determinants'!$AC17),0)</f>
        <v>-15953</v>
      </c>
      <c r="L9" s="30">
        <f>ROUND('Sum of Billing Determinants'!M17*-1*'Rate Calculations'!$G$9*(1-'Sum of Billing Determinants'!$AC17),0)</f>
        <v>-15417</v>
      </c>
      <c r="M9" s="30">
        <f>ROUND('Sum of Billing Determinants'!N17*-1*'Rate Calculations'!$G$9*(1-'Sum of Billing Determinants'!$AC17),0)</f>
        <v>-14247</v>
      </c>
      <c r="N9" s="30">
        <f t="shared" si="0"/>
        <v>-147591</v>
      </c>
    </row>
    <row r="10" spans="2:14" ht="15">
      <c r="B10" s="26">
        <f>'Sum of Billing Determinants'!A18</f>
        <v>10029</v>
      </c>
      <c r="C10" s="26" t="str">
        <f>'Sum of Billing Determinants'!B18</f>
        <v>Blachly Lane Elec Coop</v>
      </c>
      <c r="D10" s="30">
        <f>ROUND('Sum of Billing Determinants'!E18*-1*'Rate Calculations'!$G$9*(1-'Sum of Billing Determinants'!$AC18),0)</f>
        <v>-4896</v>
      </c>
      <c r="E10" s="30">
        <f>ROUND('Sum of Billing Determinants'!F18*-1*'Rate Calculations'!$G$9*(1-'Sum of Billing Determinants'!$AC18),0)</f>
        <v>-4044</v>
      </c>
      <c r="F10" s="30">
        <f>ROUND('Sum of Billing Determinants'!G18*-1*'Rate Calculations'!$G$9*(1-'Sum of Billing Determinants'!$AC18),0)</f>
        <v>-3505</v>
      </c>
      <c r="G10" s="30">
        <f>ROUND('Sum of Billing Determinants'!H18*-1*'Rate Calculations'!$G$9*(1-'Sum of Billing Determinants'!$AC18),0)</f>
        <v>-4184</v>
      </c>
      <c r="H10" s="30">
        <f>ROUND('Sum of Billing Determinants'!I18*-1*'Rate Calculations'!$G$9*(1-'Sum of Billing Determinants'!$AC18),0)</f>
        <v>-3248</v>
      </c>
      <c r="I10" s="30">
        <f>ROUND('Sum of Billing Determinants'!J18*-1*'Rate Calculations'!$G$9*(1-'Sum of Billing Determinants'!$AC18),0)</f>
        <v>-4501</v>
      </c>
      <c r="J10" s="30">
        <f>ROUND('Sum of Billing Determinants'!K18*-1*'Rate Calculations'!$G$9*(1-'Sum of Billing Determinants'!$AC18),0)</f>
        <v>-4809</v>
      </c>
      <c r="K10" s="30">
        <f>ROUND('Sum of Billing Determinants'!L18*-1*'Rate Calculations'!$G$9*(1-'Sum of Billing Determinants'!$AC18),0)</f>
        <v>-4566</v>
      </c>
      <c r="L10" s="30">
        <f>ROUND('Sum of Billing Determinants'!M18*-1*'Rate Calculations'!$G$9*(1-'Sum of Billing Determinants'!$AC18),0)</f>
        <v>-4413</v>
      </c>
      <c r="M10" s="30">
        <f>ROUND('Sum of Billing Determinants'!N18*-1*'Rate Calculations'!$G$9*(1-'Sum of Billing Determinants'!$AC18),0)</f>
        <v>-4078</v>
      </c>
      <c r="N10" s="30">
        <f t="shared" si="0"/>
        <v>-42244</v>
      </c>
    </row>
    <row r="11" spans="2:14" ht="15">
      <c r="B11" s="26">
        <f>'Sum of Billing Determinants'!A19</f>
        <v>10044</v>
      </c>
      <c r="C11" s="26" t="str">
        <f>'Sum of Billing Determinants'!B19</f>
        <v>Canby, City of</v>
      </c>
      <c r="D11" s="30">
        <f>ROUND('Sum of Billing Determinants'!E19*-1*'Rate Calculations'!$G$9*(1-'Sum of Billing Determinants'!$AC19),0)</f>
        <v>-6167</v>
      </c>
      <c r="E11" s="30">
        <f>ROUND('Sum of Billing Determinants'!F19*-1*'Rate Calculations'!$G$9*(1-'Sum of Billing Determinants'!$AC19),0)</f>
        <v>-5094</v>
      </c>
      <c r="F11" s="30">
        <f>ROUND('Sum of Billing Determinants'!G19*-1*'Rate Calculations'!$G$9*(1-'Sum of Billing Determinants'!$AC19),0)</f>
        <v>-4415</v>
      </c>
      <c r="G11" s="30">
        <f>ROUND('Sum of Billing Determinants'!H19*-1*'Rate Calculations'!$G$9*(1-'Sum of Billing Determinants'!$AC19),0)</f>
        <v>-5270</v>
      </c>
      <c r="H11" s="30">
        <f>ROUND('Sum of Billing Determinants'!I19*-1*'Rate Calculations'!$G$9*(1-'Sum of Billing Determinants'!$AC19),0)</f>
        <v>-4092</v>
      </c>
      <c r="I11" s="30">
        <f>ROUND('Sum of Billing Determinants'!J19*-1*'Rate Calculations'!$G$9*(1-'Sum of Billing Determinants'!$AC19),0)</f>
        <v>-5669</v>
      </c>
      <c r="J11" s="30">
        <f>ROUND('Sum of Billing Determinants'!K19*-1*'Rate Calculations'!$G$9*(1-'Sum of Billing Determinants'!$AC19),0)</f>
        <v>-6058</v>
      </c>
      <c r="K11" s="30">
        <f>ROUND('Sum of Billing Determinants'!L19*-1*'Rate Calculations'!$G$9*(1-'Sum of Billing Determinants'!$AC19),0)</f>
        <v>-5752</v>
      </c>
      <c r="L11" s="30">
        <f>ROUND('Sum of Billing Determinants'!M19*-1*'Rate Calculations'!$G$9*(1-'Sum of Billing Determinants'!$AC19),0)</f>
        <v>-5558</v>
      </c>
      <c r="M11" s="30">
        <f>ROUND('Sum of Billing Determinants'!N19*-1*'Rate Calculations'!$G$9*(1-'Sum of Billing Determinants'!$AC19),0)</f>
        <v>-5137</v>
      </c>
      <c r="N11" s="30">
        <f t="shared" si="0"/>
        <v>-53212</v>
      </c>
    </row>
    <row r="12" spans="2:14" ht="15">
      <c r="B12" s="26">
        <f>'Sum of Billing Determinants'!A20</f>
        <v>10046</v>
      </c>
      <c r="C12" s="26" t="str">
        <f>'Sum of Billing Determinants'!B20</f>
        <v>Central Electric Coop</v>
      </c>
      <c r="D12" s="30">
        <f>ROUND('Sum of Billing Determinants'!E20*-1*'Rate Calculations'!$G$9*(1-'Sum of Billing Determinants'!$AC20),0)</f>
        <v>-22872</v>
      </c>
      <c r="E12" s="30">
        <f>ROUND('Sum of Billing Determinants'!F20*-1*'Rate Calculations'!$G$9*(1-'Sum of Billing Determinants'!$AC20),0)</f>
        <v>-18891</v>
      </c>
      <c r="F12" s="30">
        <f>ROUND('Sum of Billing Determinants'!G20*-1*'Rate Calculations'!$G$9*(1-'Sum of Billing Determinants'!$AC20),0)</f>
        <v>-16373</v>
      </c>
      <c r="G12" s="30">
        <f>ROUND('Sum of Billing Determinants'!H20*-1*'Rate Calculations'!$G$9*(1-'Sum of Billing Determinants'!$AC20),0)</f>
        <v>-19547</v>
      </c>
      <c r="H12" s="30">
        <f>ROUND('Sum of Billing Determinants'!I20*-1*'Rate Calculations'!$G$9*(1-'Sum of Billing Determinants'!$AC20),0)</f>
        <v>-15175</v>
      </c>
      <c r="I12" s="30">
        <f>ROUND('Sum of Billing Determinants'!J20*-1*'Rate Calculations'!$G$9*(1-'Sum of Billing Determinants'!$AC20),0)</f>
        <v>-21026</v>
      </c>
      <c r="J12" s="30">
        <f>ROUND('Sum of Billing Determinants'!K20*-1*'Rate Calculations'!$G$9*(1-'Sum of Billing Determinants'!$AC20),0)</f>
        <v>-22466</v>
      </c>
      <c r="K12" s="30">
        <f>ROUND('Sum of Billing Determinants'!L20*-1*'Rate Calculations'!$G$9*(1-'Sum of Billing Determinants'!$AC20),0)</f>
        <v>-21331</v>
      </c>
      <c r="L12" s="30">
        <f>ROUND('Sum of Billing Determinants'!M20*-1*'Rate Calculations'!$G$9*(1-'Sum of Billing Determinants'!$AC20),0)</f>
        <v>-20614</v>
      </c>
      <c r="M12" s="30">
        <f>ROUND('Sum of Billing Determinants'!N20*-1*'Rate Calculations'!$G$9*(1-'Sum of Billing Determinants'!$AC20),0)</f>
        <v>-19050</v>
      </c>
      <c r="N12" s="30">
        <f t="shared" si="0"/>
        <v>-197345</v>
      </c>
    </row>
    <row r="13" spans="2:14" ht="15">
      <c r="B13" s="26">
        <f>'Sum of Billing Determinants'!A21</f>
        <v>10047</v>
      </c>
      <c r="C13" s="26" t="str">
        <f>'Sum of Billing Determinants'!B21</f>
        <v>Central Lincoln PUD</v>
      </c>
      <c r="D13" s="30">
        <f>ROUND('Sum of Billing Determinants'!E21*-1*'Rate Calculations'!$G$9*(1-'Sum of Billing Determinants'!$AC21),0)</f>
        <v>-47575</v>
      </c>
      <c r="E13" s="30">
        <f>ROUND('Sum of Billing Determinants'!F21*-1*'Rate Calculations'!$G$9*(1-'Sum of Billing Determinants'!$AC21),0)</f>
        <v>-39295</v>
      </c>
      <c r="F13" s="30">
        <f>ROUND('Sum of Billing Determinants'!G21*-1*'Rate Calculations'!$G$9*(1-'Sum of Billing Determinants'!$AC21),0)</f>
        <v>-34058</v>
      </c>
      <c r="G13" s="30">
        <f>ROUND('Sum of Billing Determinants'!H21*-1*'Rate Calculations'!$G$9*(1-'Sum of Billing Determinants'!$AC21),0)</f>
        <v>-40658</v>
      </c>
      <c r="H13" s="30">
        <f>ROUND('Sum of Billing Determinants'!I21*-1*'Rate Calculations'!$G$9*(1-'Sum of Billing Determinants'!$AC21),0)</f>
        <v>-31566</v>
      </c>
      <c r="I13" s="30">
        <f>ROUND('Sum of Billing Determinants'!J21*-1*'Rate Calculations'!$G$9*(1-'Sum of Billing Determinants'!$AC21),0)</f>
        <v>-43735</v>
      </c>
      <c r="J13" s="30">
        <f>ROUND('Sum of Billing Determinants'!K21*-1*'Rate Calculations'!$G$9*(1-'Sum of Billing Determinants'!$AC21),0)</f>
        <v>-46731</v>
      </c>
      <c r="K13" s="30">
        <f>ROUND('Sum of Billing Determinants'!L21*-1*'Rate Calculations'!$G$9*(1-'Sum of Billing Determinants'!$AC21),0)</f>
        <v>-44369</v>
      </c>
      <c r="L13" s="30">
        <f>ROUND('Sum of Billing Determinants'!M21*-1*'Rate Calculations'!$G$9*(1-'Sum of Billing Determinants'!$AC21),0)</f>
        <v>-42879</v>
      </c>
      <c r="M13" s="30">
        <f>ROUND('Sum of Billing Determinants'!N21*-1*'Rate Calculations'!$G$9*(1-'Sum of Billing Determinants'!$AC21),0)</f>
        <v>-39625</v>
      </c>
      <c r="N13" s="30">
        <f>SUM(D13:M13)</f>
        <v>-410491</v>
      </c>
    </row>
    <row r="14" spans="2:14" ht="15">
      <c r="B14" s="26">
        <f>'Sum of Billing Determinants'!A22</f>
        <v>10055</v>
      </c>
      <c r="C14" s="26" t="str">
        <f>'Sum of Billing Determinants'!B22</f>
        <v>Albion, City of</v>
      </c>
      <c r="D14" s="30">
        <f>ROUND('Sum of Billing Determinants'!E22*-1*'Rate Calculations'!$G$9*(1-'Sum of Billing Determinants'!$AC22),0)</f>
        <v>-121</v>
      </c>
      <c r="E14" s="30">
        <f>ROUND('Sum of Billing Determinants'!F22*-1*'Rate Calculations'!$G$9*(1-'Sum of Billing Determinants'!$AC22),0)</f>
        <v>-100</v>
      </c>
      <c r="F14" s="30">
        <f>ROUND('Sum of Billing Determinants'!G22*-1*'Rate Calculations'!$G$9*(1-'Sum of Billing Determinants'!$AC22),0)</f>
        <v>-87</v>
      </c>
      <c r="G14" s="30">
        <f>ROUND('Sum of Billing Determinants'!H22*-1*'Rate Calculations'!$G$9*(1-'Sum of Billing Determinants'!$AC22),0)</f>
        <v>-103</v>
      </c>
      <c r="H14" s="30">
        <f>ROUND('Sum of Billing Determinants'!I22*-1*'Rate Calculations'!$G$9*(1-'Sum of Billing Determinants'!$AC22),0)</f>
        <v>-80</v>
      </c>
      <c r="I14" s="30">
        <f>ROUND('Sum of Billing Determinants'!J22*-1*'Rate Calculations'!$G$9*(1-'Sum of Billing Determinants'!$AC22),0)</f>
        <v>-111</v>
      </c>
      <c r="J14" s="30">
        <f>ROUND('Sum of Billing Determinants'!K22*-1*'Rate Calculations'!$G$9*(1-'Sum of Billing Determinants'!$AC22),0)</f>
        <v>-119</v>
      </c>
      <c r="K14" s="30">
        <f>ROUND('Sum of Billing Determinants'!L22*-1*'Rate Calculations'!$G$9*(1-'Sum of Billing Determinants'!$AC22),0)</f>
        <v>-113</v>
      </c>
      <c r="L14" s="30">
        <f>ROUND('Sum of Billing Determinants'!M22*-1*'Rate Calculations'!$G$9*(1-'Sum of Billing Determinants'!$AC22),0)</f>
        <v>-109</v>
      </c>
      <c r="M14" s="30">
        <f>ROUND('Sum of Billing Determinants'!N22*-1*'Rate Calculations'!$G$9*(1-'Sum of Billing Determinants'!$AC22),0)</f>
        <v>-101</v>
      </c>
      <c r="N14" s="30">
        <f t="shared" si="0"/>
        <v>-1044</v>
      </c>
    </row>
    <row r="15" spans="2:14" ht="15">
      <c r="B15" s="26">
        <f>'Sum of Billing Determinants'!A23</f>
        <v>10057</v>
      </c>
      <c r="C15" s="26" t="str">
        <f>'Sum of Billing Determinants'!B23</f>
        <v>Ashland, City of</v>
      </c>
      <c r="D15" s="30">
        <f>ROUND('Sum of Billing Determinants'!E23*-1*'Rate Calculations'!$G$9*(1-'Sum of Billing Determinants'!$AC23),0)</f>
        <v>-6359</v>
      </c>
      <c r="E15" s="30">
        <f>ROUND('Sum of Billing Determinants'!F23*-1*'Rate Calculations'!$G$9*(1-'Sum of Billing Determinants'!$AC23),0)</f>
        <v>-5252</v>
      </c>
      <c r="F15" s="30">
        <f>ROUND('Sum of Billing Determinants'!G23*-1*'Rate Calculations'!$G$9*(1-'Sum of Billing Determinants'!$AC23),0)</f>
        <v>-4552</v>
      </c>
      <c r="G15" s="30">
        <f>ROUND('Sum of Billing Determinants'!H23*-1*'Rate Calculations'!$G$9*(1-'Sum of Billing Determinants'!$AC23),0)</f>
        <v>-5435</v>
      </c>
      <c r="H15" s="30">
        <f>ROUND('Sum of Billing Determinants'!I23*-1*'Rate Calculations'!$G$9*(1-'Sum of Billing Determinants'!$AC23),0)</f>
        <v>-4219</v>
      </c>
      <c r="I15" s="30">
        <f>ROUND('Sum of Billing Determinants'!J23*-1*'Rate Calculations'!$G$9*(1-'Sum of Billing Determinants'!$AC23),0)</f>
        <v>-5846</v>
      </c>
      <c r="J15" s="30">
        <f>ROUND('Sum of Billing Determinants'!K23*-1*'Rate Calculations'!$G$9*(1-'Sum of Billing Determinants'!$AC23),0)</f>
        <v>-6246</v>
      </c>
      <c r="K15" s="30">
        <f>ROUND('Sum of Billing Determinants'!L23*-1*'Rate Calculations'!$G$9*(1-'Sum of Billing Determinants'!$AC23),0)</f>
        <v>-5931</v>
      </c>
      <c r="L15" s="30">
        <f>ROUND('Sum of Billing Determinants'!M23*-1*'Rate Calculations'!$G$9*(1-'Sum of Billing Determinants'!$AC23),0)</f>
        <v>-5731</v>
      </c>
      <c r="M15" s="30">
        <f>ROUND('Sum of Billing Determinants'!N23*-1*'Rate Calculations'!$G$9*(1-'Sum of Billing Determinants'!$AC23),0)</f>
        <v>-5296</v>
      </c>
      <c r="N15" s="30">
        <f t="shared" si="0"/>
        <v>-54867</v>
      </c>
    </row>
    <row r="16" spans="2:14" ht="15">
      <c r="B16" s="26">
        <f>'Sum of Billing Determinants'!A24</f>
        <v>10059</v>
      </c>
      <c r="C16" s="26" t="str">
        <f>'Sum of Billing Determinants'!B24</f>
        <v>Bandon, City of</v>
      </c>
      <c r="D16" s="30">
        <f>ROUND('Sum of Billing Determinants'!E24*-1*'Rate Calculations'!$G$9*(1-'Sum of Billing Determinants'!$AC24),0)</f>
        <v>-2320</v>
      </c>
      <c r="E16" s="30">
        <f>ROUND('Sum of Billing Determinants'!F24*-1*'Rate Calculations'!$G$9*(1-'Sum of Billing Determinants'!$AC24),0)</f>
        <v>-1916</v>
      </c>
      <c r="F16" s="30">
        <f>ROUND('Sum of Billing Determinants'!G24*-1*'Rate Calculations'!$G$9*(1-'Sum of Billing Determinants'!$AC24),0)</f>
        <v>-1661</v>
      </c>
      <c r="G16" s="30">
        <f>ROUND('Sum of Billing Determinants'!H24*-1*'Rate Calculations'!$G$9*(1-'Sum of Billing Determinants'!$AC24),0)</f>
        <v>-1982</v>
      </c>
      <c r="H16" s="30">
        <f>ROUND('Sum of Billing Determinants'!I24*-1*'Rate Calculations'!$G$9*(1-'Sum of Billing Determinants'!$AC24),0)</f>
        <v>-1539</v>
      </c>
      <c r="I16" s="30">
        <f>ROUND('Sum of Billing Determinants'!J24*-1*'Rate Calculations'!$G$9*(1-'Sum of Billing Determinants'!$AC24),0)</f>
        <v>-2132</v>
      </c>
      <c r="J16" s="30">
        <f>ROUND('Sum of Billing Determinants'!K24*-1*'Rate Calculations'!$G$9*(1-'Sum of Billing Determinants'!$AC24),0)</f>
        <v>-2278</v>
      </c>
      <c r="K16" s="30">
        <f>ROUND('Sum of Billing Determinants'!L24*-1*'Rate Calculations'!$G$9*(1-'Sum of Billing Determinants'!$AC24),0)</f>
        <v>-2163</v>
      </c>
      <c r="L16" s="30">
        <f>ROUND('Sum of Billing Determinants'!M24*-1*'Rate Calculations'!$G$9*(1-'Sum of Billing Determinants'!$AC24),0)</f>
        <v>-2091</v>
      </c>
      <c r="M16" s="30">
        <f>ROUND('Sum of Billing Determinants'!N24*-1*'Rate Calculations'!$G$9*(1-'Sum of Billing Determinants'!$AC24),0)</f>
        <v>-1932</v>
      </c>
      <c r="N16" s="30">
        <f t="shared" si="0"/>
        <v>-20014</v>
      </c>
    </row>
    <row r="17" spans="2:14" ht="15">
      <c r="B17" s="26">
        <f>'Sum of Billing Determinants'!A25</f>
        <v>10061</v>
      </c>
      <c r="C17" s="26" t="str">
        <f>'Sum of Billing Determinants'!B25</f>
        <v>Blaine, City of</v>
      </c>
      <c r="D17" s="30">
        <f>ROUND('Sum of Billing Determinants'!E25*-1*'Rate Calculations'!$G$9*(1-'Sum of Billing Determinants'!$AC25),0)</f>
        <v>-2656</v>
      </c>
      <c r="E17" s="30">
        <f>ROUND('Sum of Billing Determinants'!F25*-1*'Rate Calculations'!$G$9*(1-'Sum of Billing Determinants'!$AC25),0)</f>
        <v>-2194</v>
      </c>
      <c r="F17" s="30">
        <f>ROUND('Sum of Billing Determinants'!G25*-1*'Rate Calculations'!$G$9*(1-'Sum of Billing Determinants'!$AC25),0)</f>
        <v>-1901</v>
      </c>
      <c r="G17" s="30">
        <f>ROUND('Sum of Billing Determinants'!H25*-1*'Rate Calculations'!$G$9*(1-'Sum of Billing Determinants'!$AC25),0)</f>
        <v>-2270</v>
      </c>
      <c r="H17" s="30">
        <f>ROUND('Sum of Billing Determinants'!I25*-1*'Rate Calculations'!$G$9*(1-'Sum of Billing Determinants'!$AC25),0)</f>
        <v>-1762</v>
      </c>
      <c r="I17" s="30">
        <f>ROUND('Sum of Billing Determinants'!J25*-1*'Rate Calculations'!$G$9*(1-'Sum of Billing Determinants'!$AC25),0)</f>
        <v>-2441</v>
      </c>
      <c r="J17" s="30">
        <f>ROUND('Sum of Billing Determinants'!K25*-1*'Rate Calculations'!$G$9*(1-'Sum of Billing Determinants'!$AC25),0)</f>
        <v>-2609</v>
      </c>
      <c r="K17" s="30">
        <f>ROUND('Sum of Billing Determinants'!L25*-1*'Rate Calculations'!$G$9*(1-'Sum of Billing Determinants'!$AC25),0)</f>
        <v>-2477</v>
      </c>
      <c r="L17" s="30">
        <f>ROUND('Sum of Billing Determinants'!M25*-1*'Rate Calculations'!$G$9*(1-'Sum of Billing Determinants'!$AC25),0)</f>
        <v>-2394</v>
      </c>
      <c r="M17" s="30">
        <f>ROUND('Sum of Billing Determinants'!N25*-1*'Rate Calculations'!$G$9*(1-'Sum of Billing Determinants'!$AC25),0)</f>
        <v>-2212</v>
      </c>
      <c r="N17" s="30">
        <f t="shared" si="0"/>
        <v>-22916</v>
      </c>
    </row>
    <row r="18" spans="2:14" ht="15">
      <c r="B18" s="26">
        <f>'Sum of Billing Determinants'!A26</f>
        <v>10062</v>
      </c>
      <c r="C18" s="26" t="str">
        <f>'Sum of Billing Determinants'!B26</f>
        <v>Bonners Ferry, City of</v>
      </c>
      <c r="D18" s="30">
        <f>ROUND('Sum of Billing Determinants'!E26*-1*'Rate Calculations'!$G$9*(1-'Sum of Billing Determinants'!$AC26),0)</f>
        <v>-1615</v>
      </c>
      <c r="E18" s="30">
        <f>ROUND('Sum of Billing Determinants'!F26*-1*'Rate Calculations'!$G$9*(1-'Sum of Billing Determinants'!$AC26),0)</f>
        <v>-1334</v>
      </c>
      <c r="F18" s="30">
        <f>ROUND('Sum of Billing Determinants'!G26*-1*'Rate Calculations'!$G$9*(1-'Sum of Billing Determinants'!$AC26),0)</f>
        <v>-1156</v>
      </c>
      <c r="G18" s="30">
        <f>ROUND('Sum of Billing Determinants'!H26*-1*'Rate Calculations'!$G$9*(1-'Sum of Billing Determinants'!$AC26),0)</f>
        <v>-1380</v>
      </c>
      <c r="H18" s="30">
        <f>ROUND('Sum of Billing Determinants'!I26*-1*'Rate Calculations'!$G$9*(1-'Sum of Billing Determinants'!$AC26),0)</f>
        <v>-1072</v>
      </c>
      <c r="I18" s="30">
        <f>ROUND('Sum of Billing Determinants'!J26*-1*'Rate Calculations'!$G$9*(1-'Sum of Billing Determinants'!$AC26),0)</f>
        <v>-1485</v>
      </c>
      <c r="J18" s="30">
        <f>ROUND('Sum of Billing Determinants'!K26*-1*'Rate Calculations'!$G$9*(1-'Sum of Billing Determinants'!$AC26),0)</f>
        <v>-1587</v>
      </c>
      <c r="K18" s="30">
        <f>ROUND('Sum of Billing Determinants'!L26*-1*'Rate Calculations'!$G$9*(1-'Sum of Billing Determinants'!$AC26),0)</f>
        <v>-1506</v>
      </c>
      <c r="L18" s="30">
        <f>ROUND('Sum of Billing Determinants'!M26*-1*'Rate Calculations'!$G$9*(1-'Sum of Billing Determinants'!$AC26),0)</f>
        <v>-1456</v>
      </c>
      <c r="M18" s="30">
        <f>ROUND('Sum of Billing Determinants'!N26*-1*'Rate Calculations'!$G$9*(1-'Sum of Billing Determinants'!$AC26),0)</f>
        <v>-1345</v>
      </c>
      <c r="N18" s="30">
        <f t="shared" si="0"/>
        <v>-13936</v>
      </c>
    </row>
    <row r="19" spans="2:14" ht="15">
      <c r="B19" s="26">
        <f>'Sum of Billing Determinants'!A27</f>
        <v>10064</v>
      </c>
      <c r="C19" s="26" t="str">
        <f>'Sum of Billing Determinants'!B27</f>
        <v>Burley, City of</v>
      </c>
      <c r="D19" s="30">
        <f>ROUND('Sum of Billing Determinants'!E27*-1*'Rate Calculations'!$G$9*(1-'Sum of Billing Determinants'!$AC27),0)</f>
        <v>-4271</v>
      </c>
      <c r="E19" s="30">
        <f>ROUND('Sum of Billing Determinants'!F27*-1*'Rate Calculations'!$G$9*(1-'Sum of Billing Determinants'!$AC27),0)</f>
        <v>-3528</v>
      </c>
      <c r="F19" s="30">
        <f>ROUND('Sum of Billing Determinants'!G27*-1*'Rate Calculations'!$G$9*(1-'Sum of Billing Determinants'!$AC27),0)</f>
        <v>-3057</v>
      </c>
      <c r="G19" s="30">
        <f>ROUND('Sum of Billing Determinants'!H27*-1*'Rate Calculations'!$G$9*(1-'Sum of Billing Determinants'!$AC27),0)</f>
        <v>-3650</v>
      </c>
      <c r="H19" s="30">
        <f>ROUND('Sum of Billing Determinants'!I27*-1*'Rate Calculations'!$G$9*(1-'Sum of Billing Determinants'!$AC27),0)</f>
        <v>-2834</v>
      </c>
      <c r="I19" s="30">
        <f>ROUND('Sum of Billing Determinants'!J27*-1*'Rate Calculations'!$G$9*(1-'Sum of Billing Determinants'!$AC27),0)</f>
        <v>-3926</v>
      </c>
      <c r="J19" s="30">
        <f>ROUND('Sum of Billing Determinants'!K27*-1*'Rate Calculations'!$G$9*(1-'Sum of Billing Determinants'!$AC27),0)</f>
        <v>-4195</v>
      </c>
      <c r="K19" s="30">
        <f>ROUND('Sum of Billing Determinants'!L27*-1*'Rate Calculations'!$G$9*(1-'Sum of Billing Determinants'!$AC27),0)</f>
        <v>-3983</v>
      </c>
      <c r="L19" s="30">
        <f>ROUND('Sum of Billing Determinants'!M27*-1*'Rate Calculations'!$G$9*(1-'Sum of Billing Determinants'!$AC27),0)</f>
        <v>-3849</v>
      </c>
      <c r="M19" s="30">
        <f>ROUND('Sum of Billing Determinants'!N27*-1*'Rate Calculations'!$G$9*(1-'Sum of Billing Determinants'!$AC27),0)</f>
        <v>-3557</v>
      </c>
      <c r="N19" s="30">
        <f t="shared" si="0"/>
        <v>-36850</v>
      </c>
    </row>
    <row r="20" spans="2:14" ht="15">
      <c r="B20" s="26">
        <f>'Sum of Billing Determinants'!A28</f>
        <v>10065</v>
      </c>
      <c r="C20" s="26" t="str">
        <f>'Sum of Billing Determinants'!B28</f>
        <v>Cascade Locks, City of</v>
      </c>
      <c r="D20" s="30">
        <f>ROUND('Sum of Billing Determinants'!E28*-1*'Rate Calculations'!$G$9*(1-'Sum of Billing Determinants'!$AC28),0)</f>
        <v>-666</v>
      </c>
      <c r="E20" s="30">
        <f>ROUND('Sum of Billing Determinants'!F28*-1*'Rate Calculations'!$G$9*(1-'Sum of Billing Determinants'!$AC28),0)</f>
        <v>-550</v>
      </c>
      <c r="F20" s="30">
        <f>ROUND('Sum of Billing Determinants'!G28*-1*'Rate Calculations'!$G$9*(1-'Sum of Billing Determinants'!$AC28),0)</f>
        <v>-477</v>
      </c>
      <c r="G20" s="30">
        <f>ROUND('Sum of Billing Determinants'!H28*-1*'Rate Calculations'!$G$9*(1-'Sum of Billing Determinants'!$AC28),0)</f>
        <v>-570</v>
      </c>
      <c r="H20" s="30">
        <f>ROUND('Sum of Billing Determinants'!I28*-1*'Rate Calculations'!$G$9*(1-'Sum of Billing Determinants'!$AC28),0)</f>
        <v>-442</v>
      </c>
      <c r="I20" s="30">
        <f>ROUND('Sum of Billing Determinants'!J28*-1*'Rate Calculations'!$G$9*(1-'Sum of Billing Determinants'!$AC28),0)</f>
        <v>-613</v>
      </c>
      <c r="J20" s="30">
        <f>ROUND('Sum of Billing Determinants'!K28*-1*'Rate Calculations'!$G$9*(1-'Sum of Billing Determinants'!$AC28),0)</f>
        <v>-655</v>
      </c>
      <c r="K20" s="30">
        <f>ROUND('Sum of Billing Determinants'!L28*-1*'Rate Calculations'!$G$9*(1-'Sum of Billing Determinants'!$AC28),0)</f>
        <v>-622</v>
      </c>
      <c r="L20" s="30">
        <f>ROUND('Sum of Billing Determinants'!M28*-1*'Rate Calculations'!$G$9*(1-'Sum of Billing Determinants'!$AC28),0)</f>
        <v>-601</v>
      </c>
      <c r="M20" s="30">
        <f>ROUND('Sum of Billing Determinants'!N28*-1*'Rate Calculations'!$G$9*(1-'Sum of Billing Determinants'!$AC28),0)</f>
        <v>-555</v>
      </c>
      <c r="N20" s="30">
        <f t="shared" si="0"/>
        <v>-5751</v>
      </c>
    </row>
    <row r="21" spans="2:14" ht="15">
      <c r="B21" s="26">
        <f>'Sum of Billing Determinants'!A29</f>
        <v>10066</v>
      </c>
      <c r="C21" s="26" t="str">
        <f>'Sum of Billing Determinants'!B29</f>
        <v>Centralia, City of</v>
      </c>
      <c r="D21" s="30">
        <f>ROUND('Sum of Billing Determinants'!E29*-1*'Rate Calculations'!$G$9*(1-'Sum of Billing Determinants'!$AC29),0)</f>
        <v>-7401</v>
      </c>
      <c r="E21" s="30">
        <f>ROUND('Sum of Billing Determinants'!F29*-1*'Rate Calculations'!$G$9*(1-'Sum of Billing Determinants'!$AC29),0)</f>
        <v>-6113</v>
      </c>
      <c r="F21" s="30">
        <f>ROUND('Sum of Billing Determinants'!G29*-1*'Rate Calculations'!$G$9*(1-'Sum of Billing Determinants'!$AC29),0)</f>
        <v>-5298</v>
      </c>
      <c r="G21" s="30">
        <f>ROUND('Sum of Billing Determinants'!H29*-1*'Rate Calculations'!$G$9*(1-'Sum of Billing Determinants'!$AC29),0)</f>
        <v>-6325</v>
      </c>
      <c r="H21" s="30">
        <f>ROUND('Sum of Billing Determinants'!I29*-1*'Rate Calculations'!$G$9*(1-'Sum of Billing Determinants'!$AC29),0)</f>
        <v>-4910</v>
      </c>
      <c r="I21" s="30">
        <f>ROUND('Sum of Billing Determinants'!J29*-1*'Rate Calculations'!$G$9*(1-'Sum of Billing Determinants'!$AC29),0)</f>
        <v>-6803</v>
      </c>
      <c r="J21" s="30">
        <f>ROUND('Sum of Billing Determinants'!K29*-1*'Rate Calculations'!$G$9*(1-'Sum of Billing Determinants'!$AC29),0)</f>
        <v>-7269</v>
      </c>
      <c r="K21" s="30">
        <f>ROUND('Sum of Billing Determinants'!L29*-1*'Rate Calculations'!$G$9*(1-'Sum of Billing Determinants'!$AC29),0)</f>
        <v>-6902</v>
      </c>
      <c r="L21" s="30">
        <f>ROUND('Sum of Billing Determinants'!M29*-1*'Rate Calculations'!$G$9*(1-'Sum of Billing Determinants'!$AC29),0)</f>
        <v>-6670</v>
      </c>
      <c r="M21" s="30">
        <f>ROUND('Sum of Billing Determinants'!N29*-1*'Rate Calculations'!$G$9*(1-'Sum of Billing Determinants'!$AC29),0)</f>
        <v>-6164</v>
      </c>
      <c r="N21" s="30">
        <f t="shared" si="0"/>
        <v>-63855</v>
      </c>
    </row>
    <row r="22" spans="2:14" ht="15">
      <c r="B22" s="26">
        <f>'Sum of Billing Determinants'!A30</f>
        <v>10067</v>
      </c>
      <c r="C22" s="26" t="str">
        <f>'Sum of Billing Determinants'!B30</f>
        <v>Cheney, City of</v>
      </c>
      <c r="D22" s="30">
        <f>ROUND('Sum of Billing Determinants'!E30*-1*'Rate Calculations'!$G$9*(1-'Sum of Billing Determinants'!$AC30),0)</f>
        <v>-4803</v>
      </c>
      <c r="E22" s="30">
        <f>ROUND('Sum of Billing Determinants'!F30*-1*'Rate Calculations'!$G$9*(1-'Sum of Billing Determinants'!$AC30),0)</f>
        <v>-3967</v>
      </c>
      <c r="F22" s="30">
        <f>ROUND('Sum of Billing Determinants'!G30*-1*'Rate Calculations'!$G$9*(1-'Sum of Billing Determinants'!$AC30),0)</f>
        <v>-3438</v>
      </c>
      <c r="G22" s="30">
        <f>ROUND('Sum of Billing Determinants'!H30*-1*'Rate Calculations'!$G$9*(1-'Sum of Billing Determinants'!$AC30),0)</f>
        <v>-4105</v>
      </c>
      <c r="H22" s="30">
        <f>ROUND('Sum of Billing Determinants'!I30*-1*'Rate Calculations'!$G$9*(1-'Sum of Billing Determinants'!$AC30),0)</f>
        <v>-3187</v>
      </c>
      <c r="I22" s="30">
        <f>ROUND('Sum of Billing Determinants'!J30*-1*'Rate Calculations'!$G$9*(1-'Sum of Billing Determinants'!$AC30),0)</f>
        <v>-4415</v>
      </c>
      <c r="J22" s="30">
        <f>ROUND('Sum of Billing Determinants'!K30*-1*'Rate Calculations'!$G$9*(1-'Sum of Billing Determinants'!$AC30),0)</f>
        <v>-4718</v>
      </c>
      <c r="K22" s="30">
        <f>ROUND('Sum of Billing Determinants'!L30*-1*'Rate Calculations'!$G$9*(1-'Sum of Billing Determinants'!$AC30),0)</f>
        <v>-4479</v>
      </c>
      <c r="L22" s="30">
        <f>ROUND('Sum of Billing Determinants'!M30*-1*'Rate Calculations'!$G$9*(1-'Sum of Billing Determinants'!$AC30),0)</f>
        <v>-4329</v>
      </c>
      <c r="M22" s="30">
        <f>ROUND('Sum of Billing Determinants'!N30*-1*'Rate Calculations'!$G$9*(1-'Sum of Billing Determinants'!$AC30),0)</f>
        <v>-4000</v>
      </c>
      <c r="N22" s="30">
        <f t="shared" si="0"/>
        <v>-41441</v>
      </c>
    </row>
    <row r="23" spans="2:14" ht="15">
      <c r="B23" s="26">
        <f>'Sum of Billing Determinants'!A31</f>
        <v>10068</v>
      </c>
      <c r="C23" s="26" t="str">
        <f>'Sum of Billing Determinants'!B31</f>
        <v>Chewelah, City of</v>
      </c>
      <c r="D23" s="30">
        <f>ROUND('Sum of Billing Determinants'!E31*-1*'Rate Calculations'!$G$9*(1-'Sum of Billing Determinants'!$AC31),0)</f>
        <v>-824</v>
      </c>
      <c r="E23" s="30">
        <f>ROUND('Sum of Billing Determinants'!F31*-1*'Rate Calculations'!$G$9*(1-'Sum of Billing Determinants'!$AC31),0)</f>
        <v>-681</v>
      </c>
      <c r="F23" s="30">
        <f>ROUND('Sum of Billing Determinants'!G31*-1*'Rate Calculations'!$G$9*(1-'Sum of Billing Determinants'!$AC31),0)</f>
        <v>-590</v>
      </c>
      <c r="G23" s="30">
        <f>ROUND('Sum of Billing Determinants'!H31*-1*'Rate Calculations'!$G$9*(1-'Sum of Billing Determinants'!$AC31),0)</f>
        <v>-704</v>
      </c>
      <c r="H23" s="30">
        <f>ROUND('Sum of Billing Determinants'!I31*-1*'Rate Calculations'!$G$9*(1-'Sum of Billing Determinants'!$AC31),0)</f>
        <v>-547</v>
      </c>
      <c r="I23" s="30">
        <f>ROUND('Sum of Billing Determinants'!J31*-1*'Rate Calculations'!$G$9*(1-'Sum of Billing Determinants'!$AC31),0)</f>
        <v>-758</v>
      </c>
      <c r="J23" s="30">
        <f>ROUND('Sum of Billing Determinants'!K31*-1*'Rate Calculations'!$G$9*(1-'Sum of Billing Determinants'!$AC31),0)</f>
        <v>-809</v>
      </c>
      <c r="K23" s="30">
        <f>ROUND('Sum of Billing Determinants'!L31*-1*'Rate Calculations'!$G$9*(1-'Sum of Billing Determinants'!$AC31),0)</f>
        <v>-769</v>
      </c>
      <c r="L23" s="30">
        <f>ROUND('Sum of Billing Determinants'!M31*-1*'Rate Calculations'!$G$9*(1-'Sum of Billing Determinants'!$AC31),0)</f>
        <v>-743</v>
      </c>
      <c r="M23" s="30">
        <f>ROUND('Sum of Billing Determinants'!N31*-1*'Rate Calculations'!$G$9*(1-'Sum of Billing Determinants'!$AC31),0)</f>
        <v>-686</v>
      </c>
      <c r="N23" s="30">
        <f t="shared" si="0"/>
        <v>-7111</v>
      </c>
    </row>
    <row r="24" spans="2:14" ht="15">
      <c r="B24" s="26">
        <f>'Sum of Billing Determinants'!A32</f>
        <v>10070</v>
      </c>
      <c r="C24" s="26" t="str">
        <f>'Sum of Billing Determinants'!B32</f>
        <v>Declo, City of</v>
      </c>
      <c r="D24" s="30">
        <f>ROUND('Sum of Billing Determinants'!E32*-1*'Rate Calculations'!$G$9*(1-'Sum of Billing Determinants'!$AC32),0)</f>
        <v>-109</v>
      </c>
      <c r="E24" s="30">
        <f>ROUND('Sum of Billing Determinants'!F32*-1*'Rate Calculations'!$G$9*(1-'Sum of Billing Determinants'!$AC32),0)</f>
        <v>-90</v>
      </c>
      <c r="F24" s="30">
        <f>ROUND('Sum of Billing Determinants'!G32*-1*'Rate Calculations'!$G$9*(1-'Sum of Billing Determinants'!$AC32),0)</f>
        <v>-78</v>
      </c>
      <c r="G24" s="30">
        <f>ROUND('Sum of Billing Determinants'!H32*-1*'Rate Calculations'!$G$9*(1-'Sum of Billing Determinants'!$AC32),0)</f>
        <v>-93</v>
      </c>
      <c r="H24" s="30">
        <f>ROUND('Sum of Billing Determinants'!I32*-1*'Rate Calculations'!$G$9*(1-'Sum of Billing Determinants'!$AC32),0)</f>
        <v>-72</v>
      </c>
      <c r="I24" s="30">
        <f>ROUND('Sum of Billing Determinants'!J32*-1*'Rate Calculations'!$G$9*(1-'Sum of Billing Determinants'!$AC32),0)</f>
        <v>-100</v>
      </c>
      <c r="J24" s="30">
        <f>ROUND('Sum of Billing Determinants'!K32*-1*'Rate Calculations'!$G$9*(1-'Sum of Billing Determinants'!$AC32),0)</f>
        <v>-107</v>
      </c>
      <c r="K24" s="30">
        <f>ROUND('Sum of Billing Determinants'!L32*-1*'Rate Calculations'!$G$9*(1-'Sum of Billing Determinants'!$AC32),0)</f>
        <v>-102</v>
      </c>
      <c r="L24" s="30">
        <f>ROUND('Sum of Billing Determinants'!M32*-1*'Rate Calculations'!$G$9*(1-'Sum of Billing Determinants'!$AC32),0)</f>
        <v>-98</v>
      </c>
      <c r="M24" s="30">
        <f>ROUND('Sum of Billing Determinants'!N32*-1*'Rate Calculations'!$G$9*(1-'Sum of Billing Determinants'!$AC32),0)</f>
        <v>-91</v>
      </c>
      <c r="N24" s="30">
        <f t="shared" si="0"/>
        <v>-940</v>
      </c>
    </row>
    <row r="25" spans="2:14" ht="15">
      <c r="B25" s="26">
        <f>'Sum of Billing Determinants'!A33</f>
        <v>10071</v>
      </c>
      <c r="C25" s="26" t="str">
        <f>'Sum of Billing Determinants'!B33</f>
        <v>Drain, City of</v>
      </c>
      <c r="D25" s="30">
        <f>ROUND('Sum of Billing Determinants'!E33*-1*'Rate Calculations'!$G$9*(1-'Sum of Billing Determinants'!$AC33),0)</f>
        <v>-581</v>
      </c>
      <c r="E25" s="30">
        <f>ROUND('Sum of Billing Determinants'!F33*-1*'Rate Calculations'!$G$9*(1-'Sum of Billing Determinants'!$AC33),0)</f>
        <v>-480</v>
      </c>
      <c r="F25" s="30">
        <f>ROUND('Sum of Billing Determinants'!G33*-1*'Rate Calculations'!$G$9*(1-'Sum of Billing Determinants'!$AC33),0)</f>
        <v>-416</v>
      </c>
      <c r="G25" s="30">
        <f>ROUND('Sum of Billing Determinants'!H33*-1*'Rate Calculations'!$G$9*(1-'Sum of Billing Determinants'!$AC33),0)</f>
        <v>-497</v>
      </c>
      <c r="H25" s="30">
        <f>ROUND('Sum of Billing Determinants'!I33*-1*'Rate Calculations'!$G$9*(1-'Sum of Billing Determinants'!$AC33),0)</f>
        <v>-386</v>
      </c>
      <c r="I25" s="30">
        <f>ROUND('Sum of Billing Determinants'!J33*-1*'Rate Calculations'!$G$9*(1-'Sum of Billing Determinants'!$AC33),0)</f>
        <v>-534</v>
      </c>
      <c r="J25" s="30">
        <f>ROUND('Sum of Billing Determinants'!K33*-1*'Rate Calculations'!$G$9*(1-'Sum of Billing Determinants'!$AC33),0)</f>
        <v>-571</v>
      </c>
      <c r="K25" s="30">
        <f>ROUND('Sum of Billing Determinants'!L33*-1*'Rate Calculations'!$G$9*(1-'Sum of Billing Determinants'!$AC33),0)</f>
        <v>-542</v>
      </c>
      <c r="L25" s="30">
        <f>ROUND('Sum of Billing Determinants'!M33*-1*'Rate Calculations'!$G$9*(1-'Sum of Billing Determinants'!$AC33),0)</f>
        <v>-524</v>
      </c>
      <c r="M25" s="30">
        <f>ROUND('Sum of Billing Determinants'!N33*-1*'Rate Calculations'!$G$9*(1-'Sum of Billing Determinants'!$AC33),0)</f>
        <v>-484</v>
      </c>
      <c r="N25" s="30">
        <f t="shared" si="0"/>
        <v>-5015</v>
      </c>
    </row>
    <row r="26" spans="2:14" ht="15">
      <c r="B26" s="26">
        <f>'Sum of Billing Determinants'!A34</f>
        <v>10072</v>
      </c>
      <c r="C26" s="26" t="str">
        <f>'Sum of Billing Determinants'!B34</f>
        <v>Ellensburg, City of</v>
      </c>
      <c r="D26" s="30">
        <f>ROUND('Sum of Billing Determinants'!E34*-1*'Rate Calculations'!$G$9*(1-'Sum of Billing Determinants'!$AC34),0)</f>
        <v>-7282</v>
      </c>
      <c r="E26" s="30">
        <f>ROUND('Sum of Billing Determinants'!F34*-1*'Rate Calculations'!$G$9*(1-'Sum of Billing Determinants'!$AC34),0)</f>
        <v>-6015</v>
      </c>
      <c r="F26" s="30">
        <f>ROUND('Sum of Billing Determinants'!G34*-1*'Rate Calculations'!$G$9*(1-'Sum of Billing Determinants'!$AC34),0)</f>
        <v>-5213</v>
      </c>
      <c r="G26" s="30">
        <f>ROUND('Sum of Billing Determinants'!H34*-1*'Rate Calculations'!$G$9*(1-'Sum of Billing Determinants'!$AC34),0)</f>
        <v>-6224</v>
      </c>
      <c r="H26" s="30">
        <f>ROUND('Sum of Billing Determinants'!I34*-1*'Rate Calculations'!$G$9*(1-'Sum of Billing Determinants'!$AC34),0)</f>
        <v>-4832</v>
      </c>
      <c r="I26" s="30">
        <f>ROUND('Sum of Billing Determinants'!J34*-1*'Rate Calculations'!$G$9*(1-'Sum of Billing Determinants'!$AC34),0)</f>
        <v>-6695</v>
      </c>
      <c r="J26" s="30">
        <f>ROUND('Sum of Billing Determinants'!K34*-1*'Rate Calculations'!$G$9*(1-'Sum of Billing Determinants'!$AC34),0)</f>
        <v>-7153</v>
      </c>
      <c r="K26" s="30">
        <f>ROUND('Sum of Billing Determinants'!L34*-1*'Rate Calculations'!$G$9*(1-'Sum of Billing Determinants'!$AC34),0)</f>
        <v>-6792</v>
      </c>
      <c r="L26" s="30">
        <f>ROUND('Sum of Billing Determinants'!M34*-1*'Rate Calculations'!$G$9*(1-'Sum of Billing Determinants'!$AC34),0)</f>
        <v>-6564</v>
      </c>
      <c r="M26" s="30">
        <f>ROUND('Sum of Billing Determinants'!N34*-1*'Rate Calculations'!$G$9*(1-'Sum of Billing Determinants'!$AC34),0)</f>
        <v>-6066</v>
      </c>
      <c r="N26" s="30">
        <f t="shared" si="0"/>
        <v>-62836</v>
      </c>
    </row>
    <row r="27" spans="2:14" ht="15">
      <c r="B27" s="26">
        <f>'Sum of Billing Determinants'!A35</f>
        <v>10074</v>
      </c>
      <c r="C27" s="26" t="str">
        <f>'Sum of Billing Determinants'!B35</f>
        <v>Forest Grove, City of</v>
      </c>
      <c r="D27" s="30">
        <f>ROUND('Sum of Billing Determinants'!E35*-1*'Rate Calculations'!$G$9*(1-'Sum of Billing Determinants'!$AC35),0)</f>
        <v>-8102</v>
      </c>
      <c r="E27" s="30">
        <f>ROUND('Sum of Billing Determinants'!F35*-1*'Rate Calculations'!$G$9*(1-'Sum of Billing Determinants'!$AC35),0)</f>
        <v>-6692</v>
      </c>
      <c r="F27" s="30">
        <f>ROUND('Sum of Billing Determinants'!G35*-1*'Rate Calculations'!$G$9*(1-'Sum of Billing Determinants'!$AC35),0)</f>
        <v>-5800</v>
      </c>
      <c r="G27" s="30">
        <f>ROUND('Sum of Billing Determinants'!H35*-1*'Rate Calculations'!$G$9*(1-'Sum of Billing Determinants'!$AC35),0)</f>
        <v>-6924</v>
      </c>
      <c r="H27" s="30">
        <f>ROUND('Sum of Billing Determinants'!I35*-1*'Rate Calculations'!$G$9*(1-'Sum of Billing Determinants'!$AC35),0)</f>
        <v>-5376</v>
      </c>
      <c r="I27" s="30">
        <f>ROUND('Sum of Billing Determinants'!J35*-1*'Rate Calculations'!$G$9*(1-'Sum of Billing Determinants'!$AC35),0)</f>
        <v>-7448</v>
      </c>
      <c r="J27" s="30">
        <f>ROUND('Sum of Billing Determinants'!K35*-1*'Rate Calculations'!$G$9*(1-'Sum of Billing Determinants'!$AC35),0)</f>
        <v>-7959</v>
      </c>
      <c r="K27" s="30">
        <f>ROUND('Sum of Billing Determinants'!L35*-1*'Rate Calculations'!$G$9*(1-'Sum of Billing Determinants'!$AC35),0)</f>
        <v>-7556</v>
      </c>
      <c r="L27" s="30">
        <f>ROUND('Sum of Billing Determinants'!M35*-1*'Rate Calculations'!$G$9*(1-'Sum of Billing Determinants'!$AC35),0)</f>
        <v>-7303</v>
      </c>
      <c r="M27" s="30">
        <f>ROUND('Sum of Billing Determinants'!N35*-1*'Rate Calculations'!$G$9*(1-'Sum of Billing Determinants'!$AC35),0)</f>
        <v>-6748</v>
      </c>
      <c r="N27" s="30">
        <f t="shared" si="0"/>
        <v>-69908</v>
      </c>
    </row>
    <row r="28" spans="2:14" ht="15">
      <c r="B28" s="26">
        <f>'Sum of Billing Determinants'!A36</f>
        <v>10076</v>
      </c>
      <c r="C28" s="26" t="str">
        <f>'Sum of Billing Determinants'!B36</f>
        <v>Heyburn, City of</v>
      </c>
      <c r="D28" s="30">
        <f>ROUND('Sum of Billing Determinants'!E36*-1*'Rate Calculations'!$G$9*(1-'Sum of Billing Determinants'!$AC36),0)</f>
        <v>-1463</v>
      </c>
      <c r="E28" s="30">
        <f>ROUND('Sum of Billing Determinants'!F36*-1*'Rate Calculations'!$G$9*(1-'Sum of Billing Determinants'!$AC36),0)</f>
        <v>-1208</v>
      </c>
      <c r="F28" s="30">
        <f>ROUND('Sum of Billing Determinants'!G36*-1*'Rate Calculations'!$G$9*(1-'Sum of Billing Determinants'!$AC36),0)</f>
        <v>-1047</v>
      </c>
      <c r="G28" s="30">
        <f>ROUND('Sum of Billing Determinants'!H36*-1*'Rate Calculations'!$G$9*(1-'Sum of Billing Determinants'!$AC36),0)</f>
        <v>-1250</v>
      </c>
      <c r="H28" s="30">
        <f>ROUND('Sum of Billing Determinants'!I36*-1*'Rate Calculations'!$G$9*(1-'Sum of Billing Determinants'!$AC36),0)</f>
        <v>-970</v>
      </c>
      <c r="I28" s="30">
        <f>ROUND('Sum of Billing Determinants'!J36*-1*'Rate Calculations'!$G$9*(1-'Sum of Billing Determinants'!$AC36),0)</f>
        <v>-1345</v>
      </c>
      <c r="J28" s="30">
        <f>ROUND('Sum of Billing Determinants'!K36*-1*'Rate Calculations'!$G$9*(1-'Sum of Billing Determinants'!$AC36),0)</f>
        <v>-1437</v>
      </c>
      <c r="K28" s="30">
        <f>ROUND('Sum of Billing Determinants'!L36*-1*'Rate Calculations'!$G$9*(1-'Sum of Billing Determinants'!$AC36),0)</f>
        <v>-1364</v>
      </c>
      <c r="L28" s="30">
        <f>ROUND('Sum of Billing Determinants'!M36*-1*'Rate Calculations'!$G$9*(1-'Sum of Billing Determinants'!$AC36),0)</f>
        <v>-1318</v>
      </c>
      <c r="M28" s="30">
        <f>ROUND('Sum of Billing Determinants'!N36*-1*'Rate Calculations'!$G$9*(1-'Sum of Billing Determinants'!$AC36),0)</f>
        <v>-1218</v>
      </c>
      <c r="N28" s="30">
        <f t="shared" si="0"/>
        <v>-12620</v>
      </c>
    </row>
    <row r="29" spans="2:14" ht="15">
      <c r="B29" s="26">
        <f>'Sum of Billing Determinants'!A37</f>
        <v>10078</v>
      </c>
      <c r="C29" s="26" t="str">
        <f>'Sum of Billing Determinants'!B37</f>
        <v>McCleary, City of</v>
      </c>
      <c r="D29" s="30">
        <f>ROUND('Sum of Billing Determinants'!E37*-1*'Rate Calculations'!$G$9*(1-'Sum of Billing Determinants'!$AC37),0)</f>
        <v>-1129</v>
      </c>
      <c r="E29" s="30">
        <f>ROUND('Sum of Billing Determinants'!F37*-1*'Rate Calculations'!$G$9*(1-'Sum of Billing Determinants'!$AC37),0)</f>
        <v>-932</v>
      </c>
      <c r="F29" s="30">
        <f>ROUND('Sum of Billing Determinants'!G37*-1*'Rate Calculations'!$G$9*(1-'Sum of Billing Determinants'!$AC37),0)</f>
        <v>-808</v>
      </c>
      <c r="G29" s="30">
        <f>ROUND('Sum of Billing Determinants'!H37*-1*'Rate Calculations'!$G$9*(1-'Sum of Billing Determinants'!$AC37),0)</f>
        <v>-965</v>
      </c>
      <c r="H29" s="30">
        <f>ROUND('Sum of Billing Determinants'!I37*-1*'Rate Calculations'!$G$9*(1-'Sum of Billing Determinants'!$AC37),0)</f>
        <v>-749</v>
      </c>
      <c r="I29" s="30">
        <f>ROUND('Sum of Billing Determinants'!J37*-1*'Rate Calculations'!$G$9*(1-'Sum of Billing Determinants'!$AC37),0)</f>
        <v>-1038</v>
      </c>
      <c r="J29" s="30">
        <f>ROUND('Sum of Billing Determinants'!K37*-1*'Rate Calculations'!$G$9*(1-'Sum of Billing Determinants'!$AC37),0)</f>
        <v>-1109</v>
      </c>
      <c r="K29" s="30">
        <f>ROUND('Sum of Billing Determinants'!L37*-1*'Rate Calculations'!$G$9*(1-'Sum of Billing Determinants'!$AC37),0)</f>
        <v>-1053</v>
      </c>
      <c r="L29" s="30">
        <f>ROUND('Sum of Billing Determinants'!M37*-1*'Rate Calculations'!$G$9*(1-'Sum of Billing Determinants'!$AC37),0)</f>
        <v>-1017</v>
      </c>
      <c r="M29" s="30">
        <f>ROUND('Sum of Billing Determinants'!N37*-1*'Rate Calculations'!$G$9*(1-'Sum of Billing Determinants'!$AC37),0)</f>
        <v>-940</v>
      </c>
      <c r="N29" s="30">
        <f t="shared" si="0"/>
        <v>-9740</v>
      </c>
    </row>
    <row r="30" spans="2:14" ht="15">
      <c r="B30" s="26">
        <f>'Sum of Billing Determinants'!A38</f>
        <v>10079</v>
      </c>
      <c r="C30" s="26" t="str">
        <f>'Sum of Billing Determinants'!B38</f>
        <v>McMinnville, City of</v>
      </c>
      <c r="D30" s="30">
        <f>ROUND('Sum of Billing Determinants'!E38*-1*'Rate Calculations'!$G$9*(1-'Sum of Billing Determinants'!$AC38),0)</f>
        <v>-25850</v>
      </c>
      <c r="E30" s="30">
        <f>ROUND('Sum of Billing Determinants'!F38*-1*'Rate Calculations'!$G$9*(1-'Sum of Billing Determinants'!$AC38),0)</f>
        <v>-21351</v>
      </c>
      <c r="F30" s="30">
        <f>ROUND('Sum of Billing Determinants'!G38*-1*'Rate Calculations'!$G$9*(1-'Sum of Billing Determinants'!$AC38),0)</f>
        <v>-18505</v>
      </c>
      <c r="G30" s="30">
        <f>ROUND('Sum of Billing Determinants'!H38*-1*'Rate Calculations'!$G$9*(1-'Sum of Billing Determinants'!$AC38),0)</f>
        <v>-22092</v>
      </c>
      <c r="H30" s="30">
        <f>ROUND('Sum of Billing Determinants'!I38*-1*'Rate Calculations'!$G$9*(1-'Sum of Billing Determinants'!$AC38),0)</f>
        <v>-17151</v>
      </c>
      <c r="I30" s="30">
        <f>ROUND('Sum of Billing Determinants'!J38*-1*'Rate Calculations'!$G$9*(1-'Sum of Billing Determinants'!$AC38),0)</f>
        <v>-23763</v>
      </c>
      <c r="J30" s="30">
        <f>ROUND('Sum of Billing Determinants'!K38*-1*'Rate Calculations'!$G$9*(1-'Sum of Billing Determinants'!$AC38),0)</f>
        <v>-25392</v>
      </c>
      <c r="K30" s="30">
        <f>ROUND('Sum of Billing Determinants'!L38*-1*'Rate Calculations'!$G$9*(1-'Sum of Billing Determinants'!$AC38),0)</f>
        <v>-24108</v>
      </c>
      <c r="L30" s="30">
        <f>ROUND('Sum of Billing Determinants'!M38*-1*'Rate Calculations'!$G$9*(1-'Sum of Billing Determinants'!$AC38),0)</f>
        <v>-23299</v>
      </c>
      <c r="M30" s="30">
        <f>ROUND('Sum of Billing Determinants'!N38*-1*'Rate Calculations'!$G$9*(1-'Sum of Billing Determinants'!$AC38),0)</f>
        <v>-21530</v>
      </c>
      <c r="N30" s="30">
        <f t="shared" si="0"/>
        <v>-223041</v>
      </c>
    </row>
    <row r="31" spans="2:14" ht="15">
      <c r="B31" s="26">
        <f>'Sum of Billing Determinants'!A39</f>
        <v>10080</v>
      </c>
      <c r="C31" s="26" t="str">
        <f>'Sum of Billing Determinants'!B39</f>
        <v>Milton, Town of</v>
      </c>
      <c r="D31" s="30">
        <f>ROUND('Sum of Billing Determinants'!E39*-1*'Rate Calculations'!$G$9*(1-'Sum of Billing Determinants'!$AC39),0)</f>
        <v>-2184</v>
      </c>
      <c r="E31" s="30">
        <f>ROUND('Sum of Billing Determinants'!F39*-1*'Rate Calculations'!$G$9*(1-'Sum of Billing Determinants'!$AC39),0)</f>
        <v>-1804</v>
      </c>
      <c r="F31" s="30">
        <f>ROUND('Sum of Billing Determinants'!G39*-1*'Rate Calculations'!$G$9*(1-'Sum of Billing Determinants'!$AC39),0)</f>
        <v>-1563</v>
      </c>
      <c r="G31" s="30">
        <f>ROUND('Sum of Billing Determinants'!H39*-1*'Rate Calculations'!$G$9*(1-'Sum of Billing Determinants'!$AC39),0)</f>
        <v>-1866</v>
      </c>
      <c r="H31" s="30">
        <f>ROUND('Sum of Billing Determinants'!I39*-1*'Rate Calculations'!$G$9*(1-'Sum of Billing Determinants'!$AC39),0)</f>
        <v>-1449</v>
      </c>
      <c r="I31" s="30">
        <f>ROUND('Sum of Billing Determinants'!J39*-1*'Rate Calculations'!$G$9*(1-'Sum of Billing Determinants'!$AC39),0)</f>
        <v>-2008</v>
      </c>
      <c r="J31" s="30">
        <f>ROUND('Sum of Billing Determinants'!K39*-1*'Rate Calculations'!$G$9*(1-'Sum of Billing Determinants'!$AC39),0)</f>
        <v>-2145</v>
      </c>
      <c r="K31" s="30">
        <f>ROUND('Sum of Billing Determinants'!L39*-1*'Rate Calculations'!$G$9*(1-'Sum of Billing Determinants'!$AC39),0)</f>
        <v>-2037</v>
      </c>
      <c r="L31" s="30">
        <f>ROUND('Sum of Billing Determinants'!M39*-1*'Rate Calculations'!$G$9*(1-'Sum of Billing Determinants'!$AC39),0)</f>
        <v>-1968</v>
      </c>
      <c r="M31" s="30">
        <f>ROUND('Sum of Billing Determinants'!N39*-1*'Rate Calculations'!$G$9*(1-'Sum of Billing Determinants'!$AC39),0)</f>
        <v>-1819</v>
      </c>
      <c r="N31" s="30">
        <f t="shared" si="0"/>
        <v>-18843</v>
      </c>
    </row>
    <row r="32" spans="2:14" ht="15">
      <c r="B32" s="26">
        <f>'Sum of Billing Determinants'!A40</f>
        <v>10081</v>
      </c>
      <c r="C32" s="26" t="str">
        <f>'Sum of Billing Determinants'!B40</f>
        <v>Milton-Freewater, City of</v>
      </c>
      <c r="D32" s="30">
        <f>ROUND('Sum of Billing Determinants'!E40*-1*'Rate Calculations'!$G$9*(1-'Sum of Billing Determinants'!$AC40),0)</f>
        <v>-2936</v>
      </c>
      <c r="E32" s="30">
        <f>ROUND('Sum of Billing Determinants'!F40*-1*'Rate Calculations'!$G$9*(1-'Sum of Billing Determinants'!$AC40),0)</f>
        <v>-2425</v>
      </c>
      <c r="F32" s="30">
        <f>ROUND('Sum of Billing Determinants'!G40*-1*'Rate Calculations'!$G$9*(1-'Sum of Billing Determinants'!$AC40),0)</f>
        <v>-2102</v>
      </c>
      <c r="G32" s="30">
        <f>ROUND('Sum of Billing Determinants'!H40*-1*'Rate Calculations'!$G$9*(1-'Sum of Billing Determinants'!$AC40),0)</f>
        <v>-2509</v>
      </c>
      <c r="H32" s="30">
        <f>ROUND('Sum of Billing Determinants'!I40*-1*'Rate Calculations'!$G$9*(1-'Sum of Billing Determinants'!$AC40),0)</f>
        <v>-1948</v>
      </c>
      <c r="I32" s="30">
        <f>ROUND('Sum of Billing Determinants'!J40*-1*'Rate Calculations'!$G$9*(1-'Sum of Billing Determinants'!$AC40),0)</f>
        <v>-2699</v>
      </c>
      <c r="J32" s="30">
        <f>ROUND('Sum of Billing Determinants'!K40*-1*'Rate Calculations'!$G$9*(1-'Sum of Billing Determinants'!$AC40),0)</f>
        <v>-2884</v>
      </c>
      <c r="K32" s="30">
        <f>ROUND('Sum of Billing Determinants'!L40*-1*'Rate Calculations'!$G$9*(1-'Sum of Billing Determinants'!$AC40),0)</f>
        <v>-2738</v>
      </c>
      <c r="L32" s="30">
        <f>ROUND('Sum of Billing Determinants'!M40*-1*'Rate Calculations'!$G$9*(1-'Sum of Billing Determinants'!$AC40),0)</f>
        <v>-2646</v>
      </c>
      <c r="M32" s="30">
        <f>ROUND('Sum of Billing Determinants'!N40*-1*'Rate Calculations'!$G$9*(1-'Sum of Billing Determinants'!$AC40),0)</f>
        <v>-2445</v>
      </c>
      <c r="N32" s="30">
        <f t="shared" si="0"/>
        <v>-25332</v>
      </c>
    </row>
    <row r="33" spans="2:14" ht="15">
      <c r="B33" s="26">
        <f>'Sum of Billing Determinants'!A41</f>
        <v>10082</v>
      </c>
      <c r="C33" s="26" t="str">
        <f>'Sum of Billing Determinants'!B41</f>
        <v>Minidoka, City of</v>
      </c>
      <c r="D33" s="30">
        <f>ROUND('Sum of Billing Determinants'!E41*-1*'Rate Calculations'!$G$9*(1-'Sum of Billing Determinants'!$AC41),0)</f>
        <v>-30</v>
      </c>
      <c r="E33" s="30">
        <f>ROUND('Sum of Billing Determinants'!F41*-1*'Rate Calculations'!$G$9*(1-'Sum of Billing Determinants'!$AC41),0)</f>
        <v>-25</v>
      </c>
      <c r="F33" s="30">
        <f>ROUND('Sum of Billing Determinants'!G41*-1*'Rate Calculations'!$G$9*(1-'Sum of Billing Determinants'!$AC41),0)</f>
        <v>-22</v>
      </c>
      <c r="G33" s="30">
        <f>ROUND('Sum of Billing Determinants'!H41*-1*'Rate Calculations'!$G$9*(1-'Sum of Billing Determinants'!$AC41),0)</f>
        <v>-26</v>
      </c>
      <c r="H33" s="30">
        <f>ROUND('Sum of Billing Determinants'!I41*-1*'Rate Calculations'!$G$9*(1-'Sum of Billing Determinants'!$AC41),0)</f>
        <v>-20</v>
      </c>
      <c r="I33" s="30">
        <f>ROUND('Sum of Billing Determinants'!J41*-1*'Rate Calculations'!$G$9*(1-'Sum of Billing Determinants'!$AC41),0)</f>
        <v>-28</v>
      </c>
      <c r="J33" s="30">
        <f>ROUND('Sum of Billing Determinants'!K41*-1*'Rate Calculations'!$G$9*(1-'Sum of Billing Determinants'!$AC41),0)</f>
        <v>-30</v>
      </c>
      <c r="K33" s="30">
        <f>ROUND('Sum of Billing Determinants'!L41*-1*'Rate Calculations'!$G$9*(1-'Sum of Billing Determinants'!$AC41),0)</f>
        <v>-28</v>
      </c>
      <c r="L33" s="30">
        <f>ROUND('Sum of Billing Determinants'!M41*-1*'Rate Calculations'!$G$9*(1-'Sum of Billing Determinants'!$AC41),0)</f>
        <v>-27</v>
      </c>
      <c r="M33" s="30">
        <f>ROUND('Sum of Billing Determinants'!N41*-1*'Rate Calculations'!$G$9*(1-'Sum of Billing Determinants'!$AC41),0)</f>
        <v>-25</v>
      </c>
      <c r="N33" s="30">
        <f t="shared" si="0"/>
        <v>-261</v>
      </c>
    </row>
    <row r="34" spans="2:14" ht="15">
      <c r="B34" s="26">
        <f>'Sum of Billing Determinants'!A42</f>
        <v>10083</v>
      </c>
      <c r="C34" s="26" t="str">
        <f>'Sum of Billing Determinants'!B42</f>
        <v>Monmouth, City of</v>
      </c>
      <c r="D34" s="30">
        <f>ROUND('Sum of Billing Determinants'!E42*-1*'Rate Calculations'!$G$9*(1-'Sum of Billing Determinants'!$AC42),0)</f>
        <v>-2540</v>
      </c>
      <c r="E34" s="30">
        <f>ROUND('Sum of Billing Determinants'!F42*-1*'Rate Calculations'!$G$9*(1-'Sum of Billing Determinants'!$AC42),0)</f>
        <v>-2098</v>
      </c>
      <c r="F34" s="30">
        <f>ROUND('Sum of Billing Determinants'!G42*-1*'Rate Calculations'!$G$9*(1-'Sum of Billing Determinants'!$AC42),0)</f>
        <v>-1818</v>
      </c>
      <c r="G34" s="30">
        <f>ROUND('Sum of Billing Determinants'!H42*-1*'Rate Calculations'!$G$9*(1-'Sum of Billing Determinants'!$AC42),0)</f>
        <v>-2170</v>
      </c>
      <c r="H34" s="30">
        <f>ROUND('Sum of Billing Determinants'!I42*-1*'Rate Calculations'!$G$9*(1-'Sum of Billing Determinants'!$AC42),0)</f>
        <v>-1685</v>
      </c>
      <c r="I34" s="30">
        <f>ROUND('Sum of Billing Determinants'!J42*-1*'Rate Calculations'!$G$9*(1-'Sum of Billing Determinants'!$AC42),0)</f>
        <v>-2335</v>
      </c>
      <c r="J34" s="30">
        <f>ROUND('Sum of Billing Determinants'!K42*-1*'Rate Calculations'!$G$9*(1-'Sum of Billing Determinants'!$AC42),0)</f>
        <v>-2495</v>
      </c>
      <c r="K34" s="30">
        <f>ROUND('Sum of Billing Determinants'!L42*-1*'Rate Calculations'!$G$9*(1-'Sum of Billing Determinants'!$AC42),0)</f>
        <v>-2368</v>
      </c>
      <c r="L34" s="30">
        <f>ROUND('Sum of Billing Determinants'!M42*-1*'Rate Calculations'!$G$9*(1-'Sum of Billing Determinants'!$AC42),0)</f>
        <v>-2289</v>
      </c>
      <c r="M34" s="30">
        <f>ROUND('Sum of Billing Determinants'!N42*-1*'Rate Calculations'!$G$9*(1-'Sum of Billing Determinants'!$AC42),0)</f>
        <v>-2115</v>
      </c>
      <c r="N34" s="30">
        <f t="shared" si="0"/>
        <v>-21913</v>
      </c>
    </row>
    <row r="35" spans="2:14" ht="15">
      <c r="B35" s="26">
        <f>'Sum of Billing Determinants'!A43</f>
        <v>10086</v>
      </c>
      <c r="C35" s="26" t="str">
        <f>'Sum of Billing Determinants'!B43</f>
        <v>Plummer, City of</v>
      </c>
      <c r="D35" s="30">
        <f>ROUND('Sum of Billing Determinants'!E43*-1*'Rate Calculations'!$G$9*(1-'Sum of Billing Determinants'!$AC43),0)</f>
        <v>-1198</v>
      </c>
      <c r="E35" s="30">
        <f>ROUND('Sum of Billing Determinants'!F43*-1*'Rate Calculations'!$G$9*(1-'Sum of Billing Determinants'!$AC43),0)</f>
        <v>-989</v>
      </c>
      <c r="F35" s="30">
        <f>ROUND('Sum of Billing Determinants'!G43*-1*'Rate Calculations'!$G$9*(1-'Sum of Billing Determinants'!$AC43),0)</f>
        <v>-858</v>
      </c>
      <c r="G35" s="30">
        <f>ROUND('Sum of Billing Determinants'!H43*-1*'Rate Calculations'!$G$9*(1-'Sum of Billing Determinants'!$AC43),0)</f>
        <v>-1024</v>
      </c>
      <c r="H35" s="30">
        <f>ROUND('Sum of Billing Determinants'!I43*-1*'Rate Calculations'!$G$9*(1-'Sum of Billing Determinants'!$AC43),0)</f>
        <v>-795</v>
      </c>
      <c r="I35" s="30">
        <f>ROUND('Sum of Billing Determinants'!J43*-1*'Rate Calculations'!$G$9*(1-'Sum of Billing Determinants'!$AC43),0)</f>
        <v>-1101</v>
      </c>
      <c r="J35" s="30">
        <f>ROUND('Sum of Billing Determinants'!K43*-1*'Rate Calculations'!$G$9*(1-'Sum of Billing Determinants'!$AC43),0)</f>
        <v>-1177</v>
      </c>
      <c r="K35" s="30">
        <f>ROUND('Sum of Billing Determinants'!L43*-1*'Rate Calculations'!$G$9*(1-'Sum of Billing Determinants'!$AC43),0)</f>
        <v>-1117</v>
      </c>
      <c r="L35" s="30">
        <f>ROUND('Sum of Billing Determinants'!M43*-1*'Rate Calculations'!$G$9*(1-'Sum of Billing Determinants'!$AC43),0)</f>
        <v>-1080</v>
      </c>
      <c r="M35" s="30">
        <f>ROUND('Sum of Billing Determinants'!N43*-1*'Rate Calculations'!$G$9*(1-'Sum of Billing Determinants'!$AC43),0)</f>
        <v>-998</v>
      </c>
      <c r="N35" s="30">
        <f t="shared" si="0"/>
        <v>-10337</v>
      </c>
    </row>
    <row r="36" spans="2:14" ht="15">
      <c r="B36" s="26">
        <f>'Sum of Billing Determinants'!A44</f>
        <v>10087</v>
      </c>
      <c r="C36" s="26" t="str">
        <f>'Sum of Billing Determinants'!B44</f>
        <v>Port Angeles, City of</v>
      </c>
      <c r="D36" s="30">
        <f>ROUND('Sum of Billing Determinants'!E44*-1*'Rate Calculations'!$G$9*(1-'Sum of Billing Determinants'!$AC44),0)</f>
        <v>-13819</v>
      </c>
      <c r="E36" s="30">
        <f>ROUND('Sum of Billing Determinants'!F44*-1*'Rate Calculations'!$G$9*(1-'Sum of Billing Determinants'!$AC44),0)</f>
        <v>-11414</v>
      </c>
      <c r="F36" s="30">
        <f>ROUND('Sum of Billing Determinants'!G44*-1*'Rate Calculations'!$G$9*(1-'Sum of Billing Determinants'!$AC44),0)</f>
        <v>-9893</v>
      </c>
      <c r="G36" s="30">
        <f>ROUND('Sum of Billing Determinants'!H44*-1*'Rate Calculations'!$G$9*(1-'Sum of Billing Determinants'!$AC44),0)</f>
        <v>-11810</v>
      </c>
      <c r="H36" s="30">
        <f>ROUND('Sum of Billing Determinants'!I44*-1*'Rate Calculations'!$G$9*(1-'Sum of Billing Determinants'!$AC44),0)</f>
        <v>-9169</v>
      </c>
      <c r="I36" s="30">
        <f>ROUND('Sum of Billing Determinants'!J44*-1*'Rate Calculations'!$G$9*(1-'Sum of Billing Determinants'!$AC44),0)</f>
        <v>-12704</v>
      </c>
      <c r="J36" s="30">
        <f>ROUND('Sum of Billing Determinants'!K44*-1*'Rate Calculations'!$G$9*(1-'Sum of Billing Determinants'!$AC44),0)</f>
        <v>-13574</v>
      </c>
      <c r="K36" s="30">
        <f>ROUND('Sum of Billing Determinants'!L44*-1*'Rate Calculations'!$G$9*(1-'Sum of Billing Determinants'!$AC44),0)</f>
        <v>-12888</v>
      </c>
      <c r="L36" s="30">
        <f>ROUND('Sum of Billing Determinants'!M44*-1*'Rate Calculations'!$G$9*(1-'Sum of Billing Determinants'!$AC44),0)</f>
        <v>-12455</v>
      </c>
      <c r="M36" s="30">
        <f>ROUND('Sum of Billing Determinants'!N44*-1*'Rate Calculations'!$G$9*(1-'Sum of Billing Determinants'!$AC44),0)</f>
        <v>-11510</v>
      </c>
      <c r="N36" s="30">
        <f t="shared" si="0"/>
        <v>-119236</v>
      </c>
    </row>
    <row r="37" spans="2:14" ht="15">
      <c r="B37" s="26">
        <f>'Sum of Billing Determinants'!A45</f>
        <v>10089</v>
      </c>
      <c r="C37" s="26" t="str">
        <f>'Sum of Billing Determinants'!B45</f>
        <v>Richland, City of</v>
      </c>
      <c r="D37" s="30">
        <f>ROUND('Sum of Billing Determinants'!E45*-1*'Rate Calculations'!$G$9*(1-'Sum of Billing Determinants'!$AC45),0)</f>
        <v>-31537</v>
      </c>
      <c r="E37" s="30">
        <f>ROUND('Sum of Billing Determinants'!F45*-1*'Rate Calculations'!$G$9*(1-'Sum of Billing Determinants'!$AC45),0)</f>
        <v>-26048</v>
      </c>
      <c r="F37" s="30">
        <f>ROUND('Sum of Billing Determinants'!G45*-1*'Rate Calculations'!$G$9*(1-'Sum of Billing Determinants'!$AC45),0)</f>
        <v>-22577</v>
      </c>
      <c r="G37" s="30">
        <f>ROUND('Sum of Billing Determinants'!H45*-1*'Rate Calculations'!$G$9*(1-'Sum of Billing Determinants'!$AC45),0)</f>
        <v>-26952</v>
      </c>
      <c r="H37" s="30">
        <f>ROUND('Sum of Billing Determinants'!I45*-1*'Rate Calculations'!$G$9*(1-'Sum of Billing Determinants'!$AC45),0)</f>
        <v>-20925</v>
      </c>
      <c r="I37" s="30">
        <f>ROUND('Sum of Billing Determinants'!J45*-1*'Rate Calculations'!$G$9*(1-'Sum of Billing Determinants'!$AC45),0)</f>
        <v>-28991</v>
      </c>
      <c r="J37" s="30">
        <f>ROUND('Sum of Billing Determinants'!K45*-1*'Rate Calculations'!$G$9*(1-'Sum of Billing Determinants'!$AC45),0)</f>
        <v>-30978</v>
      </c>
      <c r="K37" s="30">
        <f>ROUND('Sum of Billing Determinants'!L45*-1*'Rate Calculations'!$G$9*(1-'Sum of Billing Determinants'!$AC45),0)</f>
        <v>-29412</v>
      </c>
      <c r="L37" s="30">
        <f>ROUND('Sum of Billing Determinants'!M45*-1*'Rate Calculations'!$G$9*(1-'Sum of Billing Determinants'!$AC45),0)</f>
        <v>-28424</v>
      </c>
      <c r="M37" s="30">
        <f>ROUND('Sum of Billing Determinants'!N45*-1*'Rate Calculations'!$G$9*(1-'Sum of Billing Determinants'!$AC45),0)</f>
        <v>-26267</v>
      </c>
      <c r="N37" s="30">
        <f t="shared" si="0"/>
        <v>-272111</v>
      </c>
    </row>
    <row r="38" spans="2:14" ht="15">
      <c r="B38" s="26">
        <f>'Sum of Billing Determinants'!A46</f>
        <v>10091</v>
      </c>
      <c r="C38" s="26" t="str">
        <f>'Sum of Billing Determinants'!B46</f>
        <v>Rupert, City of</v>
      </c>
      <c r="D38" s="30">
        <f>ROUND('Sum of Billing Determinants'!E46*-1*'Rate Calculations'!$G$9*(1-'Sum of Billing Determinants'!$AC46),0)</f>
        <v>-2861</v>
      </c>
      <c r="E38" s="30">
        <f>ROUND('Sum of Billing Determinants'!F46*-1*'Rate Calculations'!$G$9*(1-'Sum of Billing Determinants'!$AC46),0)</f>
        <v>-2363</v>
      </c>
      <c r="F38" s="30">
        <f>ROUND('Sum of Billing Determinants'!G46*-1*'Rate Calculations'!$G$9*(1-'Sum of Billing Determinants'!$AC46),0)</f>
        <v>-2048</v>
      </c>
      <c r="G38" s="30">
        <f>ROUND('Sum of Billing Determinants'!H46*-1*'Rate Calculations'!$G$9*(1-'Sum of Billing Determinants'!$AC46),0)</f>
        <v>-2445</v>
      </c>
      <c r="H38" s="30">
        <f>ROUND('Sum of Billing Determinants'!I46*-1*'Rate Calculations'!$G$9*(1-'Sum of Billing Determinants'!$AC46),0)</f>
        <v>-1898</v>
      </c>
      <c r="I38" s="30">
        <f>ROUND('Sum of Billing Determinants'!J46*-1*'Rate Calculations'!$G$9*(1-'Sum of Billing Determinants'!$AC46),0)</f>
        <v>-2630</v>
      </c>
      <c r="J38" s="30">
        <f>ROUND('Sum of Billing Determinants'!K46*-1*'Rate Calculations'!$G$9*(1-'Sum of Billing Determinants'!$AC46),0)</f>
        <v>-2811</v>
      </c>
      <c r="K38" s="30">
        <f>ROUND('Sum of Billing Determinants'!L46*-1*'Rate Calculations'!$G$9*(1-'Sum of Billing Determinants'!$AC46),0)</f>
        <v>-2668</v>
      </c>
      <c r="L38" s="30">
        <f>ROUND('Sum of Billing Determinants'!M46*-1*'Rate Calculations'!$G$9*(1-'Sum of Billing Determinants'!$AC46),0)</f>
        <v>-2579</v>
      </c>
      <c r="M38" s="30">
        <f>ROUND('Sum of Billing Determinants'!N46*-1*'Rate Calculations'!$G$9*(1-'Sum of Billing Determinants'!$AC46),0)</f>
        <v>-2383</v>
      </c>
      <c r="N38" s="30">
        <f t="shared" si="0"/>
        <v>-24686</v>
      </c>
    </row>
    <row r="39" spans="2:14" ht="15">
      <c r="B39" s="26">
        <f>'Sum of Billing Determinants'!A47</f>
        <v>10094</v>
      </c>
      <c r="C39" s="26" t="str">
        <f>'Sum of Billing Determinants'!B47</f>
        <v>Soda Springs, City of</v>
      </c>
      <c r="D39" s="30">
        <f>ROUND('Sum of Billing Determinants'!E47*-1*'Rate Calculations'!$G$9*(1-'Sum of Billing Determinants'!$AC47),0)</f>
        <v>-922</v>
      </c>
      <c r="E39" s="30">
        <f>ROUND('Sum of Billing Determinants'!F47*-1*'Rate Calculations'!$G$9*(1-'Sum of Billing Determinants'!$AC47),0)</f>
        <v>-762</v>
      </c>
      <c r="F39" s="30">
        <f>ROUND('Sum of Billing Determinants'!G47*-1*'Rate Calculations'!$G$9*(1-'Sum of Billing Determinants'!$AC47),0)</f>
        <v>-660</v>
      </c>
      <c r="G39" s="30">
        <f>ROUND('Sum of Billing Determinants'!H47*-1*'Rate Calculations'!$G$9*(1-'Sum of Billing Determinants'!$AC47),0)</f>
        <v>-788</v>
      </c>
      <c r="H39" s="30">
        <f>ROUND('Sum of Billing Determinants'!I47*-1*'Rate Calculations'!$G$9*(1-'Sum of Billing Determinants'!$AC47),0)</f>
        <v>-612</v>
      </c>
      <c r="I39" s="30">
        <f>ROUND('Sum of Billing Determinants'!J47*-1*'Rate Calculations'!$G$9*(1-'Sum of Billing Determinants'!$AC47),0)</f>
        <v>-848</v>
      </c>
      <c r="J39" s="30">
        <f>ROUND('Sum of Billing Determinants'!K47*-1*'Rate Calculations'!$G$9*(1-'Sum of Billing Determinants'!$AC47),0)</f>
        <v>-906</v>
      </c>
      <c r="K39" s="30">
        <f>ROUND('Sum of Billing Determinants'!L47*-1*'Rate Calculations'!$G$9*(1-'Sum of Billing Determinants'!$AC47),0)</f>
        <v>-860</v>
      </c>
      <c r="L39" s="30">
        <f>ROUND('Sum of Billing Determinants'!M47*-1*'Rate Calculations'!$G$9*(1-'Sum of Billing Determinants'!$AC47),0)</f>
        <v>-831</v>
      </c>
      <c r="M39" s="30">
        <f>ROUND('Sum of Billing Determinants'!N47*-1*'Rate Calculations'!$G$9*(1-'Sum of Billing Determinants'!$AC47),0)</f>
        <v>-768</v>
      </c>
      <c r="N39" s="30">
        <f t="shared" si="0"/>
        <v>-7957</v>
      </c>
    </row>
    <row r="40" spans="2:14" ht="15">
      <c r="B40" s="26">
        <f>'Sum of Billing Determinants'!A48</f>
        <v>10095</v>
      </c>
      <c r="C40" s="26" t="str">
        <f>'Sum of Billing Determinants'!B48</f>
        <v>Sumas, Town of</v>
      </c>
      <c r="D40" s="30">
        <f>ROUND('Sum of Billing Determinants'!E48*-1*'Rate Calculations'!$G$9*(1-'Sum of Billing Determinants'!$AC48),0)</f>
        <v>-1106</v>
      </c>
      <c r="E40" s="30">
        <f>ROUND('Sum of Billing Determinants'!F48*-1*'Rate Calculations'!$G$9*(1-'Sum of Billing Determinants'!$AC48),0)</f>
        <v>-914</v>
      </c>
      <c r="F40" s="30">
        <f>ROUND('Sum of Billing Determinants'!G48*-1*'Rate Calculations'!$G$9*(1-'Sum of Billing Determinants'!$AC48),0)</f>
        <v>-792</v>
      </c>
      <c r="G40" s="30">
        <f>ROUND('Sum of Billing Determinants'!H48*-1*'Rate Calculations'!$G$9*(1-'Sum of Billing Determinants'!$AC48),0)</f>
        <v>-945</v>
      </c>
      <c r="H40" s="30">
        <f>ROUND('Sum of Billing Determinants'!I48*-1*'Rate Calculations'!$G$9*(1-'Sum of Billing Determinants'!$AC48),0)</f>
        <v>-734</v>
      </c>
      <c r="I40" s="30">
        <f>ROUND('Sum of Billing Determinants'!J48*-1*'Rate Calculations'!$G$9*(1-'Sum of Billing Determinants'!$AC48),0)</f>
        <v>-1017</v>
      </c>
      <c r="J40" s="30">
        <f>ROUND('Sum of Billing Determinants'!K48*-1*'Rate Calculations'!$G$9*(1-'Sum of Billing Determinants'!$AC48),0)</f>
        <v>-1087</v>
      </c>
      <c r="K40" s="30">
        <f>ROUND('Sum of Billing Determinants'!L48*-1*'Rate Calculations'!$G$9*(1-'Sum of Billing Determinants'!$AC48),0)</f>
        <v>-1032</v>
      </c>
      <c r="L40" s="30">
        <f>ROUND('Sum of Billing Determinants'!M48*-1*'Rate Calculations'!$G$9*(1-'Sum of Billing Determinants'!$AC48),0)</f>
        <v>-997</v>
      </c>
      <c r="M40" s="30">
        <f>ROUND('Sum of Billing Determinants'!N48*-1*'Rate Calculations'!$G$9*(1-'Sum of Billing Determinants'!$AC48),0)</f>
        <v>-921</v>
      </c>
      <c r="N40" s="30">
        <f t="shared" si="0"/>
        <v>-9545</v>
      </c>
    </row>
    <row r="41" spans="2:14" ht="15">
      <c r="B41" s="26">
        <f>'Sum of Billing Determinants'!A49</f>
        <v>10097</v>
      </c>
      <c r="C41" s="26" t="str">
        <f>'Sum of Billing Determinants'!B49</f>
        <v>Troy, City of</v>
      </c>
      <c r="D41" s="30">
        <f>ROUND('Sum of Billing Determinants'!E49*-1*'Rate Calculations'!$G$9*(1-'Sum of Billing Determinants'!$AC49),0)</f>
        <v>-619</v>
      </c>
      <c r="E41" s="30">
        <f>ROUND('Sum of Billing Determinants'!F49*-1*'Rate Calculations'!$G$9*(1-'Sum of Billing Determinants'!$AC49),0)</f>
        <v>-511</v>
      </c>
      <c r="F41" s="30">
        <f>ROUND('Sum of Billing Determinants'!G49*-1*'Rate Calculations'!$G$9*(1-'Sum of Billing Determinants'!$AC49),0)</f>
        <v>-443</v>
      </c>
      <c r="G41" s="30">
        <f>ROUND('Sum of Billing Determinants'!H49*-1*'Rate Calculations'!$G$9*(1-'Sum of Billing Determinants'!$AC49),0)</f>
        <v>-529</v>
      </c>
      <c r="H41" s="30">
        <f>ROUND('Sum of Billing Determinants'!I49*-1*'Rate Calculations'!$G$9*(1-'Sum of Billing Determinants'!$AC49),0)</f>
        <v>-411</v>
      </c>
      <c r="I41" s="30">
        <f>ROUND('Sum of Billing Determinants'!J49*-1*'Rate Calculations'!$G$9*(1-'Sum of Billing Determinants'!$AC49),0)</f>
        <v>-569</v>
      </c>
      <c r="J41" s="30">
        <f>ROUND('Sum of Billing Determinants'!K49*-1*'Rate Calculations'!$G$9*(1-'Sum of Billing Determinants'!$AC49),0)</f>
        <v>-608</v>
      </c>
      <c r="K41" s="30">
        <f>ROUND('Sum of Billing Determinants'!L49*-1*'Rate Calculations'!$G$9*(1-'Sum of Billing Determinants'!$AC49),0)</f>
        <v>-577</v>
      </c>
      <c r="L41" s="30">
        <f>ROUND('Sum of Billing Determinants'!M49*-1*'Rate Calculations'!$G$9*(1-'Sum of Billing Determinants'!$AC49),0)</f>
        <v>-558</v>
      </c>
      <c r="M41" s="30">
        <f>ROUND('Sum of Billing Determinants'!N49*-1*'Rate Calculations'!$G$9*(1-'Sum of Billing Determinants'!$AC49),0)</f>
        <v>-515</v>
      </c>
      <c r="N41" s="30">
        <f t="shared" si="0"/>
        <v>-5340</v>
      </c>
    </row>
    <row r="42" spans="2:14" ht="15">
      <c r="B42" s="26">
        <f>'Sum of Billing Determinants'!A50</f>
        <v>10101</v>
      </c>
      <c r="C42" s="26" t="str">
        <f>'Sum of Billing Determinants'!B50</f>
        <v>Clallam County PUD #1</v>
      </c>
      <c r="D42" s="30">
        <f>ROUND('Sum of Billing Determinants'!E50*-1*'Rate Calculations'!$G$9*(1-'Sum of Billing Determinants'!$AC50),0)</f>
        <v>-21865</v>
      </c>
      <c r="E42" s="30">
        <f>ROUND('Sum of Billing Determinants'!F50*-1*'Rate Calculations'!$G$9*(1-'Sum of Billing Determinants'!$AC50),0)</f>
        <v>-18059</v>
      </c>
      <c r="F42" s="30">
        <f>ROUND('Sum of Billing Determinants'!G50*-1*'Rate Calculations'!$G$9*(1-'Sum of Billing Determinants'!$AC50),0)</f>
        <v>-15652</v>
      </c>
      <c r="G42" s="30">
        <f>ROUND('Sum of Billing Determinants'!H50*-1*'Rate Calculations'!$G$9*(1-'Sum of Billing Determinants'!$AC50),0)</f>
        <v>-18686</v>
      </c>
      <c r="H42" s="30">
        <f>ROUND('Sum of Billing Determinants'!I50*-1*'Rate Calculations'!$G$9*(1-'Sum of Billing Determinants'!$AC50),0)</f>
        <v>-14507</v>
      </c>
      <c r="I42" s="30">
        <f>ROUND('Sum of Billing Determinants'!J50*-1*'Rate Calculations'!$G$9*(1-'Sum of Billing Determinants'!$AC50),0)</f>
        <v>-20100</v>
      </c>
      <c r="J42" s="30">
        <f>ROUND('Sum of Billing Determinants'!K50*-1*'Rate Calculations'!$G$9*(1-'Sum of Billing Determinants'!$AC50),0)</f>
        <v>-21477</v>
      </c>
      <c r="K42" s="30">
        <f>ROUND('Sum of Billing Determinants'!L50*-1*'Rate Calculations'!$G$9*(1-'Sum of Billing Determinants'!$AC50),0)</f>
        <v>-20391</v>
      </c>
      <c r="L42" s="30">
        <f>ROUND('Sum of Billing Determinants'!M50*-1*'Rate Calculations'!$G$9*(1-'Sum of Billing Determinants'!$AC50),0)</f>
        <v>-19707</v>
      </c>
      <c r="M42" s="30">
        <f>ROUND('Sum of Billing Determinants'!N50*-1*'Rate Calculations'!$G$9*(1-'Sum of Billing Determinants'!$AC50),0)</f>
        <v>-18211</v>
      </c>
      <c r="N42" s="30">
        <f t="shared" si="0"/>
        <v>-188655</v>
      </c>
    </row>
    <row r="43" spans="2:14" ht="15">
      <c r="B43" s="26">
        <f>'Sum of Billing Determinants'!A51</f>
        <v>10103</v>
      </c>
      <c r="C43" s="26" t="str">
        <f>'Sum of Billing Determinants'!B51</f>
        <v>Clark County PUD #1</v>
      </c>
      <c r="D43" s="30">
        <f>ROUND('Sum of Billing Determinants'!E51*-1*'Rate Calculations'!$G$9*(1-'Sum of Billing Determinants'!$AC51),0)</f>
        <v>-49919</v>
      </c>
      <c r="E43" s="30">
        <f>ROUND('Sum of Billing Determinants'!F51*-1*'Rate Calculations'!$G$9*(1-'Sum of Billing Determinants'!$AC51),0)</f>
        <v>-41231</v>
      </c>
      <c r="F43" s="30">
        <f>ROUND('Sum of Billing Determinants'!G51*-1*'Rate Calculations'!$G$9*(1-'Sum of Billing Determinants'!$AC51),0)</f>
        <v>-35736</v>
      </c>
      <c r="G43" s="30">
        <f>ROUND('Sum of Billing Determinants'!H51*-1*'Rate Calculations'!$G$9*(1-'Sum of Billing Determinants'!$AC51),0)</f>
        <v>-42662</v>
      </c>
      <c r="H43" s="30">
        <f>ROUND('Sum of Billing Determinants'!I51*-1*'Rate Calculations'!$G$9*(1-'Sum of Billing Determinants'!$AC51),0)</f>
        <v>-33121</v>
      </c>
      <c r="I43" s="30">
        <f>ROUND('Sum of Billing Determinants'!J51*-1*'Rate Calculations'!$G$9*(1-'Sum of Billing Determinants'!$AC51),0)</f>
        <v>-45890</v>
      </c>
      <c r="J43" s="30">
        <f>ROUND('Sum of Billing Determinants'!K51*-1*'Rate Calculations'!$G$9*(1-'Sum of Billing Determinants'!$AC51),0)</f>
        <v>-49034</v>
      </c>
      <c r="K43" s="30">
        <f>ROUND('Sum of Billing Determinants'!L51*-1*'Rate Calculations'!$G$9*(1-'Sum of Billing Determinants'!$AC51),0)</f>
        <v>-46556</v>
      </c>
      <c r="L43" s="30">
        <f>ROUND('Sum of Billing Determinants'!M51*-1*'Rate Calculations'!$G$9*(1-'Sum of Billing Determinants'!$AC51),0)</f>
        <v>-44992</v>
      </c>
      <c r="M43" s="30">
        <f>ROUND('Sum of Billing Determinants'!N51*-1*'Rate Calculations'!$G$9*(1-'Sum of Billing Determinants'!$AC51),0)</f>
        <v>-41578</v>
      </c>
      <c r="N43" s="30">
        <f t="shared" si="0"/>
        <v>-430719</v>
      </c>
    </row>
    <row r="44" spans="2:14" ht="15">
      <c r="B44" s="26">
        <f>'Sum of Billing Determinants'!A52</f>
        <v>10105</v>
      </c>
      <c r="C44" s="26" t="str">
        <f>'Sum of Billing Determinants'!B52</f>
        <v>Clatskanie PUD</v>
      </c>
      <c r="D44" s="30">
        <f>ROUND('Sum of Billing Determinants'!E52*-1*'Rate Calculations'!$G$9*(1-'Sum of Billing Determinants'!$AC52),0)</f>
        <v>-11075</v>
      </c>
      <c r="E44" s="30">
        <f>ROUND('Sum of Billing Determinants'!F52*-1*'Rate Calculations'!$G$9*(1-'Sum of Billing Determinants'!$AC52),0)</f>
        <v>-9148</v>
      </c>
      <c r="F44" s="30">
        <f>ROUND('Sum of Billing Determinants'!G52*-1*'Rate Calculations'!$G$9*(1-'Sum of Billing Determinants'!$AC52),0)</f>
        <v>-7928</v>
      </c>
      <c r="G44" s="30">
        <f>ROUND('Sum of Billing Determinants'!H52*-1*'Rate Calculations'!$G$9*(1-'Sum of Billing Determinants'!$AC52),0)</f>
        <v>-9465</v>
      </c>
      <c r="H44" s="30">
        <f>ROUND('Sum of Billing Determinants'!I52*-1*'Rate Calculations'!$G$9*(1-'Sum of Billing Determinants'!$AC52),0)</f>
        <v>-7348</v>
      </c>
      <c r="I44" s="30">
        <f>ROUND('Sum of Billing Determinants'!J52*-1*'Rate Calculations'!$G$9*(1-'Sum of Billing Determinants'!$AC52),0)</f>
        <v>-10181</v>
      </c>
      <c r="J44" s="30">
        <f>ROUND('Sum of Billing Determinants'!K52*-1*'Rate Calculations'!$G$9*(1-'Sum of Billing Determinants'!$AC52),0)</f>
        <v>-10879</v>
      </c>
      <c r="K44" s="30">
        <f>ROUND('Sum of Billing Determinants'!L52*-1*'Rate Calculations'!$G$9*(1-'Sum of Billing Determinants'!$AC52),0)</f>
        <v>-10329</v>
      </c>
      <c r="L44" s="30">
        <f>ROUND('Sum of Billing Determinants'!M52*-1*'Rate Calculations'!$G$9*(1-'Sum of Billing Determinants'!$AC52),0)</f>
        <v>-9982</v>
      </c>
      <c r="M44" s="30">
        <f>ROUND('Sum of Billing Determinants'!N52*-1*'Rate Calculations'!$G$9*(1-'Sum of Billing Determinants'!$AC52),0)</f>
        <v>-9224</v>
      </c>
      <c r="N44" s="30">
        <f t="shared" si="0"/>
        <v>-95559</v>
      </c>
    </row>
    <row r="45" spans="2:14" ht="15">
      <c r="B45" s="26">
        <f>'Sum of Billing Determinants'!A53</f>
        <v>10106</v>
      </c>
      <c r="C45" s="26" t="str">
        <f>'Sum of Billing Determinants'!B53</f>
        <v>Clearwater Power</v>
      </c>
      <c r="D45" s="30">
        <f>ROUND('Sum of Billing Determinants'!E53*-1*'Rate Calculations'!$G$9*(1-'Sum of Billing Determinants'!$AC53),0)</f>
        <v>-6723</v>
      </c>
      <c r="E45" s="30">
        <f>ROUND('Sum of Billing Determinants'!F53*-1*'Rate Calculations'!$G$9*(1-'Sum of Billing Determinants'!$AC53),0)</f>
        <v>-5553</v>
      </c>
      <c r="F45" s="30">
        <f>ROUND('Sum of Billing Determinants'!G53*-1*'Rate Calculations'!$G$9*(1-'Sum of Billing Determinants'!$AC53),0)</f>
        <v>-4813</v>
      </c>
      <c r="G45" s="30">
        <f>ROUND('Sum of Billing Determinants'!H53*-1*'Rate Calculations'!$G$9*(1-'Sum of Billing Determinants'!$AC53),0)</f>
        <v>-5746</v>
      </c>
      <c r="H45" s="30">
        <f>ROUND('Sum of Billing Determinants'!I53*-1*'Rate Calculations'!$G$9*(1-'Sum of Billing Determinants'!$AC53),0)</f>
        <v>-4461</v>
      </c>
      <c r="I45" s="30">
        <f>ROUND('Sum of Billing Determinants'!J53*-1*'Rate Calculations'!$G$9*(1-'Sum of Billing Determinants'!$AC53),0)</f>
        <v>-6181</v>
      </c>
      <c r="J45" s="30">
        <f>ROUND('Sum of Billing Determinants'!K53*-1*'Rate Calculations'!$G$9*(1-'Sum of Billing Determinants'!$AC53),0)</f>
        <v>-6604</v>
      </c>
      <c r="K45" s="30">
        <f>ROUND('Sum of Billing Determinants'!L53*-1*'Rate Calculations'!$G$9*(1-'Sum of Billing Determinants'!$AC53),0)</f>
        <v>-6270</v>
      </c>
      <c r="L45" s="30">
        <f>ROUND('Sum of Billing Determinants'!M53*-1*'Rate Calculations'!$G$9*(1-'Sum of Billing Determinants'!$AC53),0)</f>
        <v>-6060</v>
      </c>
      <c r="M45" s="30">
        <f>ROUND('Sum of Billing Determinants'!N53*-1*'Rate Calculations'!$G$9*(1-'Sum of Billing Determinants'!$AC53),0)</f>
        <v>-5600</v>
      </c>
      <c r="N45" s="30">
        <f t="shared" si="0"/>
        <v>-58011</v>
      </c>
    </row>
    <row r="46" spans="2:14" ht="15">
      <c r="B46" s="26">
        <f>'Sum of Billing Determinants'!A54</f>
        <v>10109</v>
      </c>
      <c r="C46" s="26" t="str">
        <f>'Sum of Billing Determinants'!B54</f>
        <v>Columbia Basin Elec Coop</v>
      </c>
      <c r="D46" s="30">
        <f>ROUND('Sum of Billing Determinants'!E54*-1*'Rate Calculations'!$G$9*(1-'Sum of Billing Determinants'!$AC54),0)</f>
        <v>-3376</v>
      </c>
      <c r="E46" s="30">
        <f>ROUND('Sum of Billing Determinants'!F54*-1*'Rate Calculations'!$G$9*(1-'Sum of Billing Determinants'!$AC54),0)</f>
        <v>-2789</v>
      </c>
      <c r="F46" s="30">
        <f>ROUND('Sum of Billing Determinants'!G54*-1*'Rate Calculations'!$G$9*(1-'Sum of Billing Determinants'!$AC54),0)</f>
        <v>-2417</v>
      </c>
      <c r="G46" s="30">
        <f>ROUND('Sum of Billing Determinants'!H54*-1*'Rate Calculations'!$G$9*(1-'Sum of Billing Determinants'!$AC54),0)</f>
        <v>-2885</v>
      </c>
      <c r="H46" s="30">
        <f>ROUND('Sum of Billing Determinants'!I54*-1*'Rate Calculations'!$G$9*(1-'Sum of Billing Determinants'!$AC54),0)</f>
        <v>-2240</v>
      </c>
      <c r="I46" s="30">
        <f>ROUND('Sum of Billing Determinants'!J54*-1*'Rate Calculations'!$G$9*(1-'Sum of Billing Determinants'!$AC54),0)</f>
        <v>-3104</v>
      </c>
      <c r="J46" s="30">
        <f>ROUND('Sum of Billing Determinants'!K54*-1*'Rate Calculations'!$G$9*(1-'Sum of Billing Determinants'!$AC54),0)</f>
        <v>-3316</v>
      </c>
      <c r="K46" s="30">
        <f>ROUND('Sum of Billing Determinants'!L54*-1*'Rate Calculations'!$G$9*(1-'Sum of Billing Determinants'!$AC54),0)</f>
        <v>-3149</v>
      </c>
      <c r="L46" s="30">
        <f>ROUND('Sum of Billing Determinants'!M54*-1*'Rate Calculations'!$G$9*(1-'Sum of Billing Determinants'!$AC54),0)</f>
        <v>-3043</v>
      </c>
      <c r="M46" s="30">
        <f>ROUND('Sum of Billing Determinants'!N54*-1*'Rate Calculations'!$G$9*(1-'Sum of Billing Determinants'!$AC54),0)</f>
        <v>-2812</v>
      </c>
      <c r="N46" s="30">
        <f t="shared" si="0"/>
        <v>-29131</v>
      </c>
    </row>
    <row r="47" spans="2:14" ht="15">
      <c r="B47" s="26">
        <f>'Sum of Billing Determinants'!A55</f>
        <v>10111</v>
      </c>
      <c r="C47" s="26" t="str">
        <f>'Sum of Billing Determinants'!B55</f>
        <v>Columbia Power Coop</v>
      </c>
      <c r="D47" s="30">
        <f>ROUND('Sum of Billing Determinants'!E55*-1*'Rate Calculations'!$G$9*(1-'Sum of Billing Determinants'!$AC55),0)</f>
        <v>-903</v>
      </c>
      <c r="E47" s="30">
        <f>ROUND('Sum of Billing Determinants'!F55*-1*'Rate Calculations'!$G$9*(1-'Sum of Billing Determinants'!$AC55),0)</f>
        <v>-746</v>
      </c>
      <c r="F47" s="30">
        <f>ROUND('Sum of Billing Determinants'!G55*-1*'Rate Calculations'!$G$9*(1-'Sum of Billing Determinants'!$AC55),0)</f>
        <v>-646</v>
      </c>
      <c r="G47" s="30">
        <f>ROUND('Sum of Billing Determinants'!H55*-1*'Rate Calculations'!$G$9*(1-'Sum of Billing Determinants'!$AC55),0)</f>
        <v>-772</v>
      </c>
      <c r="H47" s="30">
        <f>ROUND('Sum of Billing Determinants'!I55*-1*'Rate Calculations'!$G$9*(1-'Sum of Billing Determinants'!$AC55),0)</f>
        <v>-599</v>
      </c>
      <c r="I47" s="30">
        <f>ROUND('Sum of Billing Determinants'!J55*-1*'Rate Calculations'!$G$9*(1-'Sum of Billing Determinants'!$AC55),0)</f>
        <v>-830</v>
      </c>
      <c r="J47" s="30">
        <f>ROUND('Sum of Billing Determinants'!K55*-1*'Rate Calculations'!$G$9*(1-'Sum of Billing Determinants'!$AC55),0)</f>
        <v>-887</v>
      </c>
      <c r="K47" s="30">
        <f>ROUND('Sum of Billing Determinants'!L55*-1*'Rate Calculations'!$G$9*(1-'Sum of Billing Determinants'!$AC55),0)</f>
        <v>-842</v>
      </c>
      <c r="L47" s="30">
        <f>ROUND('Sum of Billing Determinants'!M55*-1*'Rate Calculations'!$G$9*(1-'Sum of Billing Determinants'!$AC55),0)</f>
        <v>-814</v>
      </c>
      <c r="M47" s="30">
        <f>ROUND('Sum of Billing Determinants'!N55*-1*'Rate Calculations'!$G$9*(1-'Sum of Billing Determinants'!$AC55),0)</f>
        <v>-752</v>
      </c>
      <c r="N47" s="30">
        <f t="shared" si="0"/>
        <v>-7791</v>
      </c>
    </row>
    <row r="48" spans="2:14" ht="15">
      <c r="B48" s="26">
        <f>'Sum of Billing Determinants'!A56</f>
        <v>10112</v>
      </c>
      <c r="C48" s="26" t="str">
        <f>'Sum of Billing Determinants'!B56</f>
        <v>Columbia River PUD</v>
      </c>
      <c r="D48" s="30">
        <f>ROUND('Sum of Billing Determinants'!E56*-1*'Rate Calculations'!$G$9*(1-'Sum of Billing Determinants'!$AC56),0)</f>
        <v>-17533</v>
      </c>
      <c r="E48" s="30">
        <f>ROUND('Sum of Billing Determinants'!F56*-1*'Rate Calculations'!$G$9*(1-'Sum of Billing Determinants'!$AC56),0)</f>
        <v>-14481</v>
      </c>
      <c r="F48" s="30">
        <f>ROUND('Sum of Billing Determinants'!G56*-1*'Rate Calculations'!$G$9*(1-'Sum of Billing Determinants'!$AC56),0)</f>
        <v>-12551</v>
      </c>
      <c r="G48" s="30">
        <f>ROUND('Sum of Billing Determinants'!H56*-1*'Rate Calculations'!$G$9*(1-'Sum of Billing Determinants'!$AC56),0)</f>
        <v>-14984</v>
      </c>
      <c r="H48" s="30">
        <f>ROUND('Sum of Billing Determinants'!I56*-1*'Rate Calculations'!$G$9*(1-'Sum of Billing Determinants'!$AC56),0)</f>
        <v>-11633</v>
      </c>
      <c r="I48" s="30">
        <f>ROUND('Sum of Billing Determinants'!J56*-1*'Rate Calculations'!$G$9*(1-'Sum of Billing Determinants'!$AC56),0)</f>
        <v>-16118</v>
      </c>
      <c r="J48" s="30">
        <f>ROUND('Sum of Billing Determinants'!K56*-1*'Rate Calculations'!$G$9*(1-'Sum of Billing Determinants'!$AC56),0)</f>
        <v>-17222</v>
      </c>
      <c r="K48" s="30">
        <f>ROUND('Sum of Billing Determinants'!L56*-1*'Rate Calculations'!$G$9*(1-'Sum of Billing Determinants'!$AC56),0)</f>
        <v>-16351</v>
      </c>
      <c r="L48" s="30">
        <f>ROUND('Sum of Billing Determinants'!M56*-1*'Rate Calculations'!$G$9*(1-'Sum of Billing Determinants'!$AC56),0)</f>
        <v>-15802</v>
      </c>
      <c r="M48" s="30">
        <f>ROUND('Sum of Billing Determinants'!N56*-1*'Rate Calculations'!$G$9*(1-'Sum of Billing Determinants'!$AC56),0)</f>
        <v>-14603</v>
      </c>
      <c r="N48" s="30">
        <f t="shared" si="0"/>
        <v>-151278</v>
      </c>
    </row>
    <row r="49" spans="2:14" ht="15">
      <c r="B49" s="26">
        <f>'Sum of Billing Determinants'!A57</f>
        <v>10113</v>
      </c>
      <c r="C49" s="26" t="str">
        <f>'Sum of Billing Determinants'!B57</f>
        <v>Columbia REA</v>
      </c>
      <c r="D49" s="30">
        <f>ROUND('Sum of Billing Determinants'!E57*-1*'Rate Calculations'!$G$9*(1-'Sum of Billing Determinants'!$AC57),0)</f>
        <v>-10499</v>
      </c>
      <c r="E49" s="30">
        <f>ROUND('Sum of Billing Determinants'!F57*-1*'Rate Calculations'!$G$9*(1-'Sum of Billing Determinants'!$AC57),0)</f>
        <v>-8672</v>
      </c>
      <c r="F49" s="30">
        <f>ROUND('Sum of Billing Determinants'!G57*-1*'Rate Calculations'!$G$9*(1-'Sum of Billing Determinants'!$AC57),0)</f>
        <v>-7516</v>
      </c>
      <c r="G49" s="30">
        <f>ROUND('Sum of Billing Determinants'!H57*-1*'Rate Calculations'!$G$9*(1-'Sum of Billing Determinants'!$AC57),0)</f>
        <v>-8973</v>
      </c>
      <c r="H49" s="30">
        <f>ROUND('Sum of Billing Determinants'!I57*-1*'Rate Calculations'!$G$9*(1-'Sum of Billing Determinants'!$AC57),0)</f>
        <v>-6966</v>
      </c>
      <c r="I49" s="30">
        <f>ROUND('Sum of Billing Determinants'!J57*-1*'Rate Calculations'!$G$9*(1-'Sum of Billing Determinants'!$AC57),0)</f>
        <v>-9652</v>
      </c>
      <c r="J49" s="30">
        <f>ROUND('Sum of Billing Determinants'!K57*-1*'Rate Calculations'!$G$9*(1-'Sum of Billing Determinants'!$AC57),0)</f>
        <v>-10313</v>
      </c>
      <c r="K49" s="30">
        <f>ROUND('Sum of Billing Determinants'!L57*-1*'Rate Calculations'!$G$9*(1-'Sum of Billing Determinants'!$AC57),0)</f>
        <v>-9792</v>
      </c>
      <c r="L49" s="30">
        <f>ROUND('Sum of Billing Determinants'!M57*-1*'Rate Calculations'!$G$9*(1-'Sum of Billing Determinants'!$AC57),0)</f>
        <v>-9463</v>
      </c>
      <c r="M49" s="30">
        <f>ROUND('Sum of Billing Determinants'!N57*-1*'Rate Calculations'!$G$9*(1-'Sum of Billing Determinants'!$AC57),0)</f>
        <v>-8745</v>
      </c>
      <c r="N49" s="30">
        <f t="shared" si="0"/>
        <v>-90591</v>
      </c>
    </row>
    <row r="50" spans="2:14" ht="15">
      <c r="B50" s="26">
        <f>'Sum of Billing Determinants'!A58</f>
        <v>10116</v>
      </c>
      <c r="C50" s="26" t="str">
        <f>'Sum of Billing Determinants'!B58</f>
        <v>Consolidated Irrigation District #19</v>
      </c>
      <c r="D50" s="30">
        <f>ROUND('Sum of Billing Determinants'!E58*-1*'Rate Calculations'!$G$9*(1-'Sum of Billing Determinants'!$AC58),0)</f>
        <v>-69</v>
      </c>
      <c r="E50" s="30">
        <f>ROUND('Sum of Billing Determinants'!F58*-1*'Rate Calculations'!$G$9*(1-'Sum of Billing Determinants'!$AC58),0)</f>
        <v>-57</v>
      </c>
      <c r="F50" s="30">
        <f>ROUND('Sum of Billing Determinants'!G58*-1*'Rate Calculations'!$G$9*(1-'Sum of Billing Determinants'!$AC58),0)</f>
        <v>-49</v>
      </c>
      <c r="G50" s="30">
        <f>ROUND('Sum of Billing Determinants'!H58*-1*'Rate Calculations'!$G$9*(1-'Sum of Billing Determinants'!$AC58),0)</f>
        <v>-59</v>
      </c>
      <c r="H50" s="30">
        <f>ROUND('Sum of Billing Determinants'!I58*-1*'Rate Calculations'!$G$9*(1-'Sum of Billing Determinants'!$AC58),0)</f>
        <v>-46</v>
      </c>
      <c r="I50" s="30">
        <f>ROUND('Sum of Billing Determinants'!J58*-1*'Rate Calculations'!$G$9*(1-'Sum of Billing Determinants'!$AC58),0)</f>
        <v>-63</v>
      </c>
      <c r="J50" s="30">
        <f>ROUND('Sum of Billing Determinants'!K58*-1*'Rate Calculations'!$G$9*(1-'Sum of Billing Determinants'!$AC58),0)</f>
        <v>-68</v>
      </c>
      <c r="K50" s="30">
        <f>ROUND('Sum of Billing Determinants'!L58*-1*'Rate Calculations'!$G$9*(1-'Sum of Billing Determinants'!$AC58),0)</f>
        <v>-64</v>
      </c>
      <c r="L50" s="30">
        <f>ROUND('Sum of Billing Determinants'!M58*-1*'Rate Calculations'!$G$9*(1-'Sum of Billing Determinants'!$AC58),0)</f>
        <v>-62</v>
      </c>
      <c r="M50" s="30">
        <f>ROUND('Sum of Billing Determinants'!N58*-1*'Rate Calculations'!$G$9*(1-'Sum of Billing Determinants'!$AC58),0)</f>
        <v>-58</v>
      </c>
      <c r="N50" s="30">
        <f t="shared" si="0"/>
        <v>-595</v>
      </c>
    </row>
    <row r="51" spans="2:14" ht="15">
      <c r="B51" s="26">
        <f>'Sum of Billing Determinants'!A59</f>
        <v>10118</v>
      </c>
      <c r="C51" s="26" t="str">
        <f>'Sum of Billing Determinants'!B59</f>
        <v>Consumers Power</v>
      </c>
      <c r="D51" s="30">
        <f>ROUND('Sum of Billing Determinants'!E59*-1*'Rate Calculations'!$G$9*(1-'Sum of Billing Determinants'!$AC59),0)</f>
        <v>-12841</v>
      </c>
      <c r="E51" s="30">
        <f>ROUND('Sum of Billing Determinants'!F59*-1*'Rate Calculations'!$G$9*(1-'Sum of Billing Determinants'!$AC59),0)</f>
        <v>-10606</v>
      </c>
      <c r="F51" s="30">
        <f>ROUND('Sum of Billing Determinants'!G59*-1*'Rate Calculations'!$G$9*(1-'Sum of Billing Determinants'!$AC59),0)</f>
        <v>-9193</v>
      </c>
      <c r="G51" s="30">
        <f>ROUND('Sum of Billing Determinants'!H59*-1*'Rate Calculations'!$G$9*(1-'Sum of Billing Determinants'!$AC59),0)</f>
        <v>-10974</v>
      </c>
      <c r="H51" s="30">
        <f>ROUND('Sum of Billing Determinants'!I59*-1*'Rate Calculations'!$G$9*(1-'Sum of Billing Determinants'!$AC59),0)</f>
        <v>-8520</v>
      </c>
      <c r="I51" s="30">
        <f>ROUND('Sum of Billing Determinants'!J59*-1*'Rate Calculations'!$G$9*(1-'Sum of Billing Determinants'!$AC59),0)</f>
        <v>-11804</v>
      </c>
      <c r="J51" s="30">
        <f>ROUND('Sum of Billing Determinants'!K59*-1*'Rate Calculations'!$G$9*(1-'Sum of Billing Determinants'!$AC59),0)</f>
        <v>-12613</v>
      </c>
      <c r="K51" s="30">
        <f>ROUND('Sum of Billing Determinants'!L59*-1*'Rate Calculations'!$G$9*(1-'Sum of Billing Determinants'!$AC59),0)</f>
        <v>-11976</v>
      </c>
      <c r="L51" s="30">
        <f>ROUND('Sum of Billing Determinants'!M59*-1*'Rate Calculations'!$G$9*(1-'Sum of Billing Determinants'!$AC59),0)</f>
        <v>-11574</v>
      </c>
      <c r="M51" s="30">
        <f>ROUND('Sum of Billing Determinants'!N59*-1*'Rate Calculations'!$G$9*(1-'Sum of Billing Determinants'!$AC59),0)</f>
        <v>-10695</v>
      </c>
      <c r="N51" s="30">
        <f t="shared" si="0"/>
        <v>-110796</v>
      </c>
    </row>
    <row r="52" spans="2:14" ht="15">
      <c r="B52" s="26">
        <f>'Sum of Billing Determinants'!A60</f>
        <v>10121</v>
      </c>
      <c r="C52" s="26" t="str">
        <f>'Sum of Billing Determinants'!B60</f>
        <v>Coos Curry Elec Coop</v>
      </c>
      <c r="D52" s="30">
        <f>ROUND('Sum of Billing Determinants'!E60*-1*'Rate Calculations'!$G$9*(1-'Sum of Billing Determinants'!$AC60),0)</f>
        <v>-11643</v>
      </c>
      <c r="E52" s="30">
        <f>ROUND('Sum of Billing Determinants'!F60*-1*'Rate Calculations'!$G$9*(1-'Sum of Billing Determinants'!$AC60),0)</f>
        <v>-9616</v>
      </c>
      <c r="F52" s="30">
        <f>ROUND('Sum of Billing Determinants'!G60*-1*'Rate Calculations'!$G$9*(1-'Sum of Billing Determinants'!$AC60),0)</f>
        <v>-8335</v>
      </c>
      <c r="G52" s="30">
        <f>ROUND('Sum of Billing Determinants'!H60*-1*'Rate Calculations'!$G$9*(1-'Sum of Billing Determinants'!$AC60),0)</f>
        <v>-9950</v>
      </c>
      <c r="H52" s="30">
        <f>ROUND('Sum of Billing Determinants'!I60*-1*'Rate Calculations'!$G$9*(1-'Sum of Billing Determinants'!$AC60),0)</f>
        <v>-7725</v>
      </c>
      <c r="I52" s="30">
        <f>ROUND('Sum of Billing Determinants'!J60*-1*'Rate Calculations'!$G$9*(1-'Sum of Billing Determinants'!$AC60),0)</f>
        <v>-10703</v>
      </c>
      <c r="J52" s="30">
        <f>ROUND('Sum of Billing Determinants'!K60*-1*'Rate Calculations'!$G$9*(1-'Sum of Billing Determinants'!$AC60),0)</f>
        <v>-11436</v>
      </c>
      <c r="K52" s="30">
        <f>ROUND('Sum of Billing Determinants'!L60*-1*'Rate Calculations'!$G$9*(1-'Sum of Billing Determinants'!$AC60),0)</f>
        <v>-10858</v>
      </c>
      <c r="L52" s="30">
        <f>ROUND('Sum of Billing Determinants'!M60*-1*'Rate Calculations'!$G$9*(1-'Sum of Billing Determinants'!$AC60),0)</f>
        <v>-10493</v>
      </c>
      <c r="M52" s="30">
        <f>ROUND('Sum of Billing Determinants'!N60*-1*'Rate Calculations'!$G$9*(1-'Sum of Billing Determinants'!$AC60),0)</f>
        <v>-9697</v>
      </c>
      <c r="N52" s="30">
        <f t="shared" si="0"/>
        <v>-100456</v>
      </c>
    </row>
    <row r="53" spans="2:14" ht="15">
      <c r="B53" s="26">
        <f>'Sum of Billing Determinants'!A61</f>
        <v>10123</v>
      </c>
      <c r="C53" s="26" t="str">
        <f>'Sum of Billing Determinants'!B61</f>
        <v>Cowlitz County PUD #1</v>
      </c>
      <c r="D53" s="30">
        <f>ROUND('Sum of Billing Determinants'!E61*-1*'Rate Calculations'!$G$9*(1-'Sum of Billing Determinants'!$AC61),0)</f>
        <v>-61838</v>
      </c>
      <c r="E53" s="30">
        <f>ROUND('Sum of Billing Determinants'!F61*-1*'Rate Calculations'!$G$9*(1-'Sum of Billing Determinants'!$AC61),0)</f>
        <v>-51076</v>
      </c>
      <c r="F53" s="30">
        <f>ROUND('Sum of Billing Determinants'!G61*-1*'Rate Calculations'!$G$9*(1-'Sum of Billing Determinants'!$AC61),0)</f>
        <v>-44268</v>
      </c>
      <c r="G53" s="30">
        <f>ROUND('Sum of Billing Determinants'!H61*-1*'Rate Calculations'!$G$9*(1-'Sum of Billing Determinants'!$AC61),0)</f>
        <v>-52848</v>
      </c>
      <c r="H53" s="30">
        <f>ROUND('Sum of Billing Determinants'!I61*-1*'Rate Calculations'!$G$9*(1-'Sum of Billing Determinants'!$AC61),0)</f>
        <v>-41029</v>
      </c>
      <c r="I53" s="30">
        <f>ROUND('Sum of Billing Determinants'!J61*-1*'Rate Calculations'!$G$9*(1-'Sum of Billing Determinants'!$AC61),0)</f>
        <v>-56846</v>
      </c>
      <c r="J53" s="30">
        <f>ROUND('Sum of Billing Determinants'!K61*-1*'Rate Calculations'!$G$9*(1-'Sum of Billing Determinants'!$AC61),0)</f>
        <v>-60741</v>
      </c>
      <c r="K53" s="30">
        <f>ROUND('Sum of Billing Determinants'!L61*-1*'Rate Calculations'!$G$9*(1-'Sum of Billing Determinants'!$AC61),0)</f>
        <v>-57671</v>
      </c>
      <c r="L53" s="30">
        <f>ROUND('Sum of Billing Determinants'!M61*-1*'Rate Calculations'!$G$9*(1-'Sum of Billing Determinants'!$AC61),0)</f>
        <v>-55735</v>
      </c>
      <c r="M53" s="30">
        <f>ROUND('Sum of Billing Determinants'!N61*-1*'Rate Calculations'!$G$9*(1-'Sum of Billing Determinants'!$AC61),0)</f>
        <v>-51505</v>
      </c>
      <c r="N53" s="30">
        <f t="shared" si="0"/>
        <v>-533557</v>
      </c>
    </row>
    <row r="54" spans="2:14" ht="15">
      <c r="B54" s="26">
        <f>'Sum of Billing Determinants'!A62</f>
        <v>10136</v>
      </c>
      <c r="C54" s="26" t="str">
        <f>'Sum of Billing Determinants'!B62</f>
        <v>Douglas Electric Cooperative</v>
      </c>
      <c r="D54" s="30">
        <f>ROUND('Sum of Billing Determinants'!E62*-1*'Rate Calculations'!$G$9*(1-'Sum of Billing Determinants'!$AC62),0)</f>
        <v>-5222</v>
      </c>
      <c r="E54" s="30">
        <f>ROUND('Sum of Billing Determinants'!F62*-1*'Rate Calculations'!$G$9*(1-'Sum of Billing Determinants'!$AC62),0)</f>
        <v>-4313</v>
      </c>
      <c r="F54" s="30">
        <f>ROUND('Sum of Billing Determinants'!G62*-1*'Rate Calculations'!$G$9*(1-'Sum of Billing Determinants'!$AC62),0)</f>
        <v>-3739</v>
      </c>
      <c r="G54" s="30">
        <f>ROUND('Sum of Billing Determinants'!H62*-1*'Rate Calculations'!$G$9*(1-'Sum of Billing Determinants'!$AC62),0)</f>
        <v>-4463</v>
      </c>
      <c r="H54" s="30">
        <f>ROUND('Sum of Billing Determinants'!I62*-1*'Rate Calculations'!$G$9*(1-'Sum of Billing Determinants'!$AC62),0)</f>
        <v>-3465</v>
      </c>
      <c r="I54" s="30">
        <f>ROUND('Sum of Billing Determinants'!J62*-1*'Rate Calculations'!$G$9*(1-'Sum of Billing Determinants'!$AC62),0)</f>
        <v>-4801</v>
      </c>
      <c r="J54" s="30">
        <f>ROUND('Sum of Billing Determinants'!K62*-1*'Rate Calculations'!$G$9*(1-'Sum of Billing Determinants'!$AC62),0)</f>
        <v>-5130</v>
      </c>
      <c r="K54" s="30">
        <f>ROUND('Sum of Billing Determinants'!L62*-1*'Rate Calculations'!$G$9*(1-'Sum of Billing Determinants'!$AC62),0)</f>
        <v>-4870</v>
      </c>
      <c r="L54" s="30">
        <f>ROUND('Sum of Billing Determinants'!M62*-1*'Rate Calculations'!$G$9*(1-'Sum of Billing Determinants'!$AC62),0)</f>
        <v>-4707</v>
      </c>
      <c r="M54" s="30">
        <f>ROUND('Sum of Billing Determinants'!N62*-1*'Rate Calculations'!$G$9*(1-'Sum of Billing Determinants'!$AC62),0)</f>
        <v>-4350</v>
      </c>
      <c r="N54" s="30">
        <f t="shared" si="0"/>
        <v>-45060</v>
      </c>
    </row>
    <row r="55" spans="2:14" ht="15">
      <c r="B55" s="26">
        <f>'Sum of Billing Determinants'!A63</f>
        <v>10142</v>
      </c>
      <c r="C55" s="26" t="str">
        <f>'Sum of Billing Determinants'!B63</f>
        <v>East End Mutual Electric</v>
      </c>
      <c r="D55" s="30">
        <f>ROUND('Sum of Billing Determinants'!E63*-1*'Rate Calculations'!$G$9*(1-'Sum of Billing Determinants'!$AC63),0)</f>
        <v>-792</v>
      </c>
      <c r="E55" s="30">
        <f>ROUND('Sum of Billing Determinants'!F63*-1*'Rate Calculations'!$G$9*(1-'Sum of Billing Determinants'!$AC63),0)</f>
        <v>-654</v>
      </c>
      <c r="F55" s="30">
        <f>ROUND('Sum of Billing Determinants'!G63*-1*'Rate Calculations'!$G$9*(1-'Sum of Billing Determinants'!$AC63),0)</f>
        <v>-567</v>
      </c>
      <c r="G55" s="30">
        <f>ROUND('Sum of Billing Determinants'!H63*-1*'Rate Calculations'!$G$9*(1-'Sum of Billing Determinants'!$AC63),0)</f>
        <v>-677</v>
      </c>
      <c r="H55" s="30">
        <f>ROUND('Sum of Billing Determinants'!I63*-1*'Rate Calculations'!$G$9*(1-'Sum of Billing Determinants'!$AC63),0)</f>
        <v>-526</v>
      </c>
      <c r="I55" s="30">
        <f>ROUND('Sum of Billing Determinants'!J63*-1*'Rate Calculations'!$G$9*(1-'Sum of Billing Determinants'!$AC63),0)</f>
        <v>-728</v>
      </c>
      <c r="J55" s="30">
        <f>ROUND('Sum of Billing Determinants'!K63*-1*'Rate Calculations'!$G$9*(1-'Sum of Billing Determinants'!$AC63),0)</f>
        <v>-778</v>
      </c>
      <c r="K55" s="30">
        <f>ROUND('Sum of Billing Determinants'!L63*-1*'Rate Calculations'!$G$9*(1-'Sum of Billing Determinants'!$AC63),0)</f>
        <v>-739</v>
      </c>
      <c r="L55" s="30">
        <f>ROUND('Sum of Billing Determinants'!M63*-1*'Rate Calculations'!$G$9*(1-'Sum of Billing Determinants'!$AC63),0)</f>
        <v>-714</v>
      </c>
      <c r="M55" s="30">
        <f>ROUND('Sum of Billing Determinants'!N63*-1*'Rate Calculations'!$G$9*(1-'Sum of Billing Determinants'!$AC63),0)</f>
        <v>-660</v>
      </c>
      <c r="N55" s="30">
        <f t="shared" si="0"/>
        <v>-6835</v>
      </c>
    </row>
    <row r="56" spans="2:14" ht="15">
      <c r="B56" s="26">
        <f>'Sum of Billing Determinants'!A64</f>
        <v>10144</v>
      </c>
      <c r="C56" s="26" t="str">
        <f>'Sum of Billing Determinants'!B64</f>
        <v>Eatonville, City of</v>
      </c>
      <c r="D56" s="30">
        <f>ROUND('Sum of Billing Determinants'!E64*-1*'Rate Calculations'!$G$9*(1-'Sum of Billing Determinants'!$AC64),0)</f>
        <v>-1023</v>
      </c>
      <c r="E56" s="30">
        <f>ROUND('Sum of Billing Determinants'!F64*-1*'Rate Calculations'!$G$9*(1-'Sum of Billing Determinants'!$AC64),0)</f>
        <v>-845</v>
      </c>
      <c r="F56" s="30">
        <f>ROUND('Sum of Billing Determinants'!G64*-1*'Rate Calculations'!$G$9*(1-'Sum of Billing Determinants'!$AC64),0)</f>
        <v>-732</v>
      </c>
      <c r="G56" s="30">
        <f>ROUND('Sum of Billing Determinants'!H64*-1*'Rate Calculations'!$G$9*(1-'Sum of Billing Determinants'!$AC64),0)</f>
        <v>-874</v>
      </c>
      <c r="H56" s="30">
        <f>ROUND('Sum of Billing Determinants'!I64*-1*'Rate Calculations'!$G$9*(1-'Sum of Billing Determinants'!$AC64),0)</f>
        <v>-679</v>
      </c>
      <c r="I56" s="30">
        <f>ROUND('Sum of Billing Determinants'!J64*-1*'Rate Calculations'!$G$9*(1-'Sum of Billing Determinants'!$AC64),0)</f>
        <v>-940</v>
      </c>
      <c r="J56" s="30">
        <f>ROUND('Sum of Billing Determinants'!K64*-1*'Rate Calculations'!$G$9*(1-'Sum of Billing Determinants'!$AC64),0)</f>
        <v>-1005</v>
      </c>
      <c r="K56" s="30">
        <f>ROUND('Sum of Billing Determinants'!L64*-1*'Rate Calculations'!$G$9*(1-'Sum of Billing Determinants'!$AC64),0)</f>
        <v>-954</v>
      </c>
      <c r="L56" s="30">
        <f>ROUND('Sum of Billing Determinants'!M64*-1*'Rate Calculations'!$G$9*(1-'Sum of Billing Determinants'!$AC64),0)</f>
        <v>-922</v>
      </c>
      <c r="M56" s="30">
        <f>ROUND('Sum of Billing Determinants'!N64*-1*'Rate Calculations'!$G$9*(1-'Sum of Billing Determinants'!$AC64),0)</f>
        <v>-852</v>
      </c>
      <c r="N56" s="30">
        <f t="shared" si="0"/>
        <v>-8826</v>
      </c>
    </row>
    <row r="57" spans="2:14" ht="15">
      <c r="B57" s="26">
        <f>'Sum of Billing Determinants'!A65</f>
        <v>10156</v>
      </c>
      <c r="C57" s="26" t="str">
        <f>'Sum of Billing Determinants'!B65</f>
        <v>Elmhurst Mutual P &amp; L</v>
      </c>
      <c r="D57" s="30">
        <f>ROUND('Sum of Billing Determinants'!E65*-1*'Rate Calculations'!$G$9*(1-'Sum of Billing Determinants'!$AC65),0)</f>
        <v>-9789</v>
      </c>
      <c r="E57" s="30">
        <f>ROUND('Sum of Billing Determinants'!F65*-1*'Rate Calculations'!$G$9*(1-'Sum of Billing Determinants'!$AC65),0)</f>
        <v>-8086</v>
      </c>
      <c r="F57" s="30">
        <f>ROUND('Sum of Billing Determinants'!G65*-1*'Rate Calculations'!$G$9*(1-'Sum of Billing Determinants'!$AC65),0)</f>
        <v>-7008</v>
      </c>
      <c r="G57" s="30">
        <f>ROUND('Sum of Billing Determinants'!H65*-1*'Rate Calculations'!$G$9*(1-'Sum of Billing Determinants'!$AC65),0)</f>
        <v>-8366</v>
      </c>
      <c r="H57" s="30">
        <f>ROUND('Sum of Billing Determinants'!I65*-1*'Rate Calculations'!$G$9*(1-'Sum of Billing Determinants'!$AC65),0)</f>
        <v>-6495</v>
      </c>
      <c r="I57" s="30">
        <f>ROUND('Sum of Billing Determinants'!J65*-1*'Rate Calculations'!$G$9*(1-'Sum of Billing Determinants'!$AC65),0)</f>
        <v>-8999</v>
      </c>
      <c r="J57" s="30">
        <f>ROUND('Sum of Billing Determinants'!K65*-1*'Rate Calculations'!$G$9*(1-'Sum of Billing Determinants'!$AC65),0)</f>
        <v>-9616</v>
      </c>
      <c r="K57" s="30">
        <f>ROUND('Sum of Billing Determinants'!L65*-1*'Rate Calculations'!$G$9*(1-'Sum of Billing Determinants'!$AC65),0)</f>
        <v>-9130</v>
      </c>
      <c r="L57" s="30">
        <f>ROUND('Sum of Billing Determinants'!M65*-1*'Rate Calculations'!$G$9*(1-'Sum of Billing Determinants'!$AC65),0)</f>
        <v>-8823</v>
      </c>
      <c r="M57" s="30">
        <f>ROUND('Sum of Billing Determinants'!N65*-1*'Rate Calculations'!$G$9*(1-'Sum of Billing Determinants'!$AC65),0)</f>
        <v>-8154</v>
      </c>
      <c r="N57" s="30">
        <f t="shared" si="0"/>
        <v>-84466</v>
      </c>
    </row>
    <row r="58" spans="2:14" ht="15">
      <c r="B58" s="26">
        <f>'Sum of Billing Determinants'!A66</f>
        <v>10157</v>
      </c>
      <c r="C58" s="26" t="str">
        <f>'Sum of Billing Determinants'!B66</f>
        <v>Emerald PUD</v>
      </c>
      <c r="D58" s="30">
        <f>ROUND('Sum of Billing Determinants'!E66*-1*'Rate Calculations'!$G$9*(1-'Sum of Billing Determinants'!$AC66),0)</f>
        <v>-6822</v>
      </c>
      <c r="E58" s="30">
        <f>ROUND('Sum of Billing Determinants'!F66*-1*'Rate Calculations'!$G$9*(1-'Sum of Billing Determinants'!$AC66),0)</f>
        <v>-5634</v>
      </c>
      <c r="F58" s="30">
        <f>ROUND('Sum of Billing Determinants'!G66*-1*'Rate Calculations'!$G$9*(1-'Sum of Billing Determinants'!$AC66),0)</f>
        <v>-4883</v>
      </c>
      <c r="G58" s="30">
        <f>ROUND('Sum of Billing Determinants'!H66*-1*'Rate Calculations'!$G$9*(1-'Sum of Billing Determinants'!$AC66),0)</f>
        <v>-5830</v>
      </c>
      <c r="H58" s="30">
        <f>ROUND('Sum of Billing Determinants'!I66*-1*'Rate Calculations'!$G$9*(1-'Sum of Billing Determinants'!$AC66),0)</f>
        <v>-4526</v>
      </c>
      <c r="I58" s="30">
        <f>ROUND('Sum of Billing Determinants'!J66*-1*'Rate Calculations'!$G$9*(1-'Sum of Billing Determinants'!$AC66),0)</f>
        <v>-6271</v>
      </c>
      <c r="J58" s="30">
        <f>ROUND('Sum of Billing Determinants'!K66*-1*'Rate Calculations'!$G$9*(1-'Sum of Billing Determinants'!$AC66),0)</f>
        <v>-6700</v>
      </c>
      <c r="K58" s="30">
        <f>ROUND('Sum of Billing Determinants'!L66*-1*'Rate Calculations'!$G$9*(1-'Sum of Billing Determinants'!$AC66),0)</f>
        <v>-6362</v>
      </c>
      <c r="L58" s="30">
        <f>ROUND('Sum of Billing Determinants'!M66*-1*'Rate Calculations'!$G$9*(1-'Sum of Billing Determinants'!$AC66),0)</f>
        <v>-6148</v>
      </c>
      <c r="M58" s="30">
        <f>ROUND('Sum of Billing Determinants'!N66*-1*'Rate Calculations'!$G$9*(1-'Sum of Billing Determinants'!$AC66),0)</f>
        <v>-5682</v>
      </c>
      <c r="N58" s="30">
        <f t="shared" si="0"/>
        <v>-58858</v>
      </c>
    </row>
    <row r="59" spans="2:14" ht="15">
      <c r="B59" s="26">
        <f>'Sum of Billing Determinants'!A67</f>
        <v>10158</v>
      </c>
      <c r="C59" s="26" t="str">
        <f>'Sum of Billing Determinants'!B67</f>
        <v>Energy Northwest</v>
      </c>
      <c r="D59" s="30">
        <f>ROUND('Sum of Billing Determinants'!E67*-1*'Rate Calculations'!$G$9*(1-'Sum of Billing Determinants'!$AC67),0)</f>
        <v>-755</v>
      </c>
      <c r="E59" s="30">
        <f>ROUND('Sum of Billing Determinants'!F67*-1*'Rate Calculations'!$G$9*(1-'Sum of Billing Determinants'!$AC67),0)</f>
        <v>-624</v>
      </c>
      <c r="F59" s="30">
        <f>ROUND('Sum of Billing Determinants'!G67*-1*'Rate Calculations'!$G$9*(1-'Sum of Billing Determinants'!$AC67),0)</f>
        <v>-541</v>
      </c>
      <c r="G59" s="30">
        <f>ROUND('Sum of Billing Determinants'!H67*-1*'Rate Calculations'!$G$9*(1-'Sum of Billing Determinants'!$AC67),0)</f>
        <v>-646</v>
      </c>
      <c r="H59" s="30">
        <f>ROUND('Sum of Billing Determinants'!I67*-1*'Rate Calculations'!$G$9*(1-'Sum of Billing Determinants'!$AC67),0)</f>
        <v>-501</v>
      </c>
      <c r="I59" s="30">
        <f>ROUND('Sum of Billing Determinants'!J67*-1*'Rate Calculations'!$G$9*(1-'Sum of Billing Determinants'!$AC67),0)</f>
        <v>-694</v>
      </c>
      <c r="J59" s="30">
        <f>ROUND('Sum of Billing Determinants'!K67*-1*'Rate Calculations'!$G$9*(1-'Sum of Billing Determinants'!$AC67),0)</f>
        <v>-742</v>
      </c>
      <c r="K59" s="30">
        <f>ROUND('Sum of Billing Determinants'!L67*-1*'Rate Calculations'!$G$9*(1-'Sum of Billing Determinants'!$AC67),0)</f>
        <v>-705</v>
      </c>
      <c r="L59" s="30">
        <f>ROUND('Sum of Billing Determinants'!M67*-1*'Rate Calculations'!$G$9*(1-'Sum of Billing Determinants'!$AC67),0)</f>
        <v>-681</v>
      </c>
      <c r="M59" s="30">
        <f>ROUND('Sum of Billing Determinants'!N67*-1*'Rate Calculations'!$G$9*(1-'Sum of Billing Determinants'!$AC67),0)</f>
        <v>-629</v>
      </c>
      <c r="N59" s="30">
        <f t="shared" si="0"/>
        <v>-6518</v>
      </c>
    </row>
    <row r="60" spans="2:14" ht="15">
      <c r="B60" s="26">
        <f>'Sum of Billing Determinants'!A68</f>
        <v>10170</v>
      </c>
      <c r="C60" s="26" t="str">
        <f>'Sum of Billing Determinants'!B68</f>
        <v>Eugene Water &amp; Electric Board</v>
      </c>
      <c r="D60" s="30">
        <f>ROUND('Sum of Billing Determinants'!E68*-1*'Rate Calculations'!$G$9*(1-'Sum of Billing Determinants'!$AC68),0)</f>
        <v>-36702</v>
      </c>
      <c r="E60" s="30">
        <f>ROUND('Sum of Billing Determinants'!F68*-1*'Rate Calculations'!$G$9*(1-'Sum of Billing Determinants'!$AC68),0)</f>
        <v>-30315</v>
      </c>
      <c r="F60" s="30">
        <f>ROUND('Sum of Billing Determinants'!G68*-1*'Rate Calculations'!$G$9*(1-'Sum of Billing Determinants'!$AC68),0)</f>
        <v>-26274</v>
      </c>
      <c r="G60" s="30">
        <f>ROUND('Sum of Billing Determinants'!H68*-1*'Rate Calculations'!$G$9*(1-'Sum of Billing Determinants'!$AC68),0)</f>
        <v>-31366</v>
      </c>
      <c r="H60" s="30">
        <f>ROUND('Sum of Billing Determinants'!I68*-1*'Rate Calculations'!$G$9*(1-'Sum of Billing Determinants'!$AC68),0)</f>
        <v>-24352</v>
      </c>
      <c r="I60" s="30">
        <f>ROUND('Sum of Billing Determinants'!J68*-1*'Rate Calculations'!$G$9*(1-'Sum of Billing Determinants'!$AC68),0)</f>
        <v>-33739</v>
      </c>
      <c r="J60" s="30">
        <f>ROUND('Sum of Billing Determinants'!K68*-1*'Rate Calculations'!$G$9*(1-'Sum of Billing Determinants'!$AC68),0)</f>
        <v>-36051</v>
      </c>
      <c r="K60" s="30">
        <f>ROUND('Sum of Billing Determinants'!L68*-1*'Rate Calculations'!$G$9*(1-'Sum of Billing Determinants'!$AC68),0)</f>
        <v>-34229</v>
      </c>
      <c r="L60" s="30">
        <f>ROUND('Sum of Billing Determinants'!M68*-1*'Rate Calculations'!$G$9*(1-'Sum of Billing Determinants'!$AC68),0)</f>
        <v>-33080</v>
      </c>
      <c r="M60" s="30">
        <f>ROUND('Sum of Billing Determinants'!N68*-1*'Rate Calculations'!$G$9*(1-'Sum of Billing Determinants'!$AC68),0)</f>
        <v>-30569</v>
      </c>
      <c r="N60" s="30">
        <f t="shared" si="0"/>
        <v>-316677</v>
      </c>
    </row>
    <row r="61" spans="2:14" ht="15">
      <c r="B61" s="26">
        <f>'Sum of Billing Determinants'!A69</f>
        <v>10172</v>
      </c>
      <c r="C61" s="26" t="str">
        <f>'Sum of Billing Determinants'!B69</f>
        <v>U.S. Airforce Base, Fairchild</v>
      </c>
      <c r="D61" s="30">
        <f>ROUND('Sum of Billing Determinants'!E69*-1*'Rate Calculations'!$G$9*(1-'Sum of Billing Determinants'!$AC69),0)</f>
        <v>-1741</v>
      </c>
      <c r="E61" s="30">
        <f>ROUND('Sum of Billing Determinants'!F69*-1*'Rate Calculations'!$G$9*(1-'Sum of Billing Determinants'!$AC69),0)</f>
        <v>-1438</v>
      </c>
      <c r="F61" s="30">
        <f>ROUND('Sum of Billing Determinants'!G69*-1*'Rate Calculations'!$G$9*(1-'Sum of Billing Determinants'!$AC69),0)</f>
        <v>-1247</v>
      </c>
      <c r="G61" s="30">
        <f>ROUND('Sum of Billing Determinants'!H69*-1*'Rate Calculations'!$G$9*(1-'Sum of Billing Determinants'!$AC69),0)</f>
        <v>-1488</v>
      </c>
      <c r="H61" s="30">
        <f>ROUND('Sum of Billing Determinants'!I69*-1*'Rate Calculations'!$G$9*(1-'Sum of Billing Determinants'!$AC69),0)</f>
        <v>-1155</v>
      </c>
      <c r="I61" s="30">
        <f>ROUND('Sum of Billing Determinants'!J69*-1*'Rate Calculations'!$G$9*(1-'Sum of Billing Determinants'!$AC69),0)</f>
        <v>-1601</v>
      </c>
      <c r="J61" s="30">
        <f>ROUND('Sum of Billing Determinants'!K69*-1*'Rate Calculations'!$G$9*(1-'Sum of Billing Determinants'!$AC69),0)</f>
        <v>-1710</v>
      </c>
      <c r="K61" s="30">
        <f>ROUND('Sum of Billing Determinants'!L69*-1*'Rate Calculations'!$G$9*(1-'Sum of Billing Determinants'!$AC69),0)</f>
        <v>-1624</v>
      </c>
      <c r="L61" s="30">
        <f>ROUND('Sum of Billing Determinants'!M69*-1*'Rate Calculations'!$G$9*(1-'Sum of Billing Determinants'!$AC69),0)</f>
        <v>-1569</v>
      </c>
      <c r="M61" s="30">
        <f>ROUND('Sum of Billing Determinants'!N69*-1*'Rate Calculations'!$G$9*(1-'Sum of Billing Determinants'!$AC69),0)</f>
        <v>-1450</v>
      </c>
      <c r="N61" s="30">
        <f t="shared" si="0"/>
        <v>-15023</v>
      </c>
    </row>
    <row r="62" spans="2:14" ht="15">
      <c r="B62" s="26">
        <f>'Sum of Billing Determinants'!A70</f>
        <v>10173</v>
      </c>
      <c r="C62" s="26" t="str">
        <f>'Sum of Billing Determinants'!B70</f>
        <v>Fall River Elec Coop</v>
      </c>
      <c r="D62" s="30">
        <f>ROUND('Sum of Billing Determinants'!E70*-1*'Rate Calculations'!$G$9*(1-'Sum of Billing Determinants'!$AC70),0)</f>
        <v>-9207</v>
      </c>
      <c r="E62" s="30">
        <f>ROUND('Sum of Billing Determinants'!F70*-1*'Rate Calculations'!$G$9*(1-'Sum of Billing Determinants'!$AC70),0)</f>
        <v>-7605</v>
      </c>
      <c r="F62" s="30">
        <f>ROUND('Sum of Billing Determinants'!G70*-1*'Rate Calculations'!$G$9*(1-'Sum of Billing Determinants'!$AC70),0)</f>
        <v>-6591</v>
      </c>
      <c r="G62" s="30">
        <f>ROUND('Sum of Billing Determinants'!H70*-1*'Rate Calculations'!$G$9*(1-'Sum of Billing Determinants'!$AC70),0)</f>
        <v>-7868</v>
      </c>
      <c r="H62" s="30">
        <f>ROUND('Sum of Billing Determinants'!I70*-1*'Rate Calculations'!$G$9*(1-'Sum of Billing Determinants'!$AC70),0)</f>
        <v>-6109</v>
      </c>
      <c r="I62" s="30">
        <f>ROUND('Sum of Billing Determinants'!J70*-1*'Rate Calculations'!$G$9*(1-'Sum of Billing Determinants'!$AC70),0)</f>
        <v>-8464</v>
      </c>
      <c r="J62" s="30">
        <f>ROUND('Sum of Billing Determinants'!K70*-1*'Rate Calculations'!$G$9*(1-'Sum of Billing Determinants'!$AC70),0)</f>
        <v>-9044</v>
      </c>
      <c r="K62" s="30">
        <f>ROUND('Sum of Billing Determinants'!L70*-1*'Rate Calculations'!$G$9*(1-'Sum of Billing Determinants'!$AC70),0)</f>
        <v>-8586</v>
      </c>
      <c r="L62" s="30">
        <f>ROUND('Sum of Billing Determinants'!M70*-1*'Rate Calculations'!$G$9*(1-'Sum of Billing Determinants'!$AC70),0)</f>
        <v>-8298</v>
      </c>
      <c r="M62" s="30">
        <f>ROUND('Sum of Billing Determinants'!N70*-1*'Rate Calculations'!$G$9*(1-'Sum of Billing Determinants'!$AC70),0)</f>
        <v>-7668</v>
      </c>
      <c r="N62" s="30">
        <f t="shared" si="0"/>
        <v>-79440</v>
      </c>
    </row>
    <row r="63" spans="2:14" ht="15">
      <c r="B63" s="26">
        <f>'Sum of Billing Determinants'!A71</f>
        <v>10174</v>
      </c>
      <c r="C63" s="26" t="str">
        <f>'Sum of Billing Determinants'!B71</f>
        <v>Farmers Elec Coop</v>
      </c>
      <c r="D63" s="30">
        <f>ROUND('Sum of Billing Determinants'!E71*-1*'Rate Calculations'!$G$9*(1-'Sum of Billing Determinants'!$AC71),0)</f>
        <v>-154</v>
      </c>
      <c r="E63" s="30">
        <f>ROUND('Sum of Billing Determinants'!F71*-1*'Rate Calculations'!$G$9*(1-'Sum of Billing Determinants'!$AC71),0)</f>
        <v>-127</v>
      </c>
      <c r="F63" s="30">
        <f>ROUND('Sum of Billing Determinants'!G71*-1*'Rate Calculations'!$G$9*(1-'Sum of Billing Determinants'!$AC71),0)</f>
        <v>-110</v>
      </c>
      <c r="G63" s="30">
        <f>ROUND('Sum of Billing Determinants'!H71*-1*'Rate Calculations'!$G$9*(1-'Sum of Billing Determinants'!$AC71),0)</f>
        <v>-132</v>
      </c>
      <c r="H63" s="30">
        <f>ROUND('Sum of Billing Determinants'!I71*-1*'Rate Calculations'!$G$9*(1-'Sum of Billing Determinants'!$AC71),0)</f>
        <v>-102</v>
      </c>
      <c r="I63" s="30">
        <f>ROUND('Sum of Billing Determinants'!J71*-1*'Rate Calculations'!$G$9*(1-'Sum of Billing Determinants'!$AC71),0)</f>
        <v>-142</v>
      </c>
      <c r="J63" s="30">
        <f>ROUND('Sum of Billing Determinants'!K71*-1*'Rate Calculations'!$G$9*(1-'Sum of Billing Determinants'!$AC71),0)</f>
        <v>-151</v>
      </c>
      <c r="K63" s="30">
        <f>ROUND('Sum of Billing Determinants'!L71*-1*'Rate Calculations'!$G$9*(1-'Sum of Billing Determinants'!$AC71),0)</f>
        <v>-144</v>
      </c>
      <c r="L63" s="30">
        <f>ROUND('Sum of Billing Determinants'!M71*-1*'Rate Calculations'!$G$9*(1-'Sum of Billing Determinants'!$AC71),0)</f>
        <v>-139</v>
      </c>
      <c r="M63" s="30">
        <f>ROUND('Sum of Billing Determinants'!N71*-1*'Rate Calculations'!$G$9*(1-'Sum of Billing Determinants'!$AC71),0)</f>
        <v>-128</v>
      </c>
      <c r="N63" s="30">
        <f t="shared" si="0"/>
        <v>-1329</v>
      </c>
    </row>
    <row r="64" spans="2:14" ht="15">
      <c r="B64" s="26">
        <f>'Sum of Billing Determinants'!A72</f>
        <v>10177</v>
      </c>
      <c r="C64" s="26" t="str">
        <f>'Sum of Billing Determinants'!B72</f>
        <v>Ferry County PUD #1</v>
      </c>
      <c r="D64" s="30">
        <f>ROUND('Sum of Billing Determinants'!E72*-1*'Rate Calculations'!$G$9*(1-'Sum of Billing Determinants'!$AC72),0)</f>
        <v>-2637</v>
      </c>
      <c r="E64" s="30">
        <f>ROUND('Sum of Billing Determinants'!F72*-1*'Rate Calculations'!$G$9*(1-'Sum of Billing Determinants'!$AC72),0)</f>
        <v>-2178</v>
      </c>
      <c r="F64" s="30">
        <f>ROUND('Sum of Billing Determinants'!G72*-1*'Rate Calculations'!$G$9*(1-'Sum of Billing Determinants'!$AC72),0)</f>
        <v>-1888</v>
      </c>
      <c r="G64" s="30">
        <f>ROUND('Sum of Billing Determinants'!H72*-1*'Rate Calculations'!$G$9*(1-'Sum of Billing Determinants'!$AC72),0)</f>
        <v>-2254</v>
      </c>
      <c r="H64" s="30">
        <f>ROUND('Sum of Billing Determinants'!I72*-1*'Rate Calculations'!$G$9*(1-'Sum of Billing Determinants'!$AC72),0)</f>
        <v>-1750</v>
      </c>
      <c r="I64" s="30">
        <f>ROUND('Sum of Billing Determinants'!J72*-1*'Rate Calculations'!$G$9*(1-'Sum of Billing Determinants'!$AC72),0)</f>
        <v>-2424</v>
      </c>
      <c r="J64" s="30">
        <f>ROUND('Sum of Billing Determinants'!K72*-1*'Rate Calculations'!$G$9*(1-'Sum of Billing Determinants'!$AC72),0)</f>
        <v>-2590</v>
      </c>
      <c r="K64" s="30">
        <f>ROUND('Sum of Billing Determinants'!L72*-1*'Rate Calculations'!$G$9*(1-'Sum of Billing Determinants'!$AC72),0)</f>
        <v>-2459</v>
      </c>
      <c r="L64" s="30">
        <f>ROUND('Sum of Billing Determinants'!M72*-1*'Rate Calculations'!$G$9*(1-'Sum of Billing Determinants'!$AC72),0)</f>
        <v>-2377</v>
      </c>
      <c r="M64" s="30">
        <f>ROUND('Sum of Billing Determinants'!N72*-1*'Rate Calculations'!$G$9*(1-'Sum of Billing Determinants'!$AC72),0)</f>
        <v>-2196</v>
      </c>
      <c r="N64" s="30">
        <f t="shared" si="0"/>
        <v>-22753</v>
      </c>
    </row>
    <row r="65" spans="2:14" ht="15">
      <c r="B65" s="26">
        <f>'Sum of Billing Determinants'!A73</f>
        <v>10179</v>
      </c>
      <c r="C65" s="26" t="str">
        <f>'Sum of Billing Determinants'!B73</f>
        <v>Flathead Elec Coop</v>
      </c>
      <c r="D65" s="30">
        <f>ROUND('Sum of Billing Determinants'!E73*-1*'Rate Calculations'!$G$9*(1-'Sum of Billing Determinants'!$AC73),0)</f>
        <v>-50657</v>
      </c>
      <c r="E65" s="30">
        <f>ROUND('Sum of Billing Determinants'!F73*-1*'Rate Calculations'!$G$9*(1-'Sum of Billing Determinants'!$AC73),0)</f>
        <v>-41841</v>
      </c>
      <c r="F65" s="30">
        <f>ROUND('Sum of Billing Determinants'!G73*-1*'Rate Calculations'!$G$9*(1-'Sum of Billing Determinants'!$AC73),0)</f>
        <v>-36264</v>
      </c>
      <c r="G65" s="30">
        <f>ROUND('Sum of Billing Determinants'!H73*-1*'Rate Calculations'!$G$9*(1-'Sum of Billing Determinants'!$AC73),0)</f>
        <v>-43292</v>
      </c>
      <c r="H65" s="30">
        <f>ROUND('Sum of Billing Determinants'!I73*-1*'Rate Calculations'!$G$9*(1-'Sum of Billing Determinants'!$AC73),0)</f>
        <v>-33611</v>
      </c>
      <c r="I65" s="30">
        <f>ROUND('Sum of Billing Determinants'!J73*-1*'Rate Calculations'!$G$9*(1-'Sum of Billing Determinants'!$AC73),0)</f>
        <v>-46568</v>
      </c>
      <c r="J65" s="30">
        <f>ROUND('Sum of Billing Determinants'!K73*-1*'Rate Calculations'!$G$9*(1-'Sum of Billing Determinants'!$AC73),0)</f>
        <v>-49759</v>
      </c>
      <c r="K65" s="30">
        <f>ROUND('Sum of Billing Determinants'!L73*-1*'Rate Calculations'!$G$9*(1-'Sum of Billing Determinants'!$AC73),0)</f>
        <v>-47244</v>
      </c>
      <c r="L65" s="30">
        <f>ROUND('Sum of Billing Determinants'!M73*-1*'Rate Calculations'!$G$9*(1-'Sum of Billing Determinants'!$AC73),0)</f>
        <v>-45657</v>
      </c>
      <c r="M65" s="30">
        <f>ROUND('Sum of Billing Determinants'!N73*-1*'Rate Calculations'!$G$9*(1-'Sum of Billing Determinants'!$AC73),0)</f>
        <v>-42192</v>
      </c>
      <c r="N65" s="30">
        <f t="shared" si="0"/>
        <v>-437085</v>
      </c>
    </row>
    <row r="66" spans="2:14" ht="15">
      <c r="B66" s="26">
        <f>'Sum of Billing Determinants'!A74</f>
        <v>10183</v>
      </c>
      <c r="C66" s="26" t="str">
        <f>'Sum of Billing Determinants'!B74</f>
        <v>Franklin County PUD #1</v>
      </c>
      <c r="D66" s="30">
        <f>ROUND('Sum of Billing Determinants'!E74*-1*'Rate Calculations'!$G$9*(1-'Sum of Billing Determinants'!$AC74),0)</f>
        <v>-18931</v>
      </c>
      <c r="E66" s="30">
        <f>ROUND('Sum of Billing Determinants'!F74*-1*'Rate Calculations'!$G$9*(1-'Sum of Billing Determinants'!$AC74),0)</f>
        <v>-15636</v>
      </c>
      <c r="F66" s="30">
        <f>ROUND('Sum of Billing Determinants'!G74*-1*'Rate Calculations'!$G$9*(1-'Sum of Billing Determinants'!$AC74),0)</f>
        <v>-13552</v>
      </c>
      <c r="G66" s="30">
        <f>ROUND('Sum of Billing Determinants'!H74*-1*'Rate Calculations'!$G$9*(1-'Sum of Billing Determinants'!$AC74),0)</f>
        <v>-16179</v>
      </c>
      <c r="H66" s="30">
        <f>ROUND('Sum of Billing Determinants'!I74*-1*'Rate Calculations'!$G$9*(1-'Sum of Billing Determinants'!$AC74),0)</f>
        <v>-12561</v>
      </c>
      <c r="I66" s="30">
        <f>ROUND('Sum of Billing Determinants'!J74*-1*'Rate Calculations'!$G$9*(1-'Sum of Billing Determinants'!$AC74),0)</f>
        <v>-17403</v>
      </c>
      <c r="J66" s="30">
        <f>ROUND('Sum of Billing Determinants'!K74*-1*'Rate Calculations'!$G$9*(1-'Sum of Billing Determinants'!$AC74),0)</f>
        <v>-18595</v>
      </c>
      <c r="K66" s="30">
        <f>ROUND('Sum of Billing Determinants'!L74*-1*'Rate Calculations'!$G$9*(1-'Sum of Billing Determinants'!$AC74),0)</f>
        <v>-17655</v>
      </c>
      <c r="L66" s="30">
        <f>ROUND('Sum of Billing Determinants'!M74*-1*'Rate Calculations'!$G$9*(1-'Sum of Billing Determinants'!$AC74),0)</f>
        <v>-17063</v>
      </c>
      <c r="M66" s="30">
        <f>ROUND('Sum of Billing Determinants'!N74*-1*'Rate Calculations'!$G$9*(1-'Sum of Billing Determinants'!$AC74),0)</f>
        <v>-15768</v>
      </c>
      <c r="N66" s="30">
        <f t="shared" si="0"/>
        <v>-163343</v>
      </c>
    </row>
    <row r="67" spans="2:14" ht="15">
      <c r="B67" s="26">
        <f>'Sum of Billing Determinants'!A75</f>
        <v>10186</v>
      </c>
      <c r="C67" s="26" t="str">
        <f>'Sum of Billing Determinants'!B75</f>
        <v>Glacier Elec  Coop</v>
      </c>
      <c r="D67" s="30">
        <f>ROUND('Sum of Billing Determinants'!E75*-1*'Rate Calculations'!$G$9*(1-'Sum of Billing Determinants'!$AC75),0)</f>
        <v>-5374</v>
      </c>
      <c r="E67" s="30">
        <f>ROUND('Sum of Billing Determinants'!F75*-1*'Rate Calculations'!$G$9*(1-'Sum of Billing Determinants'!$AC75),0)</f>
        <v>-4439</v>
      </c>
      <c r="F67" s="30">
        <f>ROUND('Sum of Billing Determinants'!G75*-1*'Rate Calculations'!$G$9*(1-'Sum of Billing Determinants'!$AC75),0)</f>
        <v>-3847</v>
      </c>
      <c r="G67" s="30">
        <f>ROUND('Sum of Billing Determinants'!H75*-1*'Rate Calculations'!$G$9*(1-'Sum of Billing Determinants'!$AC75),0)</f>
        <v>-4593</v>
      </c>
      <c r="H67" s="30">
        <f>ROUND('Sum of Billing Determinants'!I75*-1*'Rate Calculations'!$G$9*(1-'Sum of Billing Determinants'!$AC75),0)</f>
        <v>-3566</v>
      </c>
      <c r="I67" s="30">
        <f>ROUND('Sum of Billing Determinants'!J75*-1*'Rate Calculations'!$G$9*(1-'Sum of Billing Determinants'!$AC75),0)</f>
        <v>-4940</v>
      </c>
      <c r="J67" s="30">
        <f>ROUND('Sum of Billing Determinants'!K75*-1*'Rate Calculations'!$G$9*(1-'Sum of Billing Determinants'!$AC75),0)</f>
        <v>-5279</v>
      </c>
      <c r="K67" s="30">
        <f>ROUND('Sum of Billing Determinants'!L75*-1*'Rate Calculations'!$G$9*(1-'Sum of Billing Determinants'!$AC75),0)</f>
        <v>-5012</v>
      </c>
      <c r="L67" s="30">
        <f>ROUND('Sum of Billing Determinants'!M75*-1*'Rate Calculations'!$G$9*(1-'Sum of Billing Determinants'!$AC75),0)</f>
        <v>-4843</v>
      </c>
      <c r="M67" s="30">
        <f>ROUND('Sum of Billing Determinants'!N75*-1*'Rate Calculations'!$G$9*(1-'Sum of Billing Determinants'!$AC75),0)</f>
        <v>-4476</v>
      </c>
      <c r="N67" s="30">
        <f t="shared" si="0"/>
        <v>-46369</v>
      </c>
    </row>
    <row r="68" spans="2:14" ht="15">
      <c r="B68" s="26">
        <f>'Sum of Billing Determinants'!A76</f>
        <v>10190</v>
      </c>
      <c r="C68" s="26" t="str">
        <f>'Sum of Billing Determinants'!B76</f>
        <v>Grant County PUD #2</v>
      </c>
      <c r="D68" s="30">
        <f>ROUND('Sum of Billing Determinants'!E76*-1*'Rate Calculations'!$G$9*(1-'Sum of Billing Determinants'!$AC76),0)</f>
        <v>-1576</v>
      </c>
      <c r="E68" s="30">
        <f>ROUND('Sum of Billing Determinants'!F76*-1*'Rate Calculations'!$G$9*(1-'Sum of Billing Determinants'!$AC76),0)</f>
        <v>-1302</v>
      </c>
      <c r="F68" s="30">
        <f>ROUND('Sum of Billing Determinants'!G76*-1*'Rate Calculations'!$G$9*(1-'Sum of Billing Determinants'!$AC76),0)</f>
        <v>-1128</v>
      </c>
      <c r="G68" s="30">
        <f>ROUND('Sum of Billing Determinants'!H76*-1*'Rate Calculations'!$G$9*(1-'Sum of Billing Determinants'!$AC76),0)</f>
        <v>-1347</v>
      </c>
      <c r="H68" s="30">
        <f>ROUND('Sum of Billing Determinants'!I76*-1*'Rate Calculations'!$G$9*(1-'Sum of Billing Determinants'!$AC76),0)</f>
        <v>-1046</v>
      </c>
      <c r="I68" s="30">
        <f>ROUND('Sum of Billing Determinants'!J76*-1*'Rate Calculations'!$G$9*(1-'Sum of Billing Determinants'!$AC76),0)</f>
        <v>-1449</v>
      </c>
      <c r="J68" s="30">
        <f>ROUND('Sum of Billing Determinants'!K76*-1*'Rate Calculations'!$G$9*(1-'Sum of Billing Determinants'!$AC76),0)</f>
        <v>-1548</v>
      </c>
      <c r="K68" s="30">
        <f>ROUND('Sum of Billing Determinants'!L76*-1*'Rate Calculations'!$G$9*(1-'Sum of Billing Determinants'!$AC76),0)</f>
        <v>-1470</v>
      </c>
      <c r="L68" s="30">
        <f>ROUND('Sum of Billing Determinants'!M76*-1*'Rate Calculations'!$G$9*(1-'Sum of Billing Determinants'!$AC76),0)</f>
        <v>-1421</v>
      </c>
      <c r="M68" s="30">
        <f>ROUND('Sum of Billing Determinants'!N76*-1*'Rate Calculations'!$G$9*(1-'Sum of Billing Determinants'!$AC76),0)</f>
        <v>-1313</v>
      </c>
      <c r="N68" s="30">
        <f t="shared" si="0"/>
        <v>-13600</v>
      </c>
    </row>
    <row r="69" spans="2:14" ht="15">
      <c r="B69" s="26">
        <f>'Sum of Billing Determinants'!A77</f>
        <v>10191</v>
      </c>
      <c r="C69" s="26" t="str">
        <f>'Sum of Billing Determinants'!B77</f>
        <v>Grays Harbor PUD #1</v>
      </c>
      <c r="D69" s="30">
        <f>ROUND('Sum of Billing Determinants'!E77*-1*'Rate Calculations'!$G$9*(1-'Sum of Billing Determinants'!$AC77),0)</f>
        <v>-17552</v>
      </c>
      <c r="E69" s="30">
        <f>ROUND('Sum of Billing Determinants'!F77*-1*'Rate Calculations'!$G$9*(1-'Sum of Billing Determinants'!$AC77),0)</f>
        <v>-14497</v>
      </c>
      <c r="F69" s="30">
        <f>ROUND('Sum of Billing Determinants'!G77*-1*'Rate Calculations'!$G$9*(1-'Sum of Billing Determinants'!$AC77),0)</f>
        <v>-12565</v>
      </c>
      <c r="G69" s="30">
        <f>ROUND('Sum of Billing Determinants'!H77*-1*'Rate Calculations'!$G$9*(1-'Sum of Billing Determinants'!$AC77),0)</f>
        <v>-15000</v>
      </c>
      <c r="H69" s="30">
        <f>ROUND('Sum of Billing Determinants'!I77*-1*'Rate Calculations'!$G$9*(1-'Sum of Billing Determinants'!$AC77),0)</f>
        <v>-11646</v>
      </c>
      <c r="I69" s="30">
        <f>ROUND('Sum of Billing Determinants'!J77*-1*'Rate Calculations'!$G$9*(1-'Sum of Billing Determinants'!$AC77),0)</f>
        <v>-16135</v>
      </c>
      <c r="J69" s="30">
        <f>ROUND('Sum of Billing Determinants'!K77*-1*'Rate Calculations'!$G$9*(1-'Sum of Billing Determinants'!$AC77),0)</f>
        <v>-17241</v>
      </c>
      <c r="K69" s="30">
        <f>ROUND('Sum of Billing Determinants'!L77*-1*'Rate Calculations'!$G$9*(1-'Sum of Billing Determinants'!$AC77),0)</f>
        <v>-16369</v>
      </c>
      <c r="L69" s="30">
        <f>ROUND('Sum of Billing Determinants'!M77*-1*'Rate Calculations'!$G$9*(1-'Sum of Billing Determinants'!$AC77),0)</f>
        <v>-15820</v>
      </c>
      <c r="M69" s="30">
        <f>ROUND('Sum of Billing Determinants'!N77*-1*'Rate Calculations'!$G$9*(1-'Sum of Billing Determinants'!$AC77),0)</f>
        <v>-14619</v>
      </c>
      <c r="N69" s="30">
        <f t="shared" si="0"/>
        <v>-151444</v>
      </c>
    </row>
    <row r="70" spans="2:14" ht="15">
      <c r="B70" s="26">
        <f>'Sum of Billing Determinants'!A78</f>
        <v>10197</v>
      </c>
      <c r="C70" s="26" t="str">
        <f>'Sum of Billing Determinants'!B78</f>
        <v>Harney Elec Coop</v>
      </c>
      <c r="D70" s="30">
        <f>ROUND('Sum of Billing Determinants'!E78*-1*'Rate Calculations'!$G$9*(1-'Sum of Billing Determinants'!$AC78),0)</f>
        <v>-6315</v>
      </c>
      <c r="E70" s="30">
        <f>ROUND('Sum of Billing Determinants'!F78*-1*'Rate Calculations'!$G$9*(1-'Sum of Billing Determinants'!$AC78),0)</f>
        <v>-5216</v>
      </c>
      <c r="F70" s="30">
        <f>ROUND('Sum of Billing Determinants'!G78*-1*'Rate Calculations'!$G$9*(1-'Sum of Billing Determinants'!$AC78),0)</f>
        <v>-4521</v>
      </c>
      <c r="G70" s="30">
        <f>ROUND('Sum of Billing Determinants'!H78*-1*'Rate Calculations'!$G$9*(1-'Sum of Billing Determinants'!$AC78),0)</f>
        <v>-5397</v>
      </c>
      <c r="H70" s="30">
        <f>ROUND('Sum of Billing Determinants'!I78*-1*'Rate Calculations'!$G$9*(1-'Sum of Billing Determinants'!$AC78),0)</f>
        <v>-4190</v>
      </c>
      <c r="I70" s="30">
        <f>ROUND('Sum of Billing Determinants'!J78*-1*'Rate Calculations'!$G$9*(1-'Sum of Billing Determinants'!$AC78),0)</f>
        <v>-5805</v>
      </c>
      <c r="J70" s="30">
        <f>ROUND('Sum of Billing Determinants'!K78*-1*'Rate Calculations'!$G$9*(1-'Sum of Billing Determinants'!$AC78),0)</f>
        <v>-6203</v>
      </c>
      <c r="K70" s="30">
        <f>ROUND('Sum of Billing Determinants'!L78*-1*'Rate Calculations'!$G$9*(1-'Sum of Billing Determinants'!$AC78),0)</f>
        <v>-5889</v>
      </c>
      <c r="L70" s="30">
        <f>ROUND('Sum of Billing Determinants'!M78*-1*'Rate Calculations'!$G$9*(1-'Sum of Billing Determinants'!$AC78),0)</f>
        <v>-5692</v>
      </c>
      <c r="M70" s="30">
        <f>ROUND('Sum of Billing Determinants'!N78*-1*'Rate Calculations'!$G$9*(1-'Sum of Billing Determinants'!$AC78),0)</f>
        <v>-5260</v>
      </c>
      <c r="N70" s="30">
        <f aca="true" t="shared" si="1" ref="N70:N133">SUM(D70:M70)</f>
        <v>-54488</v>
      </c>
    </row>
    <row r="71" spans="2:14" ht="15">
      <c r="B71" s="26">
        <f>'Sum of Billing Determinants'!A79</f>
        <v>10202</v>
      </c>
      <c r="C71" s="26" t="str">
        <f>'Sum of Billing Determinants'!B79</f>
        <v>Hood River Elec Coop</v>
      </c>
      <c r="D71" s="30">
        <f>ROUND('Sum of Billing Determinants'!E79*-1*'Rate Calculations'!$G$9*(1-'Sum of Billing Determinants'!$AC79),0)</f>
        <v>-3978</v>
      </c>
      <c r="E71" s="30">
        <f>ROUND('Sum of Billing Determinants'!F79*-1*'Rate Calculations'!$G$9*(1-'Sum of Billing Determinants'!$AC79),0)</f>
        <v>-3285</v>
      </c>
      <c r="F71" s="30">
        <f>ROUND('Sum of Billing Determinants'!G79*-1*'Rate Calculations'!$G$9*(1-'Sum of Billing Determinants'!$AC79),0)</f>
        <v>-2848</v>
      </c>
      <c r="G71" s="30">
        <f>ROUND('Sum of Billing Determinants'!H79*-1*'Rate Calculations'!$G$9*(1-'Sum of Billing Determinants'!$AC79),0)</f>
        <v>-3399</v>
      </c>
      <c r="H71" s="30">
        <f>ROUND('Sum of Billing Determinants'!I79*-1*'Rate Calculations'!$G$9*(1-'Sum of Billing Determinants'!$AC79),0)</f>
        <v>-2639</v>
      </c>
      <c r="I71" s="30">
        <f>ROUND('Sum of Billing Determinants'!J79*-1*'Rate Calculations'!$G$9*(1-'Sum of Billing Determinants'!$AC79),0)</f>
        <v>-3657</v>
      </c>
      <c r="J71" s="30">
        <f>ROUND('Sum of Billing Determinants'!K79*-1*'Rate Calculations'!$G$9*(1-'Sum of Billing Determinants'!$AC79),0)</f>
        <v>-3907</v>
      </c>
      <c r="K71" s="30">
        <f>ROUND('Sum of Billing Determinants'!L79*-1*'Rate Calculations'!$G$9*(1-'Sum of Billing Determinants'!$AC79),0)</f>
        <v>-3710</v>
      </c>
      <c r="L71" s="30">
        <f>ROUND('Sum of Billing Determinants'!M79*-1*'Rate Calculations'!$G$9*(1-'Sum of Billing Determinants'!$AC79),0)</f>
        <v>-3585</v>
      </c>
      <c r="M71" s="30">
        <f>ROUND('Sum of Billing Determinants'!N79*-1*'Rate Calculations'!$G$9*(1-'Sum of Billing Determinants'!$AC79),0)</f>
        <v>-3313</v>
      </c>
      <c r="N71" s="30">
        <f t="shared" si="1"/>
        <v>-34321</v>
      </c>
    </row>
    <row r="72" spans="2:14" ht="15">
      <c r="B72" s="26">
        <f>'Sum of Billing Determinants'!A80</f>
        <v>10203</v>
      </c>
      <c r="C72" s="26" t="str">
        <f>'Sum of Billing Determinants'!B80</f>
        <v>Idaho County L &amp; P</v>
      </c>
      <c r="D72" s="30">
        <f>ROUND('Sum of Billing Determinants'!E80*-1*'Rate Calculations'!$G$9*(1-'Sum of Billing Determinants'!$AC80),0)</f>
        <v>-1743</v>
      </c>
      <c r="E72" s="30">
        <f>ROUND('Sum of Billing Determinants'!F80*-1*'Rate Calculations'!$G$9*(1-'Sum of Billing Determinants'!$AC80),0)</f>
        <v>-1439</v>
      </c>
      <c r="F72" s="30">
        <f>ROUND('Sum of Billing Determinants'!G80*-1*'Rate Calculations'!$G$9*(1-'Sum of Billing Determinants'!$AC80),0)</f>
        <v>-1248</v>
      </c>
      <c r="G72" s="30">
        <f>ROUND('Sum of Billing Determinants'!H80*-1*'Rate Calculations'!$G$9*(1-'Sum of Billing Determinants'!$AC80),0)</f>
        <v>-1489</v>
      </c>
      <c r="H72" s="30">
        <f>ROUND('Sum of Billing Determinants'!I80*-1*'Rate Calculations'!$G$9*(1-'Sum of Billing Determinants'!$AC80),0)</f>
        <v>-1156</v>
      </c>
      <c r="I72" s="30">
        <f>ROUND('Sum of Billing Determinants'!J80*-1*'Rate Calculations'!$G$9*(1-'Sum of Billing Determinants'!$AC80),0)</f>
        <v>-1602</v>
      </c>
      <c r="J72" s="30">
        <f>ROUND('Sum of Billing Determinants'!K80*-1*'Rate Calculations'!$G$9*(1-'Sum of Billing Determinants'!$AC80),0)</f>
        <v>-1712</v>
      </c>
      <c r="K72" s="30">
        <f>ROUND('Sum of Billing Determinants'!L80*-1*'Rate Calculations'!$G$9*(1-'Sum of Billing Determinants'!$AC80),0)</f>
        <v>-1625</v>
      </c>
      <c r="L72" s="30">
        <f>ROUND('Sum of Billing Determinants'!M80*-1*'Rate Calculations'!$G$9*(1-'Sum of Billing Determinants'!$AC80),0)</f>
        <v>-1571</v>
      </c>
      <c r="M72" s="30">
        <f>ROUND('Sum of Billing Determinants'!N80*-1*'Rate Calculations'!$G$9*(1-'Sum of Billing Determinants'!$AC80),0)</f>
        <v>-1451</v>
      </c>
      <c r="N72" s="30">
        <f t="shared" si="1"/>
        <v>-15036</v>
      </c>
    </row>
    <row r="73" spans="2:14" ht="15">
      <c r="B73" s="26">
        <f>'Sum of Billing Determinants'!A81</f>
        <v>10204</v>
      </c>
      <c r="C73" s="26" t="str">
        <f>'Sum of Billing Determinants'!B81</f>
        <v>Idaho Falls Power</v>
      </c>
      <c r="D73" s="30">
        <f>ROUND('Sum of Billing Determinants'!E81*-1*'Rate Calculations'!$G$9*(1-'Sum of Billing Determinants'!$AC81),0)</f>
        <v>-12387</v>
      </c>
      <c r="E73" s="30">
        <f>ROUND('Sum of Billing Determinants'!F81*-1*'Rate Calculations'!$G$9*(1-'Sum of Billing Determinants'!$AC81),0)</f>
        <v>-10231</v>
      </c>
      <c r="F73" s="30">
        <f>ROUND('Sum of Billing Determinants'!G81*-1*'Rate Calculations'!$G$9*(1-'Sum of Billing Determinants'!$AC81),0)</f>
        <v>-8867</v>
      </c>
      <c r="G73" s="30">
        <f>ROUND('Sum of Billing Determinants'!H81*-1*'Rate Calculations'!$G$9*(1-'Sum of Billing Determinants'!$AC81),0)</f>
        <v>-10586</v>
      </c>
      <c r="H73" s="30">
        <f>ROUND('Sum of Billing Determinants'!I81*-1*'Rate Calculations'!$G$9*(1-'Sum of Billing Determinants'!$AC81),0)</f>
        <v>-8219</v>
      </c>
      <c r="I73" s="30">
        <f>ROUND('Sum of Billing Determinants'!J81*-1*'Rate Calculations'!$G$9*(1-'Sum of Billing Determinants'!$AC81),0)</f>
        <v>-11387</v>
      </c>
      <c r="J73" s="30">
        <f>ROUND('Sum of Billing Determinants'!K81*-1*'Rate Calculations'!$G$9*(1-'Sum of Billing Determinants'!$AC81),0)</f>
        <v>-12167</v>
      </c>
      <c r="K73" s="30">
        <f>ROUND('Sum of Billing Determinants'!L81*-1*'Rate Calculations'!$G$9*(1-'Sum of Billing Determinants'!$AC81),0)</f>
        <v>-11552</v>
      </c>
      <c r="L73" s="30">
        <f>ROUND('Sum of Billing Determinants'!M81*-1*'Rate Calculations'!$G$9*(1-'Sum of Billing Determinants'!$AC81),0)</f>
        <v>-11164</v>
      </c>
      <c r="M73" s="30">
        <f>ROUND('Sum of Billing Determinants'!N81*-1*'Rate Calculations'!$G$9*(1-'Sum of Billing Determinants'!$AC81),0)</f>
        <v>-10317</v>
      </c>
      <c r="N73" s="30">
        <f t="shared" si="1"/>
        <v>-106877</v>
      </c>
    </row>
    <row r="74" spans="2:14" ht="15">
      <c r="B74" s="26">
        <f>'Sum of Billing Determinants'!A82</f>
        <v>10209</v>
      </c>
      <c r="C74" s="26" t="str">
        <f>'Sum of Billing Determinants'!B82</f>
        <v>Inland P &amp; L</v>
      </c>
      <c r="D74" s="30">
        <f>ROUND('Sum of Billing Determinants'!E82*-1*'Rate Calculations'!$G$9*(1-'Sum of Billing Determinants'!$AC82),0)</f>
        <v>-29227</v>
      </c>
      <c r="E74" s="30">
        <f>ROUND('Sum of Billing Determinants'!F82*-1*'Rate Calculations'!$G$9*(1-'Sum of Billing Determinants'!$AC82),0)</f>
        <v>-24140</v>
      </c>
      <c r="F74" s="30">
        <f>ROUND('Sum of Billing Determinants'!G82*-1*'Rate Calculations'!$G$9*(1-'Sum of Billing Determinants'!$AC82),0)</f>
        <v>-20923</v>
      </c>
      <c r="G74" s="30">
        <f>ROUND('Sum of Billing Determinants'!H82*-1*'Rate Calculations'!$G$9*(1-'Sum of Billing Determinants'!$AC82),0)</f>
        <v>-24978</v>
      </c>
      <c r="H74" s="30">
        <f>ROUND('Sum of Billing Determinants'!I82*-1*'Rate Calculations'!$G$9*(1-'Sum of Billing Determinants'!$AC82),0)</f>
        <v>-19392</v>
      </c>
      <c r="I74" s="30">
        <f>ROUND('Sum of Billing Determinants'!J82*-1*'Rate Calculations'!$G$9*(1-'Sum of Billing Determinants'!$AC82),0)</f>
        <v>-26868</v>
      </c>
      <c r="J74" s="30">
        <f>ROUND('Sum of Billing Determinants'!K82*-1*'Rate Calculations'!$G$9*(1-'Sum of Billing Determinants'!$AC82),0)</f>
        <v>-28709</v>
      </c>
      <c r="K74" s="30">
        <f>ROUND('Sum of Billing Determinants'!L82*-1*'Rate Calculations'!$G$9*(1-'Sum of Billing Determinants'!$AC82),0)</f>
        <v>-27258</v>
      </c>
      <c r="L74" s="30">
        <f>ROUND('Sum of Billing Determinants'!M82*-1*'Rate Calculations'!$G$9*(1-'Sum of Billing Determinants'!$AC82),0)</f>
        <v>-26342</v>
      </c>
      <c r="M74" s="30">
        <f>ROUND('Sum of Billing Determinants'!N82*-1*'Rate Calculations'!$G$9*(1-'Sum of Billing Determinants'!$AC82),0)</f>
        <v>-24343</v>
      </c>
      <c r="N74" s="30">
        <f t="shared" si="1"/>
        <v>-252180</v>
      </c>
    </row>
    <row r="75" spans="2:14" ht="15">
      <c r="B75" s="26">
        <f>'Sum of Billing Determinants'!A83</f>
        <v>10230</v>
      </c>
      <c r="C75" s="26" t="str">
        <f>'Sum of Billing Determinants'!B83</f>
        <v>Kittitas County PUD #1</v>
      </c>
      <c r="D75" s="30">
        <f>ROUND('Sum of Billing Determinants'!E83*-1*'Rate Calculations'!$G$9*(1-'Sum of Billing Determinants'!$AC83),0)</f>
        <v>-2672</v>
      </c>
      <c r="E75" s="30">
        <f>ROUND('Sum of Billing Determinants'!F83*-1*'Rate Calculations'!$G$9*(1-'Sum of Billing Determinants'!$AC83),0)</f>
        <v>-2207</v>
      </c>
      <c r="F75" s="30">
        <f>ROUND('Sum of Billing Determinants'!G83*-1*'Rate Calculations'!$G$9*(1-'Sum of Billing Determinants'!$AC83),0)</f>
        <v>-1913</v>
      </c>
      <c r="G75" s="30">
        <f>ROUND('Sum of Billing Determinants'!H83*-1*'Rate Calculations'!$G$9*(1-'Sum of Billing Determinants'!$AC83),0)</f>
        <v>-2284</v>
      </c>
      <c r="H75" s="30">
        <f>ROUND('Sum of Billing Determinants'!I83*-1*'Rate Calculations'!$G$9*(1-'Sum of Billing Determinants'!$AC83),0)</f>
        <v>-1773</v>
      </c>
      <c r="I75" s="30">
        <f>ROUND('Sum of Billing Determinants'!J83*-1*'Rate Calculations'!$G$9*(1-'Sum of Billing Determinants'!$AC83),0)</f>
        <v>-2457</v>
      </c>
      <c r="J75" s="30">
        <f>ROUND('Sum of Billing Determinants'!K83*-1*'Rate Calculations'!$G$9*(1-'Sum of Billing Determinants'!$AC83),0)</f>
        <v>-2625</v>
      </c>
      <c r="K75" s="30">
        <f>ROUND('Sum of Billing Determinants'!L83*-1*'Rate Calculations'!$G$9*(1-'Sum of Billing Determinants'!$AC83),0)</f>
        <v>-2492</v>
      </c>
      <c r="L75" s="30">
        <f>ROUND('Sum of Billing Determinants'!M83*-1*'Rate Calculations'!$G$9*(1-'Sum of Billing Determinants'!$AC83),0)</f>
        <v>-2409</v>
      </c>
      <c r="M75" s="30">
        <f>ROUND('Sum of Billing Determinants'!N83*-1*'Rate Calculations'!$G$9*(1-'Sum of Billing Determinants'!$AC83),0)</f>
        <v>-2226</v>
      </c>
      <c r="N75" s="30">
        <f t="shared" si="1"/>
        <v>-23058</v>
      </c>
    </row>
    <row r="76" spans="2:14" ht="15">
      <c r="B76" s="26">
        <f>'Sum of Billing Determinants'!A84</f>
        <v>10231</v>
      </c>
      <c r="C76" s="26" t="str">
        <f>'Sum of Billing Determinants'!B84</f>
        <v>Klickitat County PUD #1</v>
      </c>
      <c r="D76" s="30">
        <f>ROUND('Sum of Billing Determinants'!E84*-1*'Rate Calculations'!$G$9*(1-'Sum of Billing Determinants'!$AC84),0)</f>
        <v>-10128</v>
      </c>
      <c r="E76" s="30">
        <f>ROUND('Sum of Billing Determinants'!F84*-1*'Rate Calculations'!$G$9*(1-'Sum of Billing Determinants'!$AC84),0)</f>
        <v>-8365</v>
      </c>
      <c r="F76" s="30">
        <f>ROUND('Sum of Billing Determinants'!G84*-1*'Rate Calculations'!$G$9*(1-'Sum of Billing Determinants'!$AC84),0)</f>
        <v>-7250</v>
      </c>
      <c r="G76" s="30">
        <f>ROUND('Sum of Billing Determinants'!H84*-1*'Rate Calculations'!$G$9*(1-'Sum of Billing Determinants'!$AC84),0)</f>
        <v>-8656</v>
      </c>
      <c r="H76" s="30">
        <f>ROUND('Sum of Billing Determinants'!I84*-1*'Rate Calculations'!$G$9*(1-'Sum of Billing Determinants'!$AC84),0)</f>
        <v>-6720</v>
      </c>
      <c r="I76" s="30">
        <f>ROUND('Sum of Billing Determinants'!J84*-1*'Rate Calculations'!$G$9*(1-'Sum of Billing Determinants'!$AC84),0)</f>
        <v>-9310</v>
      </c>
      <c r="J76" s="30">
        <f>ROUND('Sum of Billing Determinants'!K84*-1*'Rate Calculations'!$G$9*(1-'Sum of Billing Determinants'!$AC84),0)</f>
        <v>-9948</v>
      </c>
      <c r="K76" s="30">
        <f>ROUND('Sum of Billing Determinants'!L84*-1*'Rate Calculations'!$G$9*(1-'Sum of Billing Determinants'!$AC84),0)</f>
        <v>-9446</v>
      </c>
      <c r="L76" s="30">
        <f>ROUND('Sum of Billing Determinants'!M84*-1*'Rate Calculations'!$G$9*(1-'Sum of Billing Determinants'!$AC84),0)</f>
        <v>-9128</v>
      </c>
      <c r="M76" s="30">
        <f>ROUND('Sum of Billing Determinants'!N84*-1*'Rate Calculations'!$G$9*(1-'Sum of Billing Determinants'!$AC84),0)</f>
        <v>-8436</v>
      </c>
      <c r="N76" s="30">
        <f t="shared" si="1"/>
        <v>-87387</v>
      </c>
    </row>
    <row r="77" spans="2:14" ht="15">
      <c r="B77" s="26">
        <f>'Sum of Billing Determinants'!A85</f>
        <v>10234</v>
      </c>
      <c r="C77" s="26" t="str">
        <f>'Sum of Billing Determinants'!B85</f>
        <v>Kootenai Electric Coop</v>
      </c>
      <c r="D77" s="30">
        <f>ROUND('Sum of Billing Determinants'!E85*-1*'Rate Calculations'!$G$9*(1-'Sum of Billing Determinants'!$AC85),0)</f>
        <v>-15486</v>
      </c>
      <c r="E77" s="30">
        <f>ROUND('Sum of Billing Determinants'!F85*-1*'Rate Calculations'!$G$9*(1-'Sum of Billing Determinants'!$AC85),0)</f>
        <v>-12791</v>
      </c>
      <c r="F77" s="30">
        <f>ROUND('Sum of Billing Determinants'!G85*-1*'Rate Calculations'!$G$9*(1-'Sum of Billing Determinants'!$AC85),0)</f>
        <v>-11086</v>
      </c>
      <c r="G77" s="30">
        <f>ROUND('Sum of Billing Determinants'!H85*-1*'Rate Calculations'!$G$9*(1-'Sum of Billing Determinants'!$AC85),0)</f>
        <v>-13235</v>
      </c>
      <c r="H77" s="30">
        <f>ROUND('Sum of Billing Determinants'!I85*-1*'Rate Calculations'!$G$9*(1-'Sum of Billing Determinants'!$AC85),0)</f>
        <v>-10275</v>
      </c>
      <c r="I77" s="30">
        <f>ROUND('Sum of Billing Determinants'!J85*-1*'Rate Calculations'!$G$9*(1-'Sum of Billing Determinants'!$AC85),0)</f>
        <v>-14236</v>
      </c>
      <c r="J77" s="30">
        <f>ROUND('Sum of Billing Determinants'!K85*-1*'Rate Calculations'!$G$9*(1-'Sum of Billing Determinants'!$AC85),0)</f>
        <v>-15212</v>
      </c>
      <c r="K77" s="30">
        <f>ROUND('Sum of Billing Determinants'!L85*-1*'Rate Calculations'!$G$9*(1-'Sum of Billing Determinants'!$AC85),0)</f>
        <v>-14443</v>
      </c>
      <c r="L77" s="30">
        <f>ROUND('Sum of Billing Determinants'!M85*-1*'Rate Calculations'!$G$9*(1-'Sum of Billing Determinants'!$AC85),0)</f>
        <v>-13958</v>
      </c>
      <c r="M77" s="30">
        <f>ROUND('Sum of Billing Determinants'!N85*-1*'Rate Calculations'!$G$9*(1-'Sum of Billing Determinants'!$AC85),0)</f>
        <v>-12898</v>
      </c>
      <c r="N77" s="30">
        <f t="shared" si="1"/>
        <v>-133620</v>
      </c>
    </row>
    <row r="78" spans="2:14" ht="15">
      <c r="B78" s="26">
        <f>'Sum of Billing Determinants'!A86</f>
        <v>10235</v>
      </c>
      <c r="C78" s="26" t="str">
        <f>'Sum of Billing Determinants'!B86</f>
        <v>Lakeview L &amp; P (WA)</v>
      </c>
      <c r="D78" s="30">
        <f>ROUND('Sum of Billing Determinants'!E86*-1*'Rate Calculations'!$G$9*(1-'Sum of Billing Determinants'!$AC86),0)</f>
        <v>-9765</v>
      </c>
      <c r="E78" s="30">
        <f>ROUND('Sum of Billing Determinants'!F86*-1*'Rate Calculations'!$G$9*(1-'Sum of Billing Determinants'!$AC86),0)</f>
        <v>-8066</v>
      </c>
      <c r="F78" s="30">
        <f>ROUND('Sum of Billing Determinants'!G86*-1*'Rate Calculations'!$G$9*(1-'Sum of Billing Determinants'!$AC86),0)</f>
        <v>-6991</v>
      </c>
      <c r="G78" s="30">
        <f>ROUND('Sum of Billing Determinants'!H86*-1*'Rate Calculations'!$G$9*(1-'Sum of Billing Determinants'!$AC86),0)</f>
        <v>-8345</v>
      </c>
      <c r="H78" s="30">
        <f>ROUND('Sum of Billing Determinants'!I86*-1*'Rate Calculations'!$G$9*(1-'Sum of Billing Determinants'!$AC86),0)</f>
        <v>-6479</v>
      </c>
      <c r="I78" s="30">
        <f>ROUND('Sum of Billing Determinants'!J86*-1*'Rate Calculations'!$G$9*(1-'Sum of Billing Determinants'!$AC86),0)</f>
        <v>-8977</v>
      </c>
      <c r="J78" s="30">
        <f>ROUND('Sum of Billing Determinants'!K86*-1*'Rate Calculations'!$G$9*(1-'Sum of Billing Determinants'!$AC86),0)</f>
        <v>-9592</v>
      </c>
      <c r="K78" s="30">
        <f>ROUND('Sum of Billing Determinants'!L86*-1*'Rate Calculations'!$G$9*(1-'Sum of Billing Determinants'!$AC86),0)</f>
        <v>-9107</v>
      </c>
      <c r="L78" s="30">
        <f>ROUND('Sum of Billing Determinants'!M86*-1*'Rate Calculations'!$G$9*(1-'Sum of Billing Determinants'!$AC86),0)</f>
        <v>-8801</v>
      </c>
      <c r="M78" s="30">
        <f>ROUND('Sum of Billing Determinants'!N86*-1*'Rate Calculations'!$G$9*(1-'Sum of Billing Determinants'!$AC86),0)</f>
        <v>-8133</v>
      </c>
      <c r="N78" s="30">
        <f t="shared" si="1"/>
        <v>-84256</v>
      </c>
    </row>
    <row r="79" spans="2:14" ht="15">
      <c r="B79" s="26">
        <f>'Sum of Billing Determinants'!A87</f>
        <v>10236</v>
      </c>
      <c r="C79" s="26" t="str">
        <f>'Sum of Billing Determinants'!B87</f>
        <v>Lane County Elec Coop</v>
      </c>
      <c r="D79" s="30">
        <f>ROUND('Sum of Billing Determinants'!E87*-1*'Rate Calculations'!$G$9*(1-'Sum of Billing Determinants'!$AC87),0)</f>
        <v>-8149</v>
      </c>
      <c r="E79" s="30">
        <f>ROUND('Sum of Billing Determinants'!F87*-1*'Rate Calculations'!$G$9*(1-'Sum of Billing Determinants'!$AC87),0)</f>
        <v>-6731</v>
      </c>
      <c r="F79" s="30">
        <f>ROUND('Sum of Billing Determinants'!G87*-1*'Rate Calculations'!$G$9*(1-'Sum of Billing Determinants'!$AC87),0)</f>
        <v>-5834</v>
      </c>
      <c r="G79" s="30">
        <f>ROUND('Sum of Billing Determinants'!H87*-1*'Rate Calculations'!$G$9*(1-'Sum of Billing Determinants'!$AC87),0)</f>
        <v>-6965</v>
      </c>
      <c r="H79" s="30">
        <f>ROUND('Sum of Billing Determinants'!I87*-1*'Rate Calculations'!$G$9*(1-'Sum of Billing Determinants'!$AC87),0)</f>
        <v>-5407</v>
      </c>
      <c r="I79" s="30">
        <f>ROUND('Sum of Billing Determinants'!J87*-1*'Rate Calculations'!$G$9*(1-'Sum of Billing Determinants'!$AC87),0)</f>
        <v>-7492</v>
      </c>
      <c r="J79" s="30">
        <f>ROUND('Sum of Billing Determinants'!K87*-1*'Rate Calculations'!$G$9*(1-'Sum of Billing Determinants'!$AC87),0)</f>
        <v>-8005</v>
      </c>
      <c r="K79" s="30">
        <f>ROUND('Sum of Billing Determinants'!L87*-1*'Rate Calculations'!$G$9*(1-'Sum of Billing Determinants'!$AC87),0)</f>
        <v>-7600</v>
      </c>
      <c r="L79" s="30">
        <f>ROUND('Sum of Billing Determinants'!M87*-1*'Rate Calculations'!$G$9*(1-'Sum of Billing Determinants'!$AC87),0)</f>
        <v>-7345</v>
      </c>
      <c r="M79" s="30">
        <f>ROUND('Sum of Billing Determinants'!N87*-1*'Rate Calculations'!$G$9*(1-'Sum of Billing Determinants'!$AC87),0)</f>
        <v>-6788</v>
      </c>
      <c r="N79" s="30">
        <f t="shared" si="1"/>
        <v>-70316</v>
      </c>
    </row>
    <row r="80" spans="2:14" ht="15">
      <c r="B80" s="26">
        <f>'Sum of Billing Determinants'!A88</f>
        <v>10237</v>
      </c>
      <c r="C80" s="26" t="str">
        <f>'Sum of Billing Determinants'!B88</f>
        <v>Lewis County PUD #1</v>
      </c>
      <c r="D80" s="30">
        <f>ROUND('Sum of Billing Determinants'!E88*-1*'Rate Calculations'!$G$9*(1-'Sum of Billing Determinants'!$AC88),0)</f>
        <v>-13222</v>
      </c>
      <c r="E80" s="30">
        <f>ROUND('Sum of Billing Determinants'!F88*-1*'Rate Calculations'!$G$9*(1-'Sum of Billing Determinants'!$AC88),0)</f>
        <v>-10921</v>
      </c>
      <c r="F80" s="30">
        <f>ROUND('Sum of Billing Determinants'!G88*-1*'Rate Calculations'!$G$9*(1-'Sum of Billing Determinants'!$AC88),0)</f>
        <v>-9465</v>
      </c>
      <c r="G80" s="30">
        <f>ROUND('Sum of Billing Determinants'!H88*-1*'Rate Calculations'!$G$9*(1-'Sum of Billing Determinants'!$AC88),0)</f>
        <v>-11300</v>
      </c>
      <c r="H80" s="30">
        <f>ROUND('Sum of Billing Determinants'!I88*-1*'Rate Calculations'!$G$9*(1-'Sum of Billing Determinants'!$AC88),0)</f>
        <v>-8773</v>
      </c>
      <c r="I80" s="30">
        <f>ROUND('Sum of Billing Determinants'!J88*-1*'Rate Calculations'!$G$9*(1-'Sum of Billing Determinants'!$AC88),0)</f>
        <v>-12155</v>
      </c>
      <c r="J80" s="30">
        <f>ROUND('Sum of Billing Determinants'!K88*-1*'Rate Calculations'!$G$9*(1-'Sum of Billing Determinants'!$AC88),0)</f>
        <v>-12987</v>
      </c>
      <c r="K80" s="30">
        <f>ROUND('Sum of Billing Determinants'!L88*-1*'Rate Calculations'!$G$9*(1-'Sum of Billing Determinants'!$AC88),0)</f>
        <v>-12331</v>
      </c>
      <c r="L80" s="30">
        <f>ROUND('Sum of Billing Determinants'!M88*-1*'Rate Calculations'!$G$9*(1-'Sum of Billing Determinants'!$AC88),0)</f>
        <v>-11917</v>
      </c>
      <c r="M80" s="30">
        <f>ROUND('Sum of Billing Determinants'!N88*-1*'Rate Calculations'!$G$9*(1-'Sum of Billing Determinants'!$AC88),0)</f>
        <v>-11012</v>
      </c>
      <c r="N80" s="30">
        <f t="shared" si="1"/>
        <v>-114083</v>
      </c>
    </row>
    <row r="81" spans="2:14" ht="15">
      <c r="B81" s="26">
        <f>'Sum of Billing Determinants'!A89</f>
        <v>10239</v>
      </c>
      <c r="C81" s="26" t="str">
        <f>'Sum of Billing Determinants'!B89</f>
        <v>Lincoln Elec Coop (MT)</v>
      </c>
      <c r="D81" s="30">
        <f>ROUND('Sum of Billing Determinants'!E89*-1*'Rate Calculations'!$G$9*(1-'Sum of Billing Determinants'!$AC89),0)</f>
        <v>-3925</v>
      </c>
      <c r="E81" s="30">
        <f>ROUND('Sum of Billing Determinants'!F89*-1*'Rate Calculations'!$G$9*(1-'Sum of Billing Determinants'!$AC89),0)</f>
        <v>-3242</v>
      </c>
      <c r="F81" s="30">
        <f>ROUND('Sum of Billing Determinants'!G89*-1*'Rate Calculations'!$G$9*(1-'Sum of Billing Determinants'!$AC89),0)</f>
        <v>-2810</v>
      </c>
      <c r="G81" s="30">
        <f>ROUND('Sum of Billing Determinants'!H89*-1*'Rate Calculations'!$G$9*(1-'Sum of Billing Determinants'!$AC89),0)</f>
        <v>-3354</v>
      </c>
      <c r="H81" s="30">
        <f>ROUND('Sum of Billing Determinants'!I89*-1*'Rate Calculations'!$G$9*(1-'Sum of Billing Determinants'!$AC89),0)</f>
        <v>-2604</v>
      </c>
      <c r="I81" s="30">
        <f>ROUND('Sum of Billing Determinants'!J89*-1*'Rate Calculations'!$G$9*(1-'Sum of Billing Determinants'!$AC89),0)</f>
        <v>-3608</v>
      </c>
      <c r="J81" s="30">
        <f>ROUND('Sum of Billing Determinants'!K89*-1*'Rate Calculations'!$G$9*(1-'Sum of Billing Determinants'!$AC89),0)</f>
        <v>-3855</v>
      </c>
      <c r="K81" s="30">
        <f>ROUND('Sum of Billing Determinants'!L89*-1*'Rate Calculations'!$G$9*(1-'Sum of Billing Determinants'!$AC89),0)</f>
        <v>-3660</v>
      </c>
      <c r="L81" s="30">
        <f>ROUND('Sum of Billing Determinants'!M89*-1*'Rate Calculations'!$G$9*(1-'Sum of Billing Determinants'!$AC89),0)</f>
        <v>-3537</v>
      </c>
      <c r="M81" s="30">
        <f>ROUND('Sum of Billing Determinants'!N89*-1*'Rate Calculations'!$G$9*(1-'Sum of Billing Determinants'!$AC89),0)</f>
        <v>-3269</v>
      </c>
      <c r="N81" s="30">
        <f t="shared" si="1"/>
        <v>-33864</v>
      </c>
    </row>
    <row r="82" spans="2:14" ht="15">
      <c r="B82" s="26">
        <f>'Sum of Billing Determinants'!A90</f>
        <v>10242</v>
      </c>
      <c r="C82" s="26" t="str">
        <f>'Sum of Billing Determinants'!B90</f>
        <v>Lost River Elec Coop</v>
      </c>
      <c r="D82" s="30">
        <f>ROUND('Sum of Billing Determinants'!E90*-1*'Rate Calculations'!$G$9*(1-'Sum of Billing Determinants'!$AC90),0)</f>
        <v>-2678</v>
      </c>
      <c r="E82" s="30">
        <f>ROUND('Sum of Billing Determinants'!F90*-1*'Rate Calculations'!$G$9*(1-'Sum of Billing Determinants'!$AC90),0)</f>
        <v>-2212</v>
      </c>
      <c r="F82" s="30">
        <f>ROUND('Sum of Billing Determinants'!G90*-1*'Rate Calculations'!$G$9*(1-'Sum of Billing Determinants'!$AC90),0)</f>
        <v>-1917</v>
      </c>
      <c r="G82" s="30">
        <f>ROUND('Sum of Billing Determinants'!H90*-1*'Rate Calculations'!$G$9*(1-'Sum of Billing Determinants'!$AC90),0)</f>
        <v>-2289</v>
      </c>
      <c r="H82" s="30">
        <f>ROUND('Sum of Billing Determinants'!I90*-1*'Rate Calculations'!$G$9*(1-'Sum of Billing Determinants'!$AC90),0)</f>
        <v>-1777</v>
      </c>
      <c r="I82" s="30">
        <f>ROUND('Sum of Billing Determinants'!J90*-1*'Rate Calculations'!$G$9*(1-'Sum of Billing Determinants'!$AC90),0)</f>
        <v>-2462</v>
      </c>
      <c r="J82" s="30">
        <f>ROUND('Sum of Billing Determinants'!K90*-1*'Rate Calculations'!$G$9*(1-'Sum of Billing Determinants'!$AC90),0)</f>
        <v>-2630</v>
      </c>
      <c r="K82" s="30">
        <f>ROUND('Sum of Billing Determinants'!L90*-1*'Rate Calculations'!$G$9*(1-'Sum of Billing Determinants'!$AC90),0)</f>
        <v>-2497</v>
      </c>
      <c r="L82" s="30">
        <f>ROUND('Sum of Billing Determinants'!M90*-1*'Rate Calculations'!$G$9*(1-'Sum of Billing Determinants'!$AC90),0)</f>
        <v>-2414</v>
      </c>
      <c r="M82" s="30">
        <f>ROUND('Sum of Billing Determinants'!N90*-1*'Rate Calculations'!$G$9*(1-'Sum of Billing Determinants'!$AC90),0)</f>
        <v>-2230</v>
      </c>
      <c r="N82" s="30">
        <f t="shared" si="1"/>
        <v>-23106</v>
      </c>
    </row>
    <row r="83" spans="2:14" ht="15">
      <c r="B83" s="26">
        <f>'Sum of Billing Determinants'!A91</f>
        <v>10244</v>
      </c>
      <c r="C83" s="26" t="str">
        <f>'Sum of Billing Determinants'!B91</f>
        <v>Lower Valley Energy</v>
      </c>
      <c r="D83" s="30">
        <f>ROUND('Sum of Billing Determinants'!E91*-1*'Rate Calculations'!$G$9*(1-'Sum of Billing Determinants'!$AC91),0)</f>
        <v>-24252</v>
      </c>
      <c r="E83" s="30">
        <f>ROUND('Sum of Billing Determinants'!F91*-1*'Rate Calculations'!$G$9*(1-'Sum of Billing Determinants'!$AC91),0)</f>
        <v>-20031</v>
      </c>
      <c r="F83" s="30">
        <f>ROUND('Sum of Billing Determinants'!G91*-1*'Rate Calculations'!$G$9*(1-'Sum of Billing Determinants'!$AC91),0)</f>
        <v>-17361</v>
      </c>
      <c r="G83" s="30">
        <f>ROUND('Sum of Billing Determinants'!H91*-1*'Rate Calculations'!$G$9*(1-'Sum of Billing Determinants'!$AC91),0)</f>
        <v>-20726</v>
      </c>
      <c r="H83" s="30">
        <f>ROUND('Sum of Billing Determinants'!I91*-1*'Rate Calculations'!$G$9*(1-'Sum of Billing Determinants'!$AC91),0)</f>
        <v>-16091</v>
      </c>
      <c r="I83" s="30">
        <f>ROUND('Sum of Billing Determinants'!J91*-1*'Rate Calculations'!$G$9*(1-'Sum of Billing Determinants'!$AC91),0)</f>
        <v>-22294</v>
      </c>
      <c r="J83" s="30">
        <f>ROUND('Sum of Billing Determinants'!K91*-1*'Rate Calculations'!$G$9*(1-'Sum of Billing Determinants'!$AC91),0)</f>
        <v>-23821</v>
      </c>
      <c r="K83" s="30">
        <f>ROUND('Sum of Billing Determinants'!L91*-1*'Rate Calculations'!$G$9*(1-'Sum of Billing Determinants'!$AC91),0)</f>
        <v>-22617</v>
      </c>
      <c r="L83" s="30">
        <f>ROUND('Sum of Billing Determinants'!M91*-1*'Rate Calculations'!$G$9*(1-'Sum of Billing Determinants'!$AC91),0)</f>
        <v>-21858</v>
      </c>
      <c r="M83" s="30">
        <f>ROUND('Sum of Billing Determinants'!N91*-1*'Rate Calculations'!$G$9*(1-'Sum of Billing Determinants'!$AC91),0)</f>
        <v>-20199</v>
      </c>
      <c r="N83" s="30">
        <f t="shared" si="1"/>
        <v>-209250</v>
      </c>
    </row>
    <row r="84" spans="2:14" ht="15">
      <c r="B84" s="26">
        <f>'Sum of Billing Determinants'!A92</f>
        <v>10246</v>
      </c>
      <c r="C84" s="26" t="str">
        <f>'Sum of Billing Determinants'!B92</f>
        <v>Mason County PUD #1</v>
      </c>
      <c r="D84" s="30">
        <f>ROUND('Sum of Billing Determinants'!E92*-1*'Rate Calculations'!$G$9*(1-'Sum of Billing Determinants'!$AC92),0)</f>
        <v>-2560</v>
      </c>
      <c r="E84" s="30">
        <f>ROUND('Sum of Billing Determinants'!F92*-1*'Rate Calculations'!$G$9*(1-'Sum of Billing Determinants'!$AC92),0)</f>
        <v>-2114</v>
      </c>
      <c r="F84" s="30">
        <f>ROUND('Sum of Billing Determinants'!G92*-1*'Rate Calculations'!$G$9*(1-'Sum of Billing Determinants'!$AC92),0)</f>
        <v>-1833</v>
      </c>
      <c r="G84" s="30">
        <f>ROUND('Sum of Billing Determinants'!H92*-1*'Rate Calculations'!$G$9*(1-'Sum of Billing Determinants'!$AC92),0)</f>
        <v>-2188</v>
      </c>
      <c r="H84" s="30">
        <f>ROUND('Sum of Billing Determinants'!I92*-1*'Rate Calculations'!$G$9*(1-'Sum of Billing Determinants'!$AC92),0)</f>
        <v>-1698</v>
      </c>
      <c r="I84" s="30">
        <f>ROUND('Sum of Billing Determinants'!J92*-1*'Rate Calculations'!$G$9*(1-'Sum of Billing Determinants'!$AC92),0)</f>
        <v>-2353</v>
      </c>
      <c r="J84" s="30">
        <f>ROUND('Sum of Billing Determinants'!K92*-1*'Rate Calculations'!$G$9*(1-'Sum of Billing Determinants'!$AC92),0)</f>
        <v>-2515</v>
      </c>
      <c r="K84" s="30">
        <f>ROUND('Sum of Billing Determinants'!L92*-1*'Rate Calculations'!$G$9*(1-'Sum of Billing Determinants'!$AC92),0)</f>
        <v>-2387</v>
      </c>
      <c r="L84" s="30">
        <f>ROUND('Sum of Billing Determinants'!M92*-1*'Rate Calculations'!$G$9*(1-'Sum of Billing Determinants'!$AC92),0)</f>
        <v>-2307</v>
      </c>
      <c r="M84" s="30">
        <f>ROUND('Sum of Billing Determinants'!N92*-1*'Rate Calculations'!$G$9*(1-'Sum of Billing Determinants'!$AC92),0)</f>
        <v>-2132</v>
      </c>
      <c r="N84" s="30">
        <f t="shared" si="1"/>
        <v>-22087</v>
      </c>
    </row>
    <row r="85" spans="2:14" ht="15">
      <c r="B85" s="26">
        <f>'Sum of Billing Determinants'!A93</f>
        <v>10247</v>
      </c>
      <c r="C85" s="26" t="str">
        <f>'Sum of Billing Determinants'!B93</f>
        <v>Mason County PUD #3</v>
      </c>
      <c r="D85" s="30">
        <f>ROUND('Sum of Billing Determinants'!E93*-1*'Rate Calculations'!$G$9*(1-'Sum of Billing Determinants'!$AC93),0)</f>
        <v>-23031</v>
      </c>
      <c r="E85" s="30">
        <f>ROUND('Sum of Billing Determinants'!F93*-1*'Rate Calculations'!$G$9*(1-'Sum of Billing Determinants'!$AC93),0)</f>
        <v>-19023</v>
      </c>
      <c r="F85" s="30">
        <f>ROUND('Sum of Billing Determinants'!G93*-1*'Rate Calculations'!$G$9*(1-'Sum of Billing Determinants'!$AC93),0)</f>
        <v>-16488</v>
      </c>
      <c r="G85" s="30">
        <f>ROUND('Sum of Billing Determinants'!H93*-1*'Rate Calculations'!$G$9*(1-'Sum of Billing Determinants'!$AC93),0)</f>
        <v>-19683</v>
      </c>
      <c r="H85" s="30">
        <f>ROUND('Sum of Billing Determinants'!I93*-1*'Rate Calculations'!$G$9*(1-'Sum of Billing Determinants'!$AC93),0)</f>
        <v>-15281</v>
      </c>
      <c r="I85" s="30">
        <f>ROUND('Sum of Billing Determinants'!J93*-1*'Rate Calculations'!$G$9*(1-'Sum of Billing Determinants'!$AC93),0)</f>
        <v>-21172</v>
      </c>
      <c r="J85" s="30">
        <f>ROUND('Sum of Billing Determinants'!K93*-1*'Rate Calculations'!$G$9*(1-'Sum of Billing Determinants'!$AC93),0)</f>
        <v>-22623</v>
      </c>
      <c r="K85" s="30">
        <f>ROUND('Sum of Billing Determinants'!L93*-1*'Rate Calculations'!$G$9*(1-'Sum of Billing Determinants'!$AC93),0)</f>
        <v>-21479</v>
      </c>
      <c r="L85" s="30">
        <f>ROUND('Sum of Billing Determinants'!M93*-1*'Rate Calculations'!$G$9*(1-'Sum of Billing Determinants'!$AC93),0)</f>
        <v>-20758</v>
      </c>
      <c r="M85" s="30">
        <f>ROUND('Sum of Billing Determinants'!N93*-1*'Rate Calculations'!$G$9*(1-'Sum of Billing Determinants'!$AC93),0)</f>
        <v>-19183</v>
      </c>
      <c r="N85" s="30">
        <f t="shared" si="1"/>
        <v>-198721</v>
      </c>
    </row>
    <row r="86" spans="2:14" ht="15">
      <c r="B86" s="26">
        <f>'Sum of Billing Determinants'!A94</f>
        <v>10256</v>
      </c>
      <c r="C86" s="26" t="str">
        <f>'Sum of Billing Determinants'!B94</f>
        <v>Midstate Elec Coop</v>
      </c>
      <c r="D86" s="30">
        <f>ROUND('Sum of Billing Determinants'!E94*-1*'Rate Calculations'!$G$9*(1-'Sum of Billing Determinants'!$AC94),0)</f>
        <v>-13219</v>
      </c>
      <c r="E86" s="30">
        <f>ROUND('Sum of Billing Determinants'!F94*-1*'Rate Calculations'!$G$9*(1-'Sum of Billing Determinants'!$AC94),0)</f>
        <v>-10918</v>
      </c>
      <c r="F86" s="30">
        <f>ROUND('Sum of Billing Determinants'!G94*-1*'Rate Calculations'!$G$9*(1-'Sum of Billing Determinants'!$AC94),0)</f>
        <v>-9463</v>
      </c>
      <c r="G86" s="30">
        <f>ROUND('Sum of Billing Determinants'!H94*-1*'Rate Calculations'!$G$9*(1-'Sum of Billing Determinants'!$AC94),0)</f>
        <v>-11297</v>
      </c>
      <c r="H86" s="30">
        <f>ROUND('Sum of Billing Determinants'!I94*-1*'Rate Calculations'!$G$9*(1-'Sum of Billing Determinants'!$AC94),0)</f>
        <v>-8771</v>
      </c>
      <c r="I86" s="30">
        <f>ROUND('Sum of Billing Determinants'!J94*-1*'Rate Calculations'!$G$9*(1-'Sum of Billing Determinants'!$AC94),0)</f>
        <v>-12152</v>
      </c>
      <c r="J86" s="30">
        <f>ROUND('Sum of Billing Determinants'!K94*-1*'Rate Calculations'!$G$9*(1-'Sum of Billing Determinants'!$AC94),0)</f>
        <v>-12984</v>
      </c>
      <c r="K86" s="30">
        <f>ROUND('Sum of Billing Determinants'!L94*-1*'Rate Calculations'!$G$9*(1-'Sum of Billing Determinants'!$AC94),0)</f>
        <v>-12328</v>
      </c>
      <c r="L86" s="30">
        <f>ROUND('Sum of Billing Determinants'!M94*-1*'Rate Calculations'!$G$9*(1-'Sum of Billing Determinants'!$AC94),0)</f>
        <v>-11914</v>
      </c>
      <c r="M86" s="30">
        <f>ROUND('Sum of Billing Determinants'!N94*-1*'Rate Calculations'!$G$9*(1-'Sum of Billing Determinants'!$AC94),0)</f>
        <v>-11010</v>
      </c>
      <c r="N86" s="30">
        <f t="shared" si="1"/>
        <v>-114056</v>
      </c>
    </row>
    <row r="87" spans="2:14" ht="15">
      <c r="B87" s="26">
        <f>'Sum of Billing Determinants'!A95</f>
        <v>10258</v>
      </c>
      <c r="C87" s="26" t="str">
        <f>'Sum of Billing Determinants'!B95</f>
        <v>Mission Valley</v>
      </c>
      <c r="D87" s="30">
        <f>ROUND('Sum of Billing Determinants'!E95*-1*'Rate Calculations'!$G$9*(1-'Sum of Billing Determinants'!$AC95),0)</f>
        <v>-10845</v>
      </c>
      <c r="E87" s="30">
        <f>ROUND('Sum of Billing Determinants'!F95*-1*'Rate Calculations'!$G$9*(1-'Sum of Billing Determinants'!$AC95),0)</f>
        <v>-8957</v>
      </c>
      <c r="F87" s="30">
        <f>ROUND('Sum of Billing Determinants'!G95*-1*'Rate Calculations'!$G$9*(1-'Sum of Billing Determinants'!$AC95),0)</f>
        <v>-7763</v>
      </c>
      <c r="G87" s="30">
        <f>ROUND('Sum of Billing Determinants'!H95*-1*'Rate Calculations'!$G$9*(1-'Sum of Billing Determinants'!$AC95),0)</f>
        <v>-9268</v>
      </c>
      <c r="H87" s="30">
        <f>ROUND('Sum of Billing Determinants'!I95*-1*'Rate Calculations'!$G$9*(1-'Sum of Billing Determinants'!$AC95),0)</f>
        <v>-7195</v>
      </c>
      <c r="I87" s="30">
        <f>ROUND('Sum of Billing Determinants'!J95*-1*'Rate Calculations'!$G$9*(1-'Sum of Billing Determinants'!$AC95),0)</f>
        <v>-9969</v>
      </c>
      <c r="J87" s="30">
        <f>ROUND('Sum of Billing Determinants'!K95*-1*'Rate Calculations'!$G$9*(1-'Sum of Billing Determinants'!$AC95),0)</f>
        <v>-10652</v>
      </c>
      <c r="K87" s="30">
        <f>ROUND('Sum of Billing Determinants'!L95*-1*'Rate Calculations'!$G$9*(1-'Sum of Billing Determinants'!$AC95),0)</f>
        <v>-10114</v>
      </c>
      <c r="L87" s="30">
        <f>ROUND('Sum of Billing Determinants'!M95*-1*'Rate Calculations'!$G$9*(1-'Sum of Billing Determinants'!$AC95),0)</f>
        <v>-9774</v>
      </c>
      <c r="M87" s="30">
        <f>ROUND('Sum of Billing Determinants'!N95*-1*'Rate Calculations'!$G$9*(1-'Sum of Billing Determinants'!$AC95),0)</f>
        <v>-9033</v>
      </c>
      <c r="N87" s="30">
        <f t="shared" si="1"/>
        <v>-93570</v>
      </c>
    </row>
    <row r="88" spans="2:14" ht="15">
      <c r="B88" s="26">
        <f>'Sum of Billing Determinants'!A96</f>
        <v>10259</v>
      </c>
      <c r="C88" s="26" t="str">
        <f>'Sum of Billing Determinants'!B96</f>
        <v>Missoula Elec Coop</v>
      </c>
      <c r="D88" s="30">
        <f>ROUND('Sum of Billing Determinants'!E96*-1*'Rate Calculations'!$G$9*(1-'Sum of Billing Determinants'!$AC96),0)</f>
        <v>-7594</v>
      </c>
      <c r="E88" s="30">
        <f>ROUND('Sum of Billing Determinants'!F96*-1*'Rate Calculations'!$G$9*(1-'Sum of Billing Determinants'!$AC96),0)</f>
        <v>-6272</v>
      </c>
      <c r="F88" s="30">
        <f>ROUND('Sum of Billing Determinants'!G96*-1*'Rate Calculations'!$G$9*(1-'Sum of Billing Determinants'!$AC96),0)</f>
        <v>-5436</v>
      </c>
      <c r="G88" s="30">
        <f>ROUND('Sum of Billing Determinants'!H96*-1*'Rate Calculations'!$G$9*(1-'Sum of Billing Determinants'!$AC96),0)</f>
        <v>-6490</v>
      </c>
      <c r="H88" s="30">
        <f>ROUND('Sum of Billing Determinants'!I96*-1*'Rate Calculations'!$G$9*(1-'Sum of Billing Determinants'!$AC96),0)</f>
        <v>-5039</v>
      </c>
      <c r="I88" s="30">
        <f>ROUND('Sum of Billing Determinants'!J96*-1*'Rate Calculations'!$G$9*(1-'Sum of Billing Determinants'!$AC96),0)</f>
        <v>-6981</v>
      </c>
      <c r="J88" s="30">
        <f>ROUND('Sum of Billing Determinants'!K96*-1*'Rate Calculations'!$G$9*(1-'Sum of Billing Determinants'!$AC96),0)</f>
        <v>-7459</v>
      </c>
      <c r="K88" s="30">
        <f>ROUND('Sum of Billing Determinants'!L96*-1*'Rate Calculations'!$G$9*(1-'Sum of Billing Determinants'!$AC96),0)</f>
        <v>-7082</v>
      </c>
      <c r="L88" s="30">
        <f>ROUND('Sum of Billing Determinants'!M96*-1*'Rate Calculations'!$G$9*(1-'Sum of Billing Determinants'!$AC96),0)</f>
        <v>-6845</v>
      </c>
      <c r="M88" s="30">
        <f>ROUND('Sum of Billing Determinants'!N96*-1*'Rate Calculations'!$G$9*(1-'Sum of Billing Determinants'!$AC96),0)</f>
        <v>-6325</v>
      </c>
      <c r="N88" s="30">
        <f t="shared" si="1"/>
        <v>-65523</v>
      </c>
    </row>
    <row r="89" spans="2:14" ht="15">
      <c r="B89" s="26">
        <f>'Sum of Billing Determinants'!A97</f>
        <v>10260</v>
      </c>
      <c r="C89" s="26" t="str">
        <f>'Sum of Billing Determinants'!B97</f>
        <v>Modern Elec Coop</v>
      </c>
      <c r="D89" s="30">
        <f>ROUND('Sum of Billing Determinants'!E97*-1*'Rate Calculations'!$G$9*(1-'Sum of Billing Determinants'!$AC97),0)</f>
        <v>-7982</v>
      </c>
      <c r="E89" s="30">
        <f>ROUND('Sum of Billing Determinants'!F97*-1*'Rate Calculations'!$G$9*(1-'Sum of Billing Determinants'!$AC97),0)</f>
        <v>-6592</v>
      </c>
      <c r="F89" s="30">
        <f>ROUND('Sum of Billing Determinants'!G97*-1*'Rate Calculations'!$G$9*(1-'Sum of Billing Determinants'!$AC97),0)</f>
        <v>-5714</v>
      </c>
      <c r="G89" s="30">
        <f>ROUND('Sum of Billing Determinants'!H97*-1*'Rate Calculations'!$G$9*(1-'Sum of Billing Determinants'!$AC97),0)</f>
        <v>-6821</v>
      </c>
      <c r="H89" s="30">
        <f>ROUND('Sum of Billing Determinants'!I97*-1*'Rate Calculations'!$G$9*(1-'Sum of Billing Determinants'!$AC97),0)</f>
        <v>-5296</v>
      </c>
      <c r="I89" s="30">
        <f>ROUND('Sum of Billing Determinants'!J97*-1*'Rate Calculations'!$G$9*(1-'Sum of Billing Determinants'!$AC97),0)</f>
        <v>-7337</v>
      </c>
      <c r="J89" s="30">
        <f>ROUND('Sum of Billing Determinants'!K97*-1*'Rate Calculations'!$G$9*(1-'Sum of Billing Determinants'!$AC97),0)</f>
        <v>-7840</v>
      </c>
      <c r="K89" s="30">
        <f>ROUND('Sum of Billing Determinants'!L97*-1*'Rate Calculations'!$G$9*(1-'Sum of Billing Determinants'!$AC97),0)</f>
        <v>-7444</v>
      </c>
      <c r="L89" s="30">
        <f>ROUND('Sum of Billing Determinants'!M97*-1*'Rate Calculations'!$G$9*(1-'Sum of Billing Determinants'!$AC97),0)</f>
        <v>-7194</v>
      </c>
      <c r="M89" s="30">
        <f>ROUND('Sum of Billing Determinants'!N97*-1*'Rate Calculations'!$G$9*(1-'Sum of Billing Determinants'!$AC97),0)</f>
        <v>-6648</v>
      </c>
      <c r="N89" s="30">
        <f t="shared" si="1"/>
        <v>-68868</v>
      </c>
    </row>
    <row r="90" spans="2:14" ht="15">
      <c r="B90" s="26">
        <f>'Sum of Billing Determinants'!A98</f>
        <v>10273</v>
      </c>
      <c r="C90" s="26" t="str">
        <f>'Sum of Billing Determinants'!B98</f>
        <v>Nespelem Valley Elec Coop</v>
      </c>
      <c r="D90" s="30">
        <f>ROUND('Sum of Billing Determinants'!E98*-1*'Rate Calculations'!$G$9*(1-'Sum of Billing Determinants'!$AC98),0)</f>
        <v>-1597</v>
      </c>
      <c r="E90" s="30">
        <f>ROUND('Sum of Billing Determinants'!F98*-1*'Rate Calculations'!$G$9*(1-'Sum of Billing Determinants'!$AC98),0)</f>
        <v>-1319</v>
      </c>
      <c r="F90" s="30">
        <f>ROUND('Sum of Billing Determinants'!G98*-1*'Rate Calculations'!$G$9*(1-'Sum of Billing Determinants'!$AC98),0)</f>
        <v>-1144</v>
      </c>
      <c r="G90" s="30">
        <f>ROUND('Sum of Billing Determinants'!H98*-1*'Rate Calculations'!$G$9*(1-'Sum of Billing Determinants'!$AC98),0)</f>
        <v>-1365</v>
      </c>
      <c r="H90" s="30">
        <f>ROUND('Sum of Billing Determinants'!I98*-1*'Rate Calculations'!$G$9*(1-'Sum of Billing Determinants'!$AC98),0)</f>
        <v>-1060</v>
      </c>
      <c r="I90" s="30">
        <f>ROUND('Sum of Billing Determinants'!J98*-1*'Rate Calculations'!$G$9*(1-'Sum of Billing Determinants'!$AC98),0)</f>
        <v>-1468</v>
      </c>
      <c r="J90" s="30">
        <f>ROUND('Sum of Billing Determinants'!K98*-1*'Rate Calculations'!$G$9*(1-'Sum of Billing Determinants'!$AC98),0)</f>
        <v>-1569</v>
      </c>
      <c r="K90" s="30">
        <f>ROUND('Sum of Billing Determinants'!L98*-1*'Rate Calculations'!$G$9*(1-'Sum of Billing Determinants'!$AC98),0)</f>
        <v>-1490</v>
      </c>
      <c r="L90" s="30">
        <f>ROUND('Sum of Billing Determinants'!M98*-1*'Rate Calculations'!$G$9*(1-'Sum of Billing Determinants'!$AC98),0)</f>
        <v>-1440</v>
      </c>
      <c r="M90" s="30">
        <f>ROUND('Sum of Billing Determinants'!N98*-1*'Rate Calculations'!$G$9*(1-'Sum of Billing Determinants'!$AC98),0)</f>
        <v>-1330</v>
      </c>
      <c r="N90" s="30">
        <f t="shared" si="1"/>
        <v>-13782</v>
      </c>
    </row>
    <row r="91" spans="2:14" ht="15">
      <c r="B91" s="26">
        <f>'Sum of Billing Determinants'!A99</f>
        <v>10278</v>
      </c>
      <c r="C91" s="26" t="str">
        <f>'Sum of Billing Determinants'!B99</f>
        <v>Northern Lights</v>
      </c>
      <c r="D91" s="30">
        <f>ROUND('Sum of Billing Determinants'!E99*-1*'Rate Calculations'!$G$9*(1-'Sum of Billing Determinants'!$AC99),0)</f>
        <v>-10114</v>
      </c>
      <c r="E91" s="30">
        <f>ROUND('Sum of Billing Determinants'!F99*-1*'Rate Calculations'!$G$9*(1-'Sum of Billing Determinants'!$AC99),0)</f>
        <v>-8354</v>
      </c>
      <c r="F91" s="30">
        <f>ROUND('Sum of Billing Determinants'!G99*-1*'Rate Calculations'!$G$9*(1-'Sum of Billing Determinants'!$AC99),0)</f>
        <v>-7240</v>
      </c>
      <c r="G91" s="30">
        <f>ROUND('Sum of Billing Determinants'!H99*-1*'Rate Calculations'!$G$9*(1-'Sum of Billing Determinants'!$AC99),0)</f>
        <v>-8644</v>
      </c>
      <c r="H91" s="30">
        <f>ROUND('Sum of Billing Determinants'!I99*-1*'Rate Calculations'!$G$9*(1-'Sum of Billing Determinants'!$AC99),0)</f>
        <v>-6711</v>
      </c>
      <c r="I91" s="30">
        <f>ROUND('Sum of Billing Determinants'!J99*-1*'Rate Calculations'!$G$9*(1-'Sum of Billing Determinants'!$AC99),0)</f>
        <v>-9298</v>
      </c>
      <c r="J91" s="30">
        <f>ROUND('Sum of Billing Determinants'!K99*-1*'Rate Calculations'!$G$9*(1-'Sum of Billing Determinants'!$AC99),0)</f>
        <v>-9935</v>
      </c>
      <c r="K91" s="30">
        <f>ROUND('Sum of Billing Determinants'!L99*-1*'Rate Calculations'!$G$9*(1-'Sum of Billing Determinants'!$AC99),0)</f>
        <v>-9433</v>
      </c>
      <c r="L91" s="30">
        <f>ROUND('Sum of Billing Determinants'!M99*-1*'Rate Calculations'!$G$9*(1-'Sum of Billing Determinants'!$AC99),0)</f>
        <v>-9116</v>
      </c>
      <c r="M91" s="30">
        <f>ROUND('Sum of Billing Determinants'!N99*-1*'Rate Calculations'!$G$9*(1-'Sum of Billing Determinants'!$AC99),0)</f>
        <v>-8424</v>
      </c>
      <c r="N91" s="30">
        <f t="shared" si="1"/>
        <v>-87269</v>
      </c>
    </row>
    <row r="92" spans="2:14" ht="15">
      <c r="B92" s="26">
        <f>'Sum of Billing Determinants'!A100</f>
        <v>10279</v>
      </c>
      <c r="C92" s="26" t="str">
        <f>'Sum of Billing Determinants'!B100</f>
        <v>Northern Wasco County PUD</v>
      </c>
      <c r="D92" s="30">
        <f>ROUND('Sum of Billing Determinants'!E100*-1*'Rate Calculations'!$G$9*(1-'Sum of Billing Determinants'!$AC100),0)</f>
        <v>-19666</v>
      </c>
      <c r="E92" s="30">
        <f>ROUND('Sum of Billing Determinants'!F100*-1*'Rate Calculations'!$G$9*(1-'Sum of Billing Determinants'!$AC100),0)</f>
        <v>-16244</v>
      </c>
      <c r="F92" s="30">
        <f>ROUND('Sum of Billing Determinants'!G100*-1*'Rate Calculations'!$G$9*(1-'Sum of Billing Determinants'!$AC100),0)</f>
        <v>-14079</v>
      </c>
      <c r="G92" s="30">
        <f>ROUND('Sum of Billing Determinants'!H100*-1*'Rate Calculations'!$G$9*(1-'Sum of Billing Determinants'!$AC100),0)</f>
        <v>-16807</v>
      </c>
      <c r="H92" s="30">
        <f>ROUND('Sum of Billing Determinants'!I100*-1*'Rate Calculations'!$G$9*(1-'Sum of Billing Determinants'!$AC100),0)</f>
        <v>-13049</v>
      </c>
      <c r="I92" s="30">
        <f>ROUND('Sum of Billing Determinants'!J100*-1*'Rate Calculations'!$G$9*(1-'Sum of Billing Determinants'!$AC100),0)</f>
        <v>-18079</v>
      </c>
      <c r="J92" s="30">
        <f>ROUND('Sum of Billing Determinants'!K100*-1*'Rate Calculations'!$G$9*(1-'Sum of Billing Determinants'!$AC100),0)</f>
        <v>-19318</v>
      </c>
      <c r="K92" s="30">
        <f>ROUND('Sum of Billing Determinants'!L100*-1*'Rate Calculations'!$G$9*(1-'Sum of Billing Determinants'!$AC100),0)</f>
        <v>-18341</v>
      </c>
      <c r="L92" s="30">
        <f>ROUND('Sum of Billing Determinants'!M100*-1*'Rate Calculations'!$G$9*(1-'Sum of Billing Determinants'!$AC100),0)</f>
        <v>-17725</v>
      </c>
      <c r="M92" s="30">
        <f>ROUND('Sum of Billing Determinants'!N100*-1*'Rate Calculations'!$G$9*(1-'Sum of Billing Determinants'!$AC100),0)</f>
        <v>-16380</v>
      </c>
      <c r="N92" s="30">
        <f t="shared" si="1"/>
        <v>-169688</v>
      </c>
    </row>
    <row r="93" spans="2:14" ht="15">
      <c r="B93" s="26">
        <f>'Sum of Billing Determinants'!A101</f>
        <v>10284</v>
      </c>
      <c r="C93" s="26" t="str">
        <f>'Sum of Billing Determinants'!B101</f>
        <v>Ohop Mutual Light Company</v>
      </c>
      <c r="D93" s="30">
        <f>ROUND('Sum of Billing Determinants'!E101*-1*'Rate Calculations'!$G$9*(1-'Sum of Billing Determinants'!$AC101),0)</f>
        <v>-2929</v>
      </c>
      <c r="E93" s="30">
        <f>ROUND('Sum of Billing Determinants'!F101*-1*'Rate Calculations'!$G$9*(1-'Sum of Billing Determinants'!$AC101),0)</f>
        <v>-2419</v>
      </c>
      <c r="F93" s="30">
        <f>ROUND('Sum of Billing Determinants'!G101*-1*'Rate Calculations'!$G$9*(1-'Sum of Billing Determinants'!$AC101),0)</f>
        <v>-2097</v>
      </c>
      <c r="G93" s="30">
        <f>ROUND('Sum of Billing Determinants'!H101*-1*'Rate Calculations'!$G$9*(1-'Sum of Billing Determinants'!$AC101),0)</f>
        <v>-2503</v>
      </c>
      <c r="H93" s="30">
        <f>ROUND('Sum of Billing Determinants'!I101*-1*'Rate Calculations'!$G$9*(1-'Sum of Billing Determinants'!$AC101),0)</f>
        <v>-1943</v>
      </c>
      <c r="I93" s="30">
        <f>ROUND('Sum of Billing Determinants'!J101*-1*'Rate Calculations'!$G$9*(1-'Sum of Billing Determinants'!$AC101),0)</f>
        <v>-2693</v>
      </c>
      <c r="J93" s="30">
        <f>ROUND('Sum of Billing Determinants'!K101*-1*'Rate Calculations'!$G$9*(1-'Sum of Billing Determinants'!$AC101),0)</f>
        <v>-2877</v>
      </c>
      <c r="K93" s="30">
        <f>ROUND('Sum of Billing Determinants'!L101*-1*'Rate Calculations'!$G$9*(1-'Sum of Billing Determinants'!$AC101),0)</f>
        <v>-2732</v>
      </c>
      <c r="L93" s="30">
        <f>ROUND('Sum of Billing Determinants'!M101*-1*'Rate Calculations'!$G$9*(1-'Sum of Billing Determinants'!$AC101),0)</f>
        <v>-2640</v>
      </c>
      <c r="M93" s="30">
        <f>ROUND('Sum of Billing Determinants'!N101*-1*'Rate Calculations'!$G$9*(1-'Sum of Billing Determinants'!$AC101),0)</f>
        <v>-2440</v>
      </c>
      <c r="N93" s="30">
        <f t="shared" si="1"/>
        <v>-25273</v>
      </c>
    </row>
    <row r="94" spans="2:14" ht="15">
      <c r="B94" s="26">
        <f>'Sum of Billing Determinants'!A102</f>
        <v>10285</v>
      </c>
      <c r="C94" s="26" t="str">
        <f>'Sum of Billing Determinants'!B102</f>
        <v>Okanogan County Elec Coop</v>
      </c>
      <c r="D94" s="30">
        <f>ROUND('Sum of Billing Determinants'!E102*-1*'Rate Calculations'!$G$9*(1-'Sum of Billing Determinants'!$AC102),0)</f>
        <v>-1839</v>
      </c>
      <c r="E94" s="30">
        <f>ROUND('Sum of Billing Determinants'!F102*-1*'Rate Calculations'!$G$9*(1-'Sum of Billing Determinants'!$AC102),0)</f>
        <v>-1519</v>
      </c>
      <c r="F94" s="30">
        <f>ROUND('Sum of Billing Determinants'!G102*-1*'Rate Calculations'!$G$9*(1-'Sum of Billing Determinants'!$AC102),0)</f>
        <v>-1317</v>
      </c>
      <c r="G94" s="30">
        <f>ROUND('Sum of Billing Determinants'!H102*-1*'Rate Calculations'!$G$9*(1-'Sum of Billing Determinants'!$AC102),0)</f>
        <v>-1572</v>
      </c>
      <c r="H94" s="30">
        <f>ROUND('Sum of Billing Determinants'!I102*-1*'Rate Calculations'!$G$9*(1-'Sum of Billing Determinants'!$AC102),0)</f>
        <v>-1220</v>
      </c>
      <c r="I94" s="30">
        <f>ROUND('Sum of Billing Determinants'!J102*-1*'Rate Calculations'!$G$9*(1-'Sum of Billing Determinants'!$AC102),0)</f>
        <v>-1691</v>
      </c>
      <c r="J94" s="30">
        <f>ROUND('Sum of Billing Determinants'!K102*-1*'Rate Calculations'!$G$9*(1-'Sum of Billing Determinants'!$AC102),0)</f>
        <v>-1806</v>
      </c>
      <c r="K94" s="30">
        <f>ROUND('Sum of Billing Determinants'!L102*-1*'Rate Calculations'!$G$9*(1-'Sum of Billing Determinants'!$AC102),0)</f>
        <v>-1715</v>
      </c>
      <c r="L94" s="30">
        <f>ROUND('Sum of Billing Determinants'!M102*-1*'Rate Calculations'!$G$9*(1-'Sum of Billing Determinants'!$AC102),0)</f>
        <v>-1658</v>
      </c>
      <c r="M94" s="30">
        <f>ROUND('Sum of Billing Determinants'!N102*-1*'Rate Calculations'!$G$9*(1-'Sum of Billing Determinants'!$AC102),0)</f>
        <v>-1532</v>
      </c>
      <c r="N94" s="30">
        <f t="shared" si="1"/>
        <v>-15869</v>
      </c>
    </row>
    <row r="95" spans="2:14" ht="15">
      <c r="B95" s="26">
        <f>'Sum of Billing Determinants'!A103</f>
        <v>10286</v>
      </c>
      <c r="C95" s="26" t="str">
        <f>'Sum of Billing Determinants'!B103</f>
        <v>Okanogan County PUD #1</v>
      </c>
      <c r="D95" s="30">
        <f>ROUND('Sum of Billing Determinants'!E103*-1*'Rate Calculations'!$G$9*(1-'Sum of Billing Determinants'!$AC103),0)</f>
        <v>-13942</v>
      </c>
      <c r="E95" s="30">
        <f>ROUND('Sum of Billing Determinants'!F103*-1*'Rate Calculations'!$G$9*(1-'Sum of Billing Determinants'!$AC103),0)</f>
        <v>-11515</v>
      </c>
      <c r="F95" s="30">
        <f>ROUND('Sum of Billing Determinants'!G103*-1*'Rate Calculations'!$G$9*(1-'Sum of Billing Determinants'!$AC103),0)</f>
        <v>-9980</v>
      </c>
      <c r="G95" s="30">
        <f>ROUND('Sum of Billing Determinants'!H103*-1*'Rate Calculations'!$G$9*(1-'Sum of Billing Determinants'!$AC103),0)</f>
        <v>-11915</v>
      </c>
      <c r="H95" s="30">
        <f>ROUND('Sum of Billing Determinants'!I103*-1*'Rate Calculations'!$G$9*(1-'Sum of Billing Determinants'!$AC103),0)</f>
        <v>-9250</v>
      </c>
      <c r="I95" s="30">
        <f>ROUND('Sum of Billing Determinants'!J103*-1*'Rate Calculations'!$G$9*(1-'Sum of Billing Determinants'!$AC103),0)</f>
        <v>-12816</v>
      </c>
      <c r="J95" s="30">
        <f>ROUND('Sum of Billing Determinants'!K103*-1*'Rate Calculations'!$G$9*(1-'Sum of Billing Determinants'!$AC103),0)</f>
        <v>-13694</v>
      </c>
      <c r="K95" s="30">
        <f>ROUND('Sum of Billing Determinants'!L103*-1*'Rate Calculations'!$G$9*(1-'Sum of Billing Determinants'!$AC103),0)</f>
        <v>-13002</v>
      </c>
      <c r="L95" s="30">
        <f>ROUND('Sum of Billing Determinants'!M103*-1*'Rate Calculations'!$G$9*(1-'Sum of Billing Determinants'!$AC103),0)</f>
        <v>-12565</v>
      </c>
      <c r="M95" s="30">
        <f>ROUND('Sum of Billing Determinants'!N103*-1*'Rate Calculations'!$G$9*(1-'Sum of Billing Determinants'!$AC103),0)</f>
        <v>-11612</v>
      </c>
      <c r="N95" s="30">
        <f t="shared" si="1"/>
        <v>-120291</v>
      </c>
    </row>
    <row r="96" spans="2:14" ht="15">
      <c r="B96" s="26">
        <f>'Sum of Billing Determinants'!A104</f>
        <v>10288</v>
      </c>
      <c r="C96" s="26" t="str">
        <f>'Sum of Billing Determinants'!B104</f>
        <v>Orcas P &amp; L</v>
      </c>
      <c r="D96" s="30">
        <f>ROUND('Sum of Billing Determinants'!E104*-1*'Rate Calculations'!$G$9*(1-'Sum of Billing Determinants'!$AC104),0)</f>
        <v>-7073</v>
      </c>
      <c r="E96" s="30">
        <f>ROUND('Sum of Billing Determinants'!F104*-1*'Rate Calculations'!$G$9*(1-'Sum of Billing Determinants'!$AC104),0)</f>
        <v>-5842</v>
      </c>
      <c r="F96" s="30">
        <f>ROUND('Sum of Billing Determinants'!G104*-1*'Rate Calculations'!$G$9*(1-'Sum of Billing Determinants'!$AC104),0)</f>
        <v>-5063</v>
      </c>
      <c r="G96" s="30">
        <f>ROUND('Sum of Billing Determinants'!H104*-1*'Rate Calculations'!$G$9*(1-'Sum of Billing Determinants'!$AC104),0)</f>
        <v>-6044</v>
      </c>
      <c r="H96" s="30">
        <f>ROUND('Sum of Billing Determinants'!I104*-1*'Rate Calculations'!$G$9*(1-'Sum of Billing Determinants'!$AC104),0)</f>
        <v>-4693</v>
      </c>
      <c r="I96" s="30">
        <f>ROUND('Sum of Billing Determinants'!J104*-1*'Rate Calculations'!$G$9*(1-'Sum of Billing Determinants'!$AC104),0)</f>
        <v>-6502</v>
      </c>
      <c r="J96" s="30">
        <f>ROUND('Sum of Billing Determinants'!K104*-1*'Rate Calculations'!$G$9*(1-'Sum of Billing Determinants'!$AC104),0)</f>
        <v>-6947</v>
      </c>
      <c r="K96" s="30">
        <f>ROUND('Sum of Billing Determinants'!L104*-1*'Rate Calculations'!$G$9*(1-'Sum of Billing Determinants'!$AC104),0)</f>
        <v>-6596</v>
      </c>
      <c r="L96" s="30">
        <f>ROUND('Sum of Billing Determinants'!M104*-1*'Rate Calculations'!$G$9*(1-'Sum of Billing Determinants'!$AC104),0)</f>
        <v>-6375</v>
      </c>
      <c r="M96" s="30">
        <f>ROUND('Sum of Billing Determinants'!N104*-1*'Rate Calculations'!$G$9*(1-'Sum of Billing Determinants'!$AC104),0)</f>
        <v>-5891</v>
      </c>
      <c r="N96" s="30">
        <f t="shared" si="1"/>
        <v>-61026</v>
      </c>
    </row>
    <row r="97" spans="2:14" ht="15">
      <c r="B97" s="26">
        <f>'Sum of Billing Determinants'!A105</f>
        <v>10291</v>
      </c>
      <c r="C97" s="26" t="str">
        <f>'Sum of Billing Determinants'!B105</f>
        <v>Oregon Trail Elec Coop</v>
      </c>
      <c r="D97" s="30">
        <f>ROUND('Sum of Billing Determinants'!E105*-1*'Rate Calculations'!$G$9*(1-'Sum of Billing Determinants'!$AC105),0)</f>
        <v>-22766</v>
      </c>
      <c r="E97" s="30">
        <f>ROUND('Sum of Billing Determinants'!F105*-1*'Rate Calculations'!$G$9*(1-'Sum of Billing Determinants'!$AC105),0)</f>
        <v>-18804</v>
      </c>
      <c r="F97" s="30">
        <f>ROUND('Sum of Billing Determinants'!G105*-1*'Rate Calculations'!$G$9*(1-'Sum of Billing Determinants'!$AC105),0)</f>
        <v>-16298</v>
      </c>
      <c r="G97" s="30">
        <f>ROUND('Sum of Billing Determinants'!H105*-1*'Rate Calculations'!$G$9*(1-'Sum of Billing Determinants'!$AC105),0)</f>
        <v>-19456</v>
      </c>
      <c r="H97" s="30">
        <f>ROUND('Sum of Billing Determinants'!I105*-1*'Rate Calculations'!$G$9*(1-'Sum of Billing Determinants'!$AC105),0)</f>
        <v>-15105</v>
      </c>
      <c r="I97" s="30">
        <f>ROUND('Sum of Billing Determinants'!J105*-1*'Rate Calculations'!$G$9*(1-'Sum of Billing Determinants'!$AC105),0)</f>
        <v>-20928</v>
      </c>
      <c r="J97" s="30">
        <f>ROUND('Sum of Billing Determinants'!K105*-1*'Rate Calculations'!$G$9*(1-'Sum of Billing Determinants'!$AC105),0)</f>
        <v>-22362</v>
      </c>
      <c r="K97" s="30">
        <f>ROUND('Sum of Billing Determinants'!L105*-1*'Rate Calculations'!$G$9*(1-'Sum of Billing Determinants'!$AC105),0)</f>
        <v>-21232</v>
      </c>
      <c r="L97" s="30">
        <f>ROUND('Sum of Billing Determinants'!M105*-1*'Rate Calculations'!$G$9*(1-'Sum of Billing Determinants'!$AC105),0)</f>
        <v>-20519</v>
      </c>
      <c r="M97" s="30">
        <f>ROUND('Sum of Billing Determinants'!N105*-1*'Rate Calculations'!$G$9*(1-'Sum of Billing Determinants'!$AC105),0)</f>
        <v>-18962</v>
      </c>
      <c r="N97" s="30">
        <f t="shared" si="1"/>
        <v>-196432</v>
      </c>
    </row>
    <row r="98" spans="2:14" ht="15">
      <c r="B98" s="26">
        <f>'Sum of Billing Determinants'!A106</f>
        <v>10294</v>
      </c>
      <c r="C98" s="26" t="str">
        <f>'Sum of Billing Determinants'!B106</f>
        <v>Pacific County PUD #2</v>
      </c>
      <c r="D98" s="30">
        <f>ROUND('Sum of Billing Determinants'!E106*-1*'Rate Calculations'!$G$9*(1-'Sum of Billing Determinants'!$AC106),0)</f>
        <v>-4992</v>
      </c>
      <c r="E98" s="30">
        <f>ROUND('Sum of Billing Determinants'!F106*-1*'Rate Calculations'!$G$9*(1-'Sum of Billing Determinants'!$AC106),0)</f>
        <v>-4124</v>
      </c>
      <c r="F98" s="30">
        <f>ROUND('Sum of Billing Determinants'!G106*-1*'Rate Calculations'!$G$9*(1-'Sum of Billing Determinants'!$AC106),0)</f>
        <v>-3574</v>
      </c>
      <c r="G98" s="30">
        <f>ROUND('Sum of Billing Determinants'!H106*-1*'Rate Calculations'!$G$9*(1-'Sum of Billing Determinants'!$AC106),0)</f>
        <v>-4267</v>
      </c>
      <c r="H98" s="30">
        <f>ROUND('Sum of Billing Determinants'!I106*-1*'Rate Calculations'!$G$9*(1-'Sum of Billing Determinants'!$AC106),0)</f>
        <v>-3312</v>
      </c>
      <c r="I98" s="30">
        <f>ROUND('Sum of Billing Determinants'!J106*-1*'Rate Calculations'!$G$9*(1-'Sum of Billing Determinants'!$AC106),0)</f>
        <v>-4589</v>
      </c>
      <c r="J98" s="30">
        <f>ROUND('Sum of Billing Determinants'!K106*-1*'Rate Calculations'!$G$9*(1-'Sum of Billing Determinants'!$AC106),0)</f>
        <v>-4904</v>
      </c>
      <c r="K98" s="30">
        <f>ROUND('Sum of Billing Determinants'!L106*-1*'Rate Calculations'!$G$9*(1-'Sum of Billing Determinants'!$AC106),0)</f>
        <v>-4656</v>
      </c>
      <c r="L98" s="30">
        <f>ROUND('Sum of Billing Determinants'!M106*-1*'Rate Calculations'!$G$9*(1-'Sum of Billing Determinants'!$AC106),0)</f>
        <v>-4500</v>
      </c>
      <c r="M98" s="30">
        <f>ROUND('Sum of Billing Determinants'!N106*-1*'Rate Calculations'!$G$9*(1-'Sum of Billing Determinants'!$AC106),0)</f>
        <v>-4158</v>
      </c>
      <c r="N98" s="30">
        <f t="shared" si="1"/>
        <v>-43076</v>
      </c>
    </row>
    <row r="99" spans="2:14" ht="15">
      <c r="B99" s="26">
        <f>'Sum of Billing Determinants'!A107</f>
        <v>10304</v>
      </c>
      <c r="C99" s="26" t="str">
        <f>'Sum of Billing Determinants'!B107</f>
        <v>Parkland L &amp; W</v>
      </c>
      <c r="D99" s="30">
        <f>ROUND('Sum of Billing Determinants'!E107*-1*'Rate Calculations'!$G$9*(1-'Sum of Billing Determinants'!$AC107),0)</f>
        <v>-4261</v>
      </c>
      <c r="E99" s="30">
        <f>ROUND('Sum of Billing Determinants'!F107*-1*'Rate Calculations'!$G$9*(1-'Sum of Billing Determinants'!$AC107),0)</f>
        <v>-3520</v>
      </c>
      <c r="F99" s="30">
        <f>ROUND('Sum of Billing Determinants'!G107*-1*'Rate Calculations'!$G$9*(1-'Sum of Billing Determinants'!$AC107),0)</f>
        <v>-3050</v>
      </c>
      <c r="G99" s="30">
        <f>ROUND('Sum of Billing Determinants'!H107*-1*'Rate Calculations'!$G$9*(1-'Sum of Billing Determinants'!$AC107),0)</f>
        <v>-3642</v>
      </c>
      <c r="H99" s="30">
        <f>ROUND('Sum of Billing Determinants'!I107*-1*'Rate Calculations'!$G$9*(1-'Sum of Billing Determinants'!$AC107),0)</f>
        <v>-2827</v>
      </c>
      <c r="I99" s="30">
        <f>ROUND('Sum of Billing Determinants'!J107*-1*'Rate Calculations'!$G$9*(1-'Sum of Billing Determinants'!$AC107),0)</f>
        <v>-3917</v>
      </c>
      <c r="J99" s="30">
        <f>ROUND('Sum of Billing Determinants'!K107*-1*'Rate Calculations'!$G$9*(1-'Sum of Billing Determinants'!$AC107),0)</f>
        <v>-4186</v>
      </c>
      <c r="K99" s="30">
        <f>ROUND('Sum of Billing Determinants'!L107*-1*'Rate Calculations'!$G$9*(1-'Sum of Billing Determinants'!$AC107),0)</f>
        <v>-3974</v>
      </c>
      <c r="L99" s="30">
        <f>ROUND('Sum of Billing Determinants'!M107*-1*'Rate Calculations'!$G$9*(1-'Sum of Billing Determinants'!$AC107),0)</f>
        <v>-3841</v>
      </c>
      <c r="M99" s="30">
        <f>ROUND('Sum of Billing Determinants'!N107*-1*'Rate Calculations'!$G$9*(1-'Sum of Billing Determinants'!$AC107),0)</f>
        <v>-3549</v>
      </c>
      <c r="N99" s="30">
        <f t="shared" si="1"/>
        <v>-36767</v>
      </c>
    </row>
    <row r="100" spans="2:14" ht="15">
      <c r="B100" s="26">
        <f>'Sum of Billing Determinants'!A108</f>
        <v>10306</v>
      </c>
      <c r="C100" s="26" t="str">
        <f>'Sum of Billing Determinants'!B108</f>
        <v>Pend Oreille County PUD  #1</v>
      </c>
      <c r="D100" s="30">
        <f>ROUND('Sum of Billing Determinants'!E108*-1*'Rate Calculations'!$G$9*(1-'Sum of Billing Determinants'!$AC108),0)</f>
        <v>-7472</v>
      </c>
      <c r="E100" s="30">
        <f>ROUND('Sum of Billing Determinants'!F108*-1*'Rate Calculations'!$G$9*(1-'Sum of Billing Determinants'!$AC108),0)</f>
        <v>-6171</v>
      </c>
      <c r="F100" s="30">
        <f>ROUND('Sum of Billing Determinants'!G108*-1*'Rate Calculations'!$G$9*(1-'Sum of Billing Determinants'!$AC108),0)</f>
        <v>-5349</v>
      </c>
      <c r="G100" s="30">
        <f>ROUND('Sum of Billing Determinants'!H108*-1*'Rate Calculations'!$G$9*(1-'Sum of Billing Determinants'!$AC108),0)</f>
        <v>-6385</v>
      </c>
      <c r="H100" s="30">
        <f>ROUND('Sum of Billing Determinants'!I108*-1*'Rate Calculations'!$G$9*(1-'Sum of Billing Determinants'!$AC108),0)</f>
        <v>-4957</v>
      </c>
      <c r="I100" s="30">
        <f>ROUND('Sum of Billing Determinants'!J108*-1*'Rate Calculations'!$G$9*(1-'Sum of Billing Determinants'!$AC108),0)</f>
        <v>-6868</v>
      </c>
      <c r="J100" s="30">
        <f>ROUND('Sum of Billing Determinants'!K108*-1*'Rate Calculations'!$G$9*(1-'Sum of Billing Determinants'!$AC108),0)</f>
        <v>-7339</v>
      </c>
      <c r="K100" s="30">
        <f>ROUND('Sum of Billing Determinants'!L108*-1*'Rate Calculations'!$G$9*(1-'Sum of Billing Determinants'!$AC108),0)</f>
        <v>-6968</v>
      </c>
      <c r="L100" s="30">
        <f>ROUND('Sum of Billing Determinants'!M108*-1*'Rate Calculations'!$G$9*(1-'Sum of Billing Determinants'!$AC108),0)</f>
        <v>-6734</v>
      </c>
      <c r="M100" s="30">
        <f>ROUND('Sum of Billing Determinants'!N108*-1*'Rate Calculations'!$G$9*(1-'Sum of Billing Determinants'!$AC108),0)</f>
        <v>-6223</v>
      </c>
      <c r="N100" s="30">
        <f t="shared" si="1"/>
        <v>-64466</v>
      </c>
    </row>
    <row r="101" spans="2:14" ht="15">
      <c r="B101" s="26">
        <f>'Sum of Billing Determinants'!A109</f>
        <v>10307</v>
      </c>
      <c r="C101" s="26" t="str">
        <f>'Sum of Billing Determinants'!B109</f>
        <v>Peninsula Light Company</v>
      </c>
      <c r="D101" s="30">
        <f>ROUND('Sum of Billing Determinants'!E109*-1*'Rate Calculations'!$G$9*(1-'Sum of Billing Determinants'!$AC109),0)</f>
        <v>-21688</v>
      </c>
      <c r="E101" s="30">
        <f>ROUND('Sum of Billing Determinants'!F109*-1*'Rate Calculations'!$G$9*(1-'Sum of Billing Determinants'!$AC109),0)</f>
        <v>-17914</v>
      </c>
      <c r="F101" s="30">
        <f>ROUND('Sum of Billing Determinants'!G109*-1*'Rate Calculations'!$G$9*(1-'Sum of Billing Determinants'!$AC109),0)</f>
        <v>-15526</v>
      </c>
      <c r="G101" s="30">
        <f>ROUND('Sum of Billing Determinants'!H109*-1*'Rate Calculations'!$G$9*(1-'Sum of Billing Determinants'!$AC109),0)</f>
        <v>-18535</v>
      </c>
      <c r="H101" s="30">
        <f>ROUND('Sum of Billing Determinants'!I109*-1*'Rate Calculations'!$G$9*(1-'Sum of Billing Determinants'!$AC109),0)</f>
        <v>-14390</v>
      </c>
      <c r="I101" s="30">
        <f>ROUND('Sum of Billing Determinants'!J109*-1*'Rate Calculations'!$G$9*(1-'Sum of Billing Determinants'!$AC109),0)</f>
        <v>-19938</v>
      </c>
      <c r="J101" s="30">
        <f>ROUND('Sum of Billing Determinants'!K109*-1*'Rate Calculations'!$G$9*(1-'Sum of Billing Determinants'!$AC109),0)</f>
        <v>-21304</v>
      </c>
      <c r="K101" s="30">
        <f>ROUND('Sum of Billing Determinants'!L109*-1*'Rate Calculations'!$G$9*(1-'Sum of Billing Determinants'!$AC109),0)</f>
        <v>-20227</v>
      </c>
      <c r="L101" s="30">
        <f>ROUND('Sum of Billing Determinants'!M109*-1*'Rate Calculations'!$G$9*(1-'Sum of Billing Determinants'!$AC109),0)</f>
        <v>-19548</v>
      </c>
      <c r="M101" s="30">
        <f>ROUND('Sum of Billing Determinants'!N109*-1*'Rate Calculations'!$G$9*(1-'Sum of Billing Determinants'!$AC109),0)</f>
        <v>-18064</v>
      </c>
      <c r="N101" s="30">
        <f t="shared" si="1"/>
        <v>-187134</v>
      </c>
    </row>
    <row r="102" spans="2:14" ht="15">
      <c r="B102" s="26">
        <f>'Sum of Billing Determinants'!A110</f>
        <v>10326</v>
      </c>
      <c r="C102" s="26" t="str">
        <f>'Sum of Billing Determinants'!B110</f>
        <v>U.S. Naval Base,  Bremerton</v>
      </c>
      <c r="D102" s="30">
        <f>ROUND('Sum of Billing Determinants'!E110*-1*'Rate Calculations'!$G$9*(1-'Sum of Billing Determinants'!$AC110),0)</f>
        <v>-9249</v>
      </c>
      <c r="E102" s="30">
        <f>ROUND('Sum of Billing Determinants'!F110*-1*'Rate Calculations'!$G$9*(1-'Sum of Billing Determinants'!$AC110),0)</f>
        <v>-7640</v>
      </c>
      <c r="F102" s="30">
        <f>ROUND('Sum of Billing Determinants'!G110*-1*'Rate Calculations'!$G$9*(1-'Sum of Billing Determinants'!$AC110),0)</f>
        <v>-6621</v>
      </c>
      <c r="G102" s="30">
        <f>ROUND('Sum of Billing Determinants'!H110*-1*'Rate Calculations'!$G$9*(1-'Sum of Billing Determinants'!$AC110),0)</f>
        <v>-7905</v>
      </c>
      <c r="H102" s="30">
        <f>ROUND('Sum of Billing Determinants'!I110*-1*'Rate Calculations'!$G$9*(1-'Sum of Billing Determinants'!$AC110),0)</f>
        <v>-6137</v>
      </c>
      <c r="I102" s="30">
        <f>ROUND('Sum of Billing Determinants'!J110*-1*'Rate Calculations'!$G$9*(1-'Sum of Billing Determinants'!$AC110),0)</f>
        <v>-8503</v>
      </c>
      <c r="J102" s="30">
        <f>ROUND('Sum of Billing Determinants'!K110*-1*'Rate Calculations'!$G$9*(1-'Sum of Billing Determinants'!$AC110),0)</f>
        <v>-9085</v>
      </c>
      <c r="K102" s="30">
        <f>ROUND('Sum of Billing Determinants'!L110*-1*'Rate Calculations'!$G$9*(1-'Sum of Billing Determinants'!$AC110),0)</f>
        <v>-8626</v>
      </c>
      <c r="L102" s="30">
        <f>ROUND('Sum of Billing Determinants'!M110*-1*'Rate Calculations'!$G$9*(1-'Sum of Billing Determinants'!$AC110),0)</f>
        <v>-8336</v>
      </c>
      <c r="M102" s="30">
        <f>ROUND('Sum of Billing Determinants'!N110*-1*'Rate Calculations'!$G$9*(1-'Sum of Billing Determinants'!$AC110),0)</f>
        <v>-7704</v>
      </c>
      <c r="N102" s="30">
        <f t="shared" si="1"/>
        <v>-79806</v>
      </c>
    </row>
    <row r="103" spans="2:14" ht="15">
      <c r="B103" s="26">
        <f>'Sum of Billing Determinants'!A111</f>
        <v>10331</v>
      </c>
      <c r="C103" s="26" t="str">
        <f>'Sum of Billing Determinants'!B111</f>
        <v>Raft River Elec Coop</v>
      </c>
      <c r="D103" s="30">
        <f>ROUND('Sum of Billing Determinants'!E111*-1*'Rate Calculations'!$G$9*(1-'Sum of Billing Determinants'!$AC111),0)</f>
        <v>-10326</v>
      </c>
      <c r="E103" s="30">
        <f>ROUND('Sum of Billing Determinants'!F111*-1*'Rate Calculations'!$G$9*(1-'Sum of Billing Determinants'!$AC111),0)</f>
        <v>-8529</v>
      </c>
      <c r="F103" s="30">
        <f>ROUND('Sum of Billing Determinants'!G111*-1*'Rate Calculations'!$G$9*(1-'Sum of Billing Determinants'!$AC111),0)</f>
        <v>-7392</v>
      </c>
      <c r="G103" s="30">
        <f>ROUND('Sum of Billing Determinants'!H111*-1*'Rate Calculations'!$G$9*(1-'Sum of Billing Determinants'!$AC111),0)</f>
        <v>-8824</v>
      </c>
      <c r="H103" s="30">
        <f>ROUND('Sum of Billing Determinants'!I111*-1*'Rate Calculations'!$G$9*(1-'Sum of Billing Determinants'!$AC111),0)</f>
        <v>-6851</v>
      </c>
      <c r="I103" s="30">
        <f>ROUND('Sum of Billing Determinants'!J111*-1*'Rate Calculations'!$G$9*(1-'Sum of Billing Determinants'!$AC111),0)</f>
        <v>-9492</v>
      </c>
      <c r="J103" s="30">
        <f>ROUND('Sum of Billing Determinants'!K111*-1*'Rate Calculations'!$G$9*(1-'Sum of Billing Determinants'!$AC111),0)</f>
        <v>-10143</v>
      </c>
      <c r="K103" s="30">
        <f>ROUND('Sum of Billing Determinants'!L111*-1*'Rate Calculations'!$G$9*(1-'Sum of Billing Determinants'!$AC111),0)</f>
        <v>-9630</v>
      </c>
      <c r="L103" s="30">
        <f>ROUND('Sum of Billing Determinants'!M111*-1*'Rate Calculations'!$G$9*(1-'Sum of Billing Determinants'!$AC111),0)</f>
        <v>-9307</v>
      </c>
      <c r="M103" s="30">
        <f>ROUND('Sum of Billing Determinants'!N111*-1*'Rate Calculations'!$G$9*(1-'Sum of Billing Determinants'!$AC111),0)</f>
        <v>-8600</v>
      </c>
      <c r="N103" s="30">
        <f t="shared" si="1"/>
        <v>-89094</v>
      </c>
    </row>
    <row r="104" spans="2:14" ht="15">
      <c r="B104" s="26">
        <f>'Sum of Billing Determinants'!A112</f>
        <v>10333</v>
      </c>
      <c r="C104" s="26" t="str">
        <f>'Sum of Billing Determinants'!B112</f>
        <v>Ravalli County Elec Coop</v>
      </c>
      <c r="D104" s="30">
        <f>ROUND('Sum of Billing Determinants'!E112*-1*'Rate Calculations'!$G$9*(1-'Sum of Billing Determinants'!$AC112),0)</f>
        <v>-5263</v>
      </c>
      <c r="E104" s="30">
        <f>ROUND('Sum of Billing Determinants'!F112*-1*'Rate Calculations'!$G$9*(1-'Sum of Billing Determinants'!$AC112),0)</f>
        <v>-4347</v>
      </c>
      <c r="F104" s="30">
        <f>ROUND('Sum of Billing Determinants'!G112*-1*'Rate Calculations'!$G$9*(1-'Sum of Billing Determinants'!$AC112),0)</f>
        <v>-3768</v>
      </c>
      <c r="G104" s="30">
        <f>ROUND('Sum of Billing Determinants'!H112*-1*'Rate Calculations'!$G$9*(1-'Sum of Billing Determinants'!$AC112),0)</f>
        <v>-4498</v>
      </c>
      <c r="H104" s="30">
        <f>ROUND('Sum of Billing Determinants'!I112*-1*'Rate Calculations'!$G$9*(1-'Sum of Billing Determinants'!$AC112),0)</f>
        <v>-3492</v>
      </c>
      <c r="I104" s="30">
        <f>ROUND('Sum of Billing Determinants'!J112*-1*'Rate Calculations'!$G$9*(1-'Sum of Billing Determinants'!$AC112),0)</f>
        <v>-4838</v>
      </c>
      <c r="J104" s="30">
        <f>ROUND('Sum of Billing Determinants'!K112*-1*'Rate Calculations'!$G$9*(1-'Sum of Billing Determinants'!$AC112),0)</f>
        <v>-5170</v>
      </c>
      <c r="K104" s="30">
        <f>ROUND('Sum of Billing Determinants'!L112*-1*'Rate Calculations'!$G$9*(1-'Sum of Billing Determinants'!$AC112),0)</f>
        <v>-4909</v>
      </c>
      <c r="L104" s="30">
        <f>ROUND('Sum of Billing Determinants'!M112*-1*'Rate Calculations'!$G$9*(1-'Sum of Billing Determinants'!$AC112),0)</f>
        <v>-4744</v>
      </c>
      <c r="M104" s="30">
        <f>ROUND('Sum of Billing Determinants'!N112*-1*'Rate Calculations'!$G$9*(1-'Sum of Billing Determinants'!$AC112),0)</f>
        <v>-4384</v>
      </c>
      <c r="N104" s="30">
        <f t="shared" si="1"/>
        <v>-45413</v>
      </c>
    </row>
    <row r="105" spans="2:14" ht="15">
      <c r="B105" s="26">
        <f>'Sum of Billing Determinants'!A113</f>
        <v>10338</v>
      </c>
      <c r="C105" s="26" t="str">
        <f>'Sum of Billing Determinants'!B113</f>
        <v>Riverside Elec Coop</v>
      </c>
      <c r="D105" s="30">
        <f>ROUND('Sum of Billing Determinants'!E113*-1*'Rate Calculations'!$G$9*(1-'Sum of Billing Determinants'!$AC113),0)</f>
        <v>-692</v>
      </c>
      <c r="E105" s="30">
        <f>ROUND('Sum of Billing Determinants'!F113*-1*'Rate Calculations'!$G$9*(1-'Sum of Billing Determinants'!$AC113),0)</f>
        <v>-572</v>
      </c>
      <c r="F105" s="30">
        <f>ROUND('Sum of Billing Determinants'!G113*-1*'Rate Calculations'!$G$9*(1-'Sum of Billing Determinants'!$AC113),0)</f>
        <v>-495</v>
      </c>
      <c r="G105" s="30">
        <f>ROUND('Sum of Billing Determinants'!H113*-1*'Rate Calculations'!$G$9*(1-'Sum of Billing Determinants'!$AC113),0)</f>
        <v>-591</v>
      </c>
      <c r="H105" s="30">
        <f>ROUND('Sum of Billing Determinants'!I113*-1*'Rate Calculations'!$G$9*(1-'Sum of Billing Determinants'!$AC113),0)</f>
        <v>-459</v>
      </c>
      <c r="I105" s="30">
        <f>ROUND('Sum of Billing Determinants'!J113*-1*'Rate Calculations'!$G$9*(1-'Sum of Billing Determinants'!$AC113),0)</f>
        <v>-636</v>
      </c>
      <c r="J105" s="30">
        <f>ROUND('Sum of Billing Determinants'!K113*-1*'Rate Calculations'!$G$9*(1-'Sum of Billing Determinants'!$AC113),0)</f>
        <v>-680</v>
      </c>
      <c r="K105" s="30">
        <f>ROUND('Sum of Billing Determinants'!L113*-1*'Rate Calculations'!$G$9*(1-'Sum of Billing Determinants'!$AC113),0)</f>
        <v>-645</v>
      </c>
      <c r="L105" s="30">
        <f>ROUND('Sum of Billing Determinants'!M113*-1*'Rate Calculations'!$G$9*(1-'Sum of Billing Determinants'!$AC113),0)</f>
        <v>-624</v>
      </c>
      <c r="M105" s="30">
        <f>ROUND('Sum of Billing Determinants'!N113*-1*'Rate Calculations'!$G$9*(1-'Sum of Billing Determinants'!$AC113),0)</f>
        <v>-576</v>
      </c>
      <c r="N105" s="30">
        <f t="shared" si="1"/>
        <v>-5970</v>
      </c>
    </row>
    <row r="106" spans="2:14" ht="15">
      <c r="B106" s="26">
        <f>'Sum of Billing Determinants'!A114</f>
        <v>10342</v>
      </c>
      <c r="C106" s="26" t="str">
        <f>'Sum of Billing Determinants'!B114</f>
        <v>Salem Elec Coop</v>
      </c>
      <c r="D106" s="30">
        <f>ROUND('Sum of Billing Determinants'!E114*-1*'Rate Calculations'!$G$9*(1-'Sum of Billing Determinants'!$AC114),0)</f>
        <v>-11749</v>
      </c>
      <c r="E106" s="30">
        <f>ROUND('Sum of Billing Determinants'!F114*-1*'Rate Calculations'!$G$9*(1-'Sum of Billing Determinants'!$AC114),0)</f>
        <v>-9704</v>
      </c>
      <c r="F106" s="30">
        <f>ROUND('Sum of Billing Determinants'!G114*-1*'Rate Calculations'!$G$9*(1-'Sum of Billing Determinants'!$AC114),0)</f>
        <v>-8411</v>
      </c>
      <c r="G106" s="30">
        <f>ROUND('Sum of Billing Determinants'!H114*-1*'Rate Calculations'!$G$9*(1-'Sum of Billing Determinants'!$AC114),0)</f>
        <v>-10041</v>
      </c>
      <c r="H106" s="30">
        <f>ROUND('Sum of Billing Determinants'!I114*-1*'Rate Calculations'!$G$9*(1-'Sum of Billing Determinants'!$AC114),0)</f>
        <v>-7795</v>
      </c>
      <c r="I106" s="30">
        <f>ROUND('Sum of Billing Determinants'!J114*-1*'Rate Calculations'!$G$9*(1-'Sum of Billing Determinants'!$AC114),0)</f>
        <v>-10800</v>
      </c>
      <c r="J106" s="30">
        <f>ROUND('Sum of Billing Determinants'!K114*-1*'Rate Calculations'!$G$9*(1-'Sum of Billing Determinants'!$AC114),0)</f>
        <v>-11540</v>
      </c>
      <c r="K106" s="30">
        <f>ROUND('Sum of Billing Determinants'!L114*-1*'Rate Calculations'!$G$9*(1-'Sum of Billing Determinants'!$AC114),0)</f>
        <v>-10957</v>
      </c>
      <c r="L106" s="30">
        <f>ROUND('Sum of Billing Determinants'!M114*-1*'Rate Calculations'!$G$9*(1-'Sum of Billing Determinants'!$AC114),0)</f>
        <v>-10589</v>
      </c>
      <c r="M106" s="30">
        <f>ROUND('Sum of Billing Determinants'!N114*-1*'Rate Calculations'!$G$9*(1-'Sum of Billing Determinants'!$AC114),0)</f>
        <v>-9786</v>
      </c>
      <c r="N106" s="30">
        <f t="shared" si="1"/>
        <v>-101372</v>
      </c>
    </row>
    <row r="107" spans="2:14" ht="15">
      <c r="B107" s="26">
        <f>'Sum of Billing Determinants'!A115</f>
        <v>10343</v>
      </c>
      <c r="C107" s="26" t="str">
        <f>'Sum of Billing Determinants'!B115</f>
        <v>Salmon River Elec Coop</v>
      </c>
      <c r="D107" s="30">
        <f>ROUND('Sum of Billing Determinants'!E115*-1*'Rate Calculations'!$G$9*(1-'Sum of Billing Determinants'!$AC115),0)</f>
        <v>-3557</v>
      </c>
      <c r="E107" s="30">
        <f>ROUND('Sum of Billing Determinants'!F115*-1*'Rate Calculations'!$G$9*(1-'Sum of Billing Determinants'!$AC115),0)</f>
        <v>-2938</v>
      </c>
      <c r="F107" s="30">
        <f>ROUND('Sum of Billing Determinants'!G115*-1*'Rate Calculations'!$G$9*(1-'Sum of Billing Determinants'!$AC115),0)</f>
        <v>-2547</v>
      </c>
      <c r="G107" s="30">
        <f>ROUND('Sum of Billing Determinants'!H115*-1*'Rate Calculations'!$G$9*(1-'Sum of Billing Determinants'!$AC115),0)</f>
        <v>-3040</v>
      </c>
      <c r="H107" s="30">
        <f>ROUND('Sum of Billing Determinants'!I115*-1*'Rate Calculations'!$G$9*(1-'Sum of Billing Determinants'!$AC115),0)</f>
        <v>-2360</v>
      </c>
      <c r="I107" s="30">
        <f>ROUND('Sum of Billing Determinants'!J115*-1*'Rate Calculations'!$G$9*(1-'Sum of Billing Determinants'!$AC115),0)</f>
        <v>-3270</v>
      </c>
      <c r="J107" s="30">
        <f>ROUND('Sum of Billing Determinants'!K115*-1*'Rate Calculations'!$G$9*(1-'Sum of Billing Determinants'!$AC115),0)</f>
        <v>-3494</v>
      </c>
      <c r="K107" s="30">
        <f>ROUND('Sum of Billing Determinants'!L115*-1*'Rate Calculations'!$G$9*(1-'Sum of Billing Determinants'!$AC115),0)</f>
        <v>-3318</v>
      </c>
      <c r="L107" s="30">
        <f>ROUND('Sum of Billing Determinants'!M115*-1*'Rate Calculations'!$G$9*(1-'Sum of Billing Determinants'!$AC115),0)</f>
        <v>-3206</v>
      </c>
      <c r="M107" s="30">
        <f>ROUND('Sum of Billing Determinants'!N115*-1*'Rate Calculations'!$G$9*(1-'Sum of Billing Determinants'!$AC115),0)</f>
        <v>-2963</v>
      </c>
      <c r="N107" s="30">
        <f t="shared" si="1"/>
        <v>-30693</v>
      </c>
    </row>
    <row r="108" spans="2:14" ht="15">
      <c r="B108" s="26">
        <f>'Sum of Billing Determinants'!A116</f>
        <v>10349</v>
      </c>
      <c r="C108" s="26" t="str">
        <f>'Sum of Billing Determinants'!B116</f>
        <v>Seattle City Light</v>
      </c>
      <c r="D108" s="30">
        <f>ROUND('Sum of Billing Determinants'!E116*-1*'Rate Calculations'!$G$9*(1-'Sum of Billing Determinants'!$AC116),0)</f>
        <v>-137083</v>
      </c>
      <c r="E108" s="30">
        <f>ROUND('Sum of Billing Determinants'!F116*-1*'Rate Calculations'!$G$9*(1-'Sum of Billing Determinants'!$AC116),0)</f>
        <v>-113225</v>
      </c>
      <c r="F108" s="30">
        <f>ROUND('Sum of Billing Determinants'!G116*-1*'Rate Calculations'!$G$9*(1-'Sum of Billing Determinants'!$AC116),0)</f>
        <v>-98135</v>
      </c>
      <c r="G108" s="30">
        <f>ROUND('Sum of Billing Determinants'!H116*-1*'Rate Calculations'!$G$9*(1-'Sum of Billing Determinants'!$AC116),0)</f>
        <v>-117153</v>
      </c>
      <c r="H108" s="30">
        <f>ROUND('Sum of Billing Determinants'!I116*-1*'Rate Calculations'!$G$9*(1-'Sum of Billing Determinants'!$AC116),0)</f>
        <v>-90954</v>
      </c>
      <c r="I108" s="30">
        <f>ROUND('Sum of Billing Determinants'!J116*-1*'Rate Calculations'!$G$9*(1-'Sum of Billing Determinants'!$AC116),0)</f>
        <v>-126017</v>
      </c>
      <c r="J108" s="30">
        <f>ROUND('Sum of Billing Determinants'!K116*-1*'Rate Calculations'!$G$9*(1-'Sum of Billing Determinants'!$AC116),0)</f>
        <v>-134652</v>
      </c>
      <c r="K108" s="30">
        <f>ROUND('Sum of Billing Determinants'!L116*-1*'Rate Calculations'!$G$9*(1-'Sum of Billing Determinants'!$AC116),0)</f>
        <v>-127846</v>
      </c>
      <c r="L108" s="30">
        <f>ROUND('Sum of Billing Determinants'!M116*-1*'Rate Calculations'!$G$9*(1-'Sum of Billing Determinants'!$AC116),0)</f>
        <v>-123553</v>
      </c>
      <c r="M108" s="30">
        <f>ROUND('Sum of Billing Determinants'!N116*-1*'Rate Calculations'!$G$9*(1-'Sum of Billing Determinants'!$AC116),0)</f>
        <v>-114176</v>
      </c>
      <c r="N108" s="30">
        <f t="shared" si="1"/>
        <v>-1182794</v>
      </c>
    </row>
    <row r="109" spans="2:14" ht="15">
      <c r="B109" s="26">
        <f>'Sum of Billing Determinants'!A117</f>
        <v>10352</v>
      </c>
      <c r="C109" s="26" t="str">
        <f>'Sum of Billing Determinants'!B117</f>
        <v>Skamania County PUD #1</v>
      </c>
      <c r="D109" s="30">
        <f>ROUND('Sum of Billing Determinants'!E117*-1*'Rate Calculations'!$G$9*(1-'Sum of Billing Determinants'!$AC117),0)</f>
        <v>-4587</v>
      </c>
      <c r="E109" s="30">
        <f>ROUND('Sum of Billing Determinants'!F117*-1*'Rate Calculations'!$G$9*(1-'Sum of Billing Determinants'!$AC117),0)</f>
        <v>-3788</v>
      </c>
      <c r="F109" s="30">
        <f>ROUND('Sum of Billing Determinants'!G117*-1*'Rate Calculations'!$G$9*(1-'Sum of Billing Determinants'!$AC117),0)</f>
        <v>-3283</v>
      </c>
      <c r="G109" s="30">
        <f>ROUND('Sum of Billing Determinants'!H117*-1*'Rate Calculations'!$G$9*(1-'Sum of Billing Determinants'!$AC117),0)</f>
        <v>-3920</v>
      </c>
      <c r="H109" s="30">
        <f>ROUND('Sum of Billing Determinants'!I117*-1*'Rate Calculations'!$G$9*(1-'Sum of Billing Determinants'!$AC117),0)</f>
        <v>-3043</v>
      </c>
      <c r="I109" s="30">
        <f>ROUND('Sum of Billing Determinants'!J117*-1*'Rate Calculations'!$G$9*(1-'Sum of Billing Determinants'!$AC117),0)</f>
        <v>-4216</v>
      </c>
      <c r="J109" s="30">
        <f>ROUND('Sum of Billing Determinants'!K117*-1*'Rate Calculations'!$G$9*(1-'Sum of Billing Determinants'!$AC117),0)</f>
        <v>-4505</v>
      </c>
      <c r="K109" s="30">
        <f>ROUND('Sum of Billing Determinants'!L117*-1*'Rate Calculations'!$G$9*(1-'Sum of Billing Determinants'!$AC117),0)</f>
        <v>-4277</v>
      </c>
      <c r="L109" s="30">
        <f>ROUND('Sum of Billing Determinants'!M117*-1*'Rate Calculations'!$G$9*(1-'Sum of Billing Determinants'!$AC117),0)</f>
        <v>-4134</v>
      </c>
      <c r="M109" s="30">
        <f>ROUND('Sum of Billing Determinants'!N117*-1*'Rate Calculations'!$G$9*(1-'Sum of Billing Determinants'!$AC117),0)</f>
        <v>-3820</v>
      </c>
      <c r="N109" s="30">
        <f t="shared" si="1"/>
        <v>-39573</v>
      </c>
    </row>
    <row r="110" spans="2:14" ht="15">
      <c r="B110" s="26">
        <f>'Sum of Billing Determinants'!A118</f>
        <v>10354</v>
      </c>
      <c r="C110" s="26" t="str">
        <f>'Sum of Billing Determinants'!B118</f>
        <v>Snohomish County PUD #1</v>
      </c>
      <c r="D110" s="30">
        <f>ROUND('Sum of Billing Determinants'!E118*-1*'Rate Calculations'!$G$9*(1-'Sum of Billing Determinants'!$AC118),0)</f>
        <v>-111999</v>
      </c>
      <c r="E110" s="30">
        <f>ROUND('Sum of Billing Determinants'!F118*-1*'Rate Calculations'!$G$9*(1-'Sum of Billing Determinants'!$AC118),0)</f>
        <v>-92507</v>
      </c>
      <c r="F110" s="30">
        <f>ROUND('Sum of Billing Determinants'!G118*-1*'Rate Calculations'!$G$9*(1-'Sum of Billing Determinants'!$AC118),0)</f>
        <v>-80178</v>
      </c>
      <c r="G110" s="30">
        <f>ROUND('Sum of Billing Determinants'!H118*-1*'Rate Calculations'!$G$9*(1-'Sum of Billing Determinants'!$AC118),0)</f>
        <v>-95716</v>
      </c>
      <c r="H110" s="30">
        <f>ROUND('Sum of Billing Determinants'!I118*-1*'Rate Calculations'!$G$9*(1-'Sum of Billing Determinants'!$AC118),0)</f>
        <v>-74311</v>
      </c>
      <c r="I110" s="30">
        <f>ROUND('Sum of Billing Determinants'!J118*-1*'Rate Calculations'!$G$9*(1-'Sum of Billing Determinants'!$AC118),0)</f>
        <v>-102958</v>
      </c>
      <c r="J110" s="30">
        <f>ROUND('Sum of Billing Determinants'!K118*-1*'Rate Calculations'!$G$9*(1-'Sum of Billing Determinants'!$AC118),0)</f>
        <v>-110013</v>
      </c>
      <c r="K110" s="30">
        <f>ROUND('Sum of Billing Determinants'!L118*-1*'Rate Calculations'!$G$9*(1-'Sum of Billing Determinants'!$AC118),0)</f>
        <v>-104452</v>
      </c>
      <c r="L110" s="30">
        <f>ROUND('Sum of Billing Determinants'!M118*-1*'Rate Calculations'!$G$9*(1-'Sum of Billing Determinants'!$AC118),0)</f>
        <v>-100945</v>
      </c>
      <c r="M110" s="30">
        <f>ROUND('Sum of Billing Determinants'!N118*-1*'Rate Calculations'!$G$9*(1-'Sum of Billing Determinants'!$AC118),0)</f>
        <v>-93284</v>
      </c>
      <c r="N110" s="30">
        <f t="shared" si="1"/>
        <v>-966363</v>
      </c>
    </row>
    <row r="111" spans="2:14" ht="15">
      <c r="B111" s="26">
        <f>'Sum of Billing Determinants'!A119</f>
        <v>10360</v>
      </c>
      <c r="C111" s="26" t="str">
        <f>'Sum of Billing Determinants'!B119</f>
        <v>South Side Elec</v>
      </c>
      <c r="D111" s="30">
        <f>ROUND('Sum of Billing Determinants'!E119*-1*'Rate Calculations'!$G$9*(1-'Sum of Billing Determinants'!$AC119),0)</f>
        <v>-1951</v>
      </c>
      <c r="E111" s="30">
        <f>ROUND('Sum of Billing Determinants'!F119*-1*'Rate Calculations'!$G$9*(1-'Sum of Billing Determinants'!$AC119),0)</f>
        <v>-1611</v>
      </c>
      <c r="F111" s="30">
        <f>ROUND('Sum of Billing Determinants'!G119*-1*'Rate Calculations'!$G$9*(1-'Sum of Billing Determinants'!$AC119),0)</f>
        <v>-1397</v>
      </c>
      <c r="G111" s="30">
        <f>ROUND('Sum of Billing Determinants'!H119*-1*'Rate Calculations'!$G$9*(1-'Sum of Billing Determinants'!$AC119),0)</f>
        <v>-1667</v>
      </c>
      <c r="H111" s="30">
        <f>ROUND('Sum of Billing Determinants'!I119*-1*'Rate Calculations'!$G$9*(1-'Sum of Billing Determinants'!$AC119),0)</f>
        <v>-1294</v>
      </c>
      <c r="I111" s="30">
        <f>ROUND('Sum of Billing Determinants'!J119*-1*'Rate Calculations'!$G$9*(1-'Sum of Billing Determinants'!$AC119),0)</f>
        <v>-1793</v>
      </c>
      <c r="J111" s="30">
        <f>ROUND('Sum of Billing Determinants'!K119*-1*'Rate Calculations'!$G$9*(1-'Sum of Billing Determinants'!$AC119),0)</f>
        <v>-1916</v>
      </c>
      <c r="K111" s="30">
        <f>ROUND('Sum of Billing Determinants'!L119*-1*'Rate Calculations'!$G$9*(1-'Sum of Billing Determinants'!$AC119),0)</f>
        <v>-1819</v>
      </c>
      <c r="L111" s="30">
        <f>ROUND('Sum of Billing Determinants'!M119*-1*'Rate Calculations'!$G$9*(1-'Sum of Billing Determinants'!$AC119),0)</f>
        <v>-1758</v>
      </c>
      <c r="M111" s="30">
        <f>ROUND('Sum of Billing Determinants'!N119*-1*'Rate Calculations'!$G$9*(1-'Sum of Billing Determinants'!$AC119),0)</f>
        <v>-1625</v>
      </c>
      <c r="N111" s="30">
        <f t="shared" si="1"/>
        <v>-16831</v>
      </c>
    </row>
    <row r="112" spans="2:14" ht="15">
      <c r="B112" s="26">
        <f>'Sum of Billing Determinants'!A120</f>
        <v>10363</v>
      </c>
      <c r="C112" s="26" t="str">
        <f>'Sum of Billing Determinants'!B120</f>
        <v>Springfield Utility Board</v>
      </c>
      <c r="D112" s="30">
        <f>ROUND('Sum of Billing Determinants'!E120*-1*'Rate Calculations'!$G$9*(1-'Sum of Billing Determinants'!$AC120),0)</f>
        <v>-29006</v>
      </c>
      <c r="E112" s="30">
        <f>ROUND('Sum of Billing Determinants'!F120*-1*'Rate Calculations'!$G$9*(1-'Sum of Billing Determinants'!$AC120),0)</f>
        <v>-23957</v>
      </c>
      <c r="F112" s="30">
        <f>ROUND('Sum of Billing Determinants'!G120*-1*'Rate Calculations'!$G$9*(1-'Sum of Billing Determinants'!$AC120),0)</f>
        <v>-20764</v>
      </c>
      <c r="G112" s="30">
        <f>ROUND('Sum of Billing Determinants'!H120*-1*'Rate Calculations'!$G$9*(1-'Sum of Billing Determinants'!$AC120),0)</f>
        <v>-24789</v>
      </c>
      <c r="H112" s="30">
        <f>ROUND('Sum of Billing Determinants'!I120*-1*'Rate Calculations'!$G$9*(1-'Sum of Billing Determinants'!$AC120),0)</f>
        <v>-19245</v>
      </c>
      <c r="I112" s="30">
        <f>ROUND('Sum of Billing Determinants'!J120*-1*'Rate Calculations'!$G$9*(1-'Sum of Billing Determinants'!$AC120),0)</f>
        <v>-26664</v>
      </c>
      <c r="J112" s="30">
        <f>ROUND('Sum of Billing Determinants'!K120*-1*'Rate Calculations'!$G$9*(1-'Sum of Billing Determinants'!$AC120),0)</f>
        <v>-28491</v>
      </c>
      <c r="K112" s="30">
        <f>ROUND('Sum of Billing Determinants'!L120*-1*'Rate Calculations'!$G$9*(1-'Sum of Billing Determinants'!$AC120),0)</f>
        <v>-27051</v>
      </c>
      <c r="L112" s="30">
        <f>ROUND('Sum of Billing Determinants'!M120*-1*'Rate Calculations'!$G$9*(1-'Sum of Billing Determinants'!$AC120),0)</f>
        <v>-26143</v>
      </c>
      <c r="M112" s="30">
        <f>ROUND('Sum of Billing Determinants'!N120*-1*'Rate Calculations'!$G$9*(1-'Sum of Billing Determinants'!$AC120),0)</f>
        <v>-24159</v>
      </c>
      <c r="N112" s="30">
        <f t="shared" si="1"/>
        <v>-250269</v>
      </c>
    </row>
    <row r="113" spans="2:14" ht="15">
      <c r="B113" s="26">
        <f>'Sum of Billing Determinants'!A121</f>
        <v>10369</v>
      </c>
      <c r="C113" s="26" t="str">
        <f>'Sum of Billing Determinants'!B121</f>
        <v>Surprise Valley Elec Coop</v>
      </c>
      <c r="D113" s="30">
        <f>ROUND('Sum of Billing Determinants'!E121*-1*'Rate Calculations'!$G$9*(1-'Sum of Billing Determinants'!$AC121),0)</f>
        <v>-4607</v>
      </c>
      <c r="E113" s="30">
        <f>ROUND('Sum of Billing Determinants'!F121*-1*'Rate Calculations'!$G$9*(1-'Sum of Billing Determinants'!$AC121),0)</f>
        <v>-3806</v>
      </c>
      <c r="F113" s="30">
        <f>ROUND('Sum of Billing Determinants'!G121*-1*'Rate Calculations'!$G$9*(1-'Sum of Billing Determinants'!$AC121),0)</f>
        <v>-3298</v>
      </c>
      <c r="G113" s="30">
        <f>ROUND('Sum of Billing Determinants'!H121*-1*'Rate Calculations'!$G$9*(1-'Sum of Billing Determinants'!$AC121),0)</f>
        <v>-3938</v>
      </c>
      <c r="H113" s="30">
        <f>ROUND('Sum of Billing Determinants'!I121*-1*'Rate Calculations'!$G$9*(1-'Sum of Billing Determinants'!$AC121),0)</f>
        <v>-3057</v>
      </c>
      <c r="I113" s="30">
        <f>ROUND('Sum of Billing Determinants'!J121*-1*'Rate Calculations'!$G$9*(1-'Sum of Billing Determinants'!$AC121),0)</f>
        <v>-4236</v>
      </c>
      <c r="J113" s="30">
        <f>ROUND('Sum of Billing Determinants'!K121*-1*'Rate Calculations'!$G$9*(1-'Sum of Billing Determinants'!$AC121),0)</f>
        <v>-4526</v>
      </c>
      <c r="K113" s="30">
        <f>ROUND('Sum of Billing Determinants'!L121*-1*'Rate Calculations'!$G$9*(1-'Sum of Billing Determinants'!$AC121),0)</f>
        <v>-4297</v>
      </c>
      <c r="L113" s="30">
        <f>ROUND('Sum of Billing Determinants'!M121*-1*'Rate Calculations'!$G$9*(1-'Sum of Billing Determinants'!$AC121),0)</f>
        <v>-4153</v>
      </c>
      <c r="M113" s="30">
        <f>ROUND('Sum of Billing Determinants'!N121*-1*'Rate Calculations'!$G$9*(1-'Sum of Billing Determinants'!$AC121),0)</f>
        <v>-3838</v>
      </c>
      <c r="N113" s="30">
        <f t="shared" si="1"/>
        <v>-39756</v>
      </c>
    </row>
    <row r="114" spans="2:14" ht="15">
      <c r="B114" s="26">
        <f>'Sum of Billing Determinants'!A122</f>
        <v>10370</v>
      </c>
      <c r="C114" s="26" t="str">
        <f>'Sum of Billing Determinants'!B122</f>
        <v>Tacoma Public Utilities</v>
      </c>
      <c r="D114" s="30">
        <f>ROUND('Sum of Billing Determinants'!E122*-1*'Rate Calculations'!$G$9*(1-'Sum of Billing Determinants'!$AC122),0)</f>
        <v>-57916</v>
      </c>
      <c r="E114" s="30">
        <f>ROUND('Sum of Billing Determinants'!F122*-1*'Rate Calculations'!$G$9*(1-'Sum of Billing Determinants'!$AC122),0)</f>
        <v>-47836</v>
      </c>
      <c r="F114" s="30">
        <f>ROUND('Sum of Billing Determinants'!G122*-1*'Rate Calculations'!$G$9*(1-'Sum of Billing Determinants'!$AC122),0)</f>
        <v>-41461</v>
      </c>
      <c r="G114" s="30">
        <f>ROUND('Sum of Billing Determinants'!H122*-1*'Rate Calculations'!$G$9*(1-'Sum of Billing Determinants'!$AC122),0)</f>
        <v>-49495</v>
      </c>
      <c r="H114" s="30">
        <f>ROUND('Sum of Billing Determinants'!I122*-1*'Rate Calculations'!$G$9*(1-'Sum of Billing Determinants'!$AC122),0)</f>
        <v>-38427</v>
      </c>
      <c r="I114" s="30">
        <f>ROUND('Sum of Billing Determinants'!J122*-1*'Rate Calculations'!$G$9*(1-'Sum of Billing Determinants'!$AC122),0)</f>
        <v>-53240</v>
      </c>
      <c r="J114" s="30">
        <f>ROUND('Sum of Billing Determinants'!K122*-1*'Rate Calculations'!$G$9*(1-'Sum of Billing Determinants'!$AC122),0)</f>
        <v>-56888</v>
      </c>
      <c r="K114" s="30">
        <f>ROUND('Sum of Billing Determinants'!L122*-1*'Rate Calculations'!$G$9*(1-'Sum of Billing Determinants'!$AC122),0)</f>
        <v>-54013</v>
      </c>
      <c r="L114" s="30">
        <f>ROUND('Sum of Billing Determinants'!M122*-1*'Rate Calculations'!$G$9*(1-'Sum of Billing Determinants'!$AC122),0)</f>
        <v>-52199</v>
      </c>
      <c r="M114" s="30">
        <f>ROUND('Sum of Billing Determinants'!N122*-1*'Rate Calculations'!$G$9*(1-'Sum of Billing Determinants'!$AC122),0)</f>
        <v>-48238</v>
      </c>
      <c r="N114" s="30">
        <f t="shared" si="1"/>
        <v>-499713</v>
      </c>
    </row>
    <row r="115" spans="2:14" ht="15">
      <c r="B115" s="26">
        <f>'Sum of Billing Determinants'!A123</f>
        <v>10371</v>
      </c>
      <c r="C115" s="26" t="str">
        <f>'Sum of Billing Determinants'!B123</f>
        <v>Tanner Elec Coop</v>
      </c>
      <c r="D115" s="30">
        <f>ROUND('Sum of Billing Determinants'!E123*-1*'Rate Calculations'!$G$9*(1-'Sum of Billing Determinants'!$AC123),0)</f>
        <v>-3350</v>
      </c>
      <c r="E115" s="30">
        <f>ROUND('Sum of Billing Determinants'!F123*-1*'Rate Calculations'!$G$9*(1-'Sum of Billing Determinants'!$AC123),0)</f>
        <v>-2767</v>
      </c>
      <c r="F115" s="30">
        <f>ROUND('Sum of Billing Determinants'!G123*-1*'Rate Calculations'!$G$9*(1-'Sum of Billing Determinants'!$AC123),0)</f>
        <v>-2398</v>
      </c>
      <c r="G115" s="30">
        <f>ROUND('Sum of Billing Determinants'!H123*-1*'Rate Calculations'!$G$9*(1-'Sum of Billing Determinants'!$AC123),0)</f>
        <v>-2863</v>
      </c>
      <c r="H115" s="30">
        <f>ROUND('Sum of Billing Determinants'!I123*-1*'Rate Calculations'!$G$9*(1-'Sum of Billing Determinants'!$AC123),0)</f>
        <v>-2223</v>
      </c>
      <c r="I115" s="30">
        <f>ROUND('Sum of Billing Determinants'!J123*-1*'Rate Calculations'!$G$9*(1-'Sum of Billing Determinants'!$AC123),0)</f>
        <v>-3080</v>
      </c>
      <c r="J115" s="30">
        <f>ROUND('Sum of Billing Determinants'!K123*-1*'Rate Calculations'!$G$9*(1-'Sum of Billing Determinants'!$AC123),0)</f>
        <v>-3291</v>
      </c>
      <c r="K115" s="30">
        <f>ROUND('Sum of Billing Determinants'!L123*-1*'Rate Calculations'!$G$9*(1-'Sum of Billing Determinants'!$AC123),0)</f>
        <v>-3124</v>
      </c>
      <c r="L115" s="30">
        <f>ROUND('Sum of Billing Determinants'!M123*-1*'Rate Calculations'!$G$9*(1-'Sum of Billing Determinants'!$AC123),0)</f>
        <v>-3020</v>
      </c>
      <c r="M115" s="30">
        <f>ROUND('Sum of Billing Determinants'!N123*-1*'Rate Calculations'!$G$9*(1-'Sum of Billing Determinants'!$AC123),0)</f>
        <v>-2790</v>
      </c>
      <c r="N115" s="30">
        <f t="shared" si="1"/>
        <v>-28906</v>
      </c>
    </row>
    <row r="116" spans="2:14" ht="15">
      <c r="B116" s="26">
        <f>'Sum of Billing Determinants'!A124</f>
        <v>10376</v>
      </c>
      <c r="C116" s="26" t="str">
        <f>'Sum of Billing Determinants'!B124</f>
        <v>Tillamook PUD #1</v>
      </c>
      <c r="D116" s="30">
        <f>ROUND('Sum of Billing Determinants'!E124*-1*'Rate Calculations'!$G$9*(1-'Sum of Billing Determinants'!$AC124),0)</f>
        <v>-17014</v>
      </c>
      <c r="E116" s="30">
        <f>ROUND('Sum of Billing Determinants'!F124*-1*'Rate Calculations'!$G$9*(1-'Sum of Billing Determinants'!$AC124),0)</f>
        <v>-14053</v>
      </c>
      <c r="F116" s="30">
        <f>ROUND('Sum of Billing Determinants'!G124*-1*'Rate Calculations'!$G$9*(1-'Sum of Billing Determinants'!$AC124),0)</f>
        <v>-12180</v>
      </c>
      <c r="G116" s="30">
        <f>ROUND('Sum of Billing Determinants'!H124*-1*'Rate Calculations'!$G$9*(1-'Sum of Billing Determinants'!$AC124),0)</f>
        <v>-14540</v>
      </c>
      <c r="H116" s="30">
        <f>ROUND('Sum of Billing Determinants'!I124*-1*'Rate Calculations'!$G$9*(1-'Sum of Billing Determinants'!$AC124),0)</f>
        <v>-11289</v>
      </c>
      <c r="I116" s="30">
        <f>ROUND('Sum of Billing Determinants'!J124*-1*'Rate Calculations'!$G$9*(1-'Sum of Billing Determinants'!$AC124),0)</f>
        <v>-15640</v>
      </c>
      <c r="J116" s="30">
        <f>ROUND('Sum of Billing Determinants'!K124*-1*'Rate Calculations'!$G$9*(1-'Sum of Billing Determinants'!$AC124),0)</f>
        <v>-16712</v>
      </c>
      <c r="K116" s="30">
        <f>ROUND('Sum of Billing Determinants'!L124*-1*'Rate Calculations'!$G$9*(1-'Sum of Billing Determinants'!$AC124),0)</f>
        <v>-15867</v>
      </c>
      <c r="L116" s="30">
        <f>ROUND('Sum of Billing Determinants'!M124*-1*'Rate Calculations'!$G$9*(1-'Sum of Billing Determinants'!$AC124),0)</f>
        <v>-15335</v>
      </c>
      <c r="M116" s="30">
        <f>ROUND('Sum of Billing Determinants'!N124*-1*'Rate Calculations'!$G$9*(1-'Sum of Billing Determinants'!$AC124),0)</f>
        <v>-14171</v>
      </c>
      <c r="N116" s="30">
        <f t="shared" si="1"/>
        <v>-146801</v>
      </c>
    </row>
    <row r="117" spans="2:14" ht="15">
      <c r="B117" s="26">
        <f>'Sum of Billing Determinants'!A125</f>
        <v>10378</v>
      </c>
      <c r="C117" s="26" t="str">
        <f>'Sum of Billing Determinants'!B125</f>
        <v>Coulee Dam, City of</v>
      </c>
      <c r="D117" s="30">
        <f>ROUND('Sum of Billing Determinants'!E125*-1*'Rate Calculations'!$G$9*(1-'Sum of Billing Determinants'!$AC125),0)</f>
        <v>-598</v>
      </c>
      <c r="E117" s="30">
        <f>ROUND('Sum of Billing Determinants'!F125*-1*'Rate Calculations'!$G$9*(1-'Sum of Billing Determinants'!$AC125),0)</f>
        <v>-494</v>
      </c>
      <c r="F117" s="30">
        <f>ROUND('Sum of Billing Determinants'!G125*-1*'Rate Calculations'!$G$9*(1-'Sum of Billing Determinants'!$AC125),0)</f>
        <v>-428</v>
      </c>
      <c r="G117" s="30">
        <f>ROUND('Sum of Billing Determinants'!H125*-1*'Rate Calculations'!$G$9*(1-'Sum of Billing Determinants'!$AC125),0)</f>
        <v>-511</v>
      </c>
      <c r="H117" s="30">
        <f>ROUND('Sum of Billing Determinants'!I125*-1*'Rate Calculations'!$G$9*(1-'Sum of Billing Determinants'!$AC125),0)</f>
        <v>-397</v>
      </c>
      <c r="I117" s="30">
        <f>ROUND('Sum of Billing Determinants'!J125*-1*'Rate Calculations'!$G$9*(1-'Sum of Billing Determinants'!$AC125),0)</f>
        <v>-550</v>
      </c>
      <c r="J117" s="30">
        <f>ROUND('Sum of Billing Determinants'!K125*-1*'Rate Calculations'!$G$9*(1-'Sum of Billing Determinants'!$AC125),0)</f>
        <v>-587</v>
      </c>
      <c r="K117" s="30">
        <f>ROUND('Sum of Billing Determinants'!L125*-1*'Rate Calculations'!$G$9*(1-'Sum of Billing Determinants'!$AC125),0)</f>
        <v>-558</v>
      </c>
      <c r="L117" s="30">
        <f>ROUND('Sum of Billing Determinants'!M125*-1*'Rate Calculations'!$G$9*(1-'Sum of Billing Determinants'!$AC125),0)</f>
        <v>-539</v>
      </c>
      <c r="M117" s="30">
        <f>ROUND('Sum of Billing Determinants'!N125*-1*'Rate Calculations'!$G$9*(1-'Sum of Billing Determinants'!$AC125),0)</f>
        <v>-498</v>
      </c>
      <c r="N117" s="30">
        <f t="shared" si="1"/>
        <v>-5160</v>
      </c>
    </row>
    <row r="118" spans="2:14" ht="15">
      <c r="B118" s="26">
        <f>'Sum of Billing Determinants'!A126</f>
        <v>10379</v>
      </c>
      <c r="C118" s="26" t="str">
        <f>'Sum of Billing Determinants'!B126</f>
        <v>Steilacoom, Town of</v>
      </c>
      <c r="D118" s="30">
        <f>ROUND('Sum of Billing Determinants'!E126*-1*'Rate Calculations'!$G$9*(1-'Sum of Billing Determinants'!$AC126),0)</f>
        <v>-1447</v>
      </c>
      <c r="E118" s="30">
        <f>ROUND('Sum of Billing Determinants'!F126*-1*'Rate Calculations'!$G$9*(1-'Sum of Billing Determinants'!$AC126),0)</f>
        <v>-1196</v>
      </c>
      <c r="F118" s="30">
        <f>ROUND('Sum of Billing Determinants'!G126*-1*'Rate Calculations'!$G$9*(1-'Sum of Billing Determinants'!$AC126),0)</f>
        <v>-1036</v>
      </c>
      <c r="G118" s="30">
        <f>ROUND('Sum of Billing Determinants'!H126*-1*'Rate Calculations'!$G$9*(1-'Sum of Billing Determinants'!$AC126),0)</f>
        <v>-1237</v>
      </c>
      <c r="H118" s="30">
        <f>ROUND('Sum of Billing Determinants'!I126*-1*'Rate Calculations'!$G$9*(1-'Sum of Billing Determinants'!$AC126),0)</f>
        <v>-960</v>
      </c>
      <c r="I118" s="30">
        <f>ROUND('Sum of Billing Determinants'!J126*-1*'Rate Calculations'!$G$9*(1-'Sum of Billing Determinants'!$AC126),0)</f>
        <v>-1331</v>
      </c>
      <c r="J118" s="30">
        <f>ROUND('Sum of Billing Determinants'!K126*-1*'Rate Calculations'!$G$9*(1-'Sum of Billing Determinants'!$AC126),0)</f>
        <v>-1422</v>
      </c>
      <c r="K118" s="30">
        <f>ROUND('Sum of Billing Determinants'!L126*-1*'Rate Calculations'!$G$9*(1-'Sum of Billing Determinants'!$AC126),0)</f>
        <v>-1350</v>
      </c>
      <c r="L118" s="30">
        <f>ROUND('Sum of Billing Determinants'!M126*-1*'Rate Calculations'!$G$9*(1-'Sum of Billing Determinants'!$AC126),0)</f>
        <v>-1305</v>
      </c>
      <c r="M118" s="30">
        <f>ROUND('Sum of Billing Determinants'!N126*-1*'Rate Calculations'!$G$9*(1-'Sum of Billing Determinants'!$AC126),0)</f>
        <v>-1206</v>
      </c>
      <c r="N118" s="30">
        <f t="shared" si="1"/>
        <v>-12490</v>
      </c>
    </row>
    <row r="119" spans="2:14" ht="15">
      <c r="B119" s="26">
        <f>'Sum of Billing Determinants'!A127</f>
        <v>10388</v>
      </c>
      <c r="C119" s="26" t="str">
        <f>'Sum of Billing Determinants'!B127</f>
        <v>Umatilla Elec Coop</v>
      </c>
      <c r="D119" s="30">
        <f>ROUND('Sum of Billing Determinants'!E127*-1*'Rate Calculations'!$G$9*(1-'Sum of Billing Determinants'!$AC127),0)</f>
        <v>-31214</v>
      </c>
      <c r="E119" s="30">
        <f>ROUND('Sum of Billing Determinants'!F127*-1*'Rate Calculations'!$G$9*(1-'Sum of Billing Determinants'!$AC127),0)</f>
        <v>-25781</v>
      </c>
      <c r="F119" s="30">
        <f>ROUND('Sum of Billing Determinants'!G127*-1*'Rate Calculations'!$G$9*(1-'Sum of Billing Determinants'!$AC127),0)</f>
        <v>-22345</v>
      </c>
      <c r="G119" s="30">
        <f>ROUND('Sum of Billing Determinants'!H127*-1*'Rate Calculations'!$G$9*(1-'Sum of Billing Determinants'!$AC127),0)</f>
        <v>-26676</v>
      </c>
      <c r="H119" s="30">
        <f>ROUND('Sum of Billing Determinants'!I127*-1*'Rate Calculations'!$G$9*(1-'Sum of Billing Determinants'!$AC127),0)</f>
        <v>-20710</v>
      </c>
      <c r="I119" s="30">
        <f>ROUND('Sum of Billing Determinants'!J127*-1*'Rate Calculations'!$G$9*(1-'Sum of Billing Determinants'!$AC127),0)</f>
        <v>-28694</v>
      </c>
      <c r="J119" s="30">
        <f>ROUND('Sum of Billing Determinants'!K127*-1*'Rate Calculations'!$G$9*(1-'Sum of Billing Determinants'!$AC127),0)</f>
        <v>-30660</v>
      </c>
      <c r="K119" s="30">
        <f>ROUND('Sum of Billing Determinants'!L127*-1*'Rate Calculations'!$G$9*(1-'Sum of Billing Determinants'!$AC127),0)</f>
        <v>-29110</v>
      </c>
      <c r="L119" s="30">
        <f>ROUND('Sum of Billing Determinants'!M127*-1*'Rate Calculations'!$G$9*(1-'Sum of Billing Determinants'!$AC127),0)</f>
        <v>-28133</v>
      </c>
      <c r="M119" s="30">
        <f>ROUND('Sum of Billing Determinants'!N127*-1*'Rate Calculations'!$G$9*(1-'Sum of Billing Determinants'!$AC127),0)</f>
        <v>-25998</v>
      </c>
      <c r="N119" s="30">
        <f t="shared" si="1"/>
        <v>-269321</v>
      </c>
    </row>
    <row r="120" spans="2:14" ht="15">
      <c r="B120" s="26">
        <f>'Sum of Billing Determinants'!A128</f>
        <v>10391</v>
      </c>
      <c r="C120" s="26" t="str">
        <f>'Sum of Billing Determinants'!B128</f>
        <v>United Electric Coop</v>
      </c>
      <c r="D120" s="30">
        <f>ROUND('Sum of Billing Determinants'!E128*-1*'Rate Calculations'!$G$9*(1-'Sum of Billing Determinants'!$AC128),0)</f>
        <v>-8792</v>
      </c>
      <c r="E120" s="30">
        <f>ROUND('Sum of Billing Determinants'!F128*-1*'Rate Calculations'!$G$9*(1-'Sum of Billing Determinants'!$AC128),0)</f>
        <v>-7262</v>
      </c>
      <c r="F120" s="30">
        <f>ROUND('Sum of Billing Determinants'!G128*-1*'Rate Calculations'!$G$9*(1-'Sum of Billing Determinants'!$AC128),0)</f>
        <v>-6294</v>
      </c>
      <c r="G120" s="30">
        <f>ROUND('Sum of Billing Determinants'!H128*-1*'Rate Calculations'!$G$9*(1-'Sum of Billing Determinants'!$AC128),0)</f>
        <v>-7514</v>
      </c>
      <c r="H120" s="30">
        <f>ROUND('Sum of Billing Determinants'!I128*-1*'Rate Calculations'!$G$9*(1-'Sum of Billing Determinants'!$AC128),0)</f>
        <v>-5834</v>
      </c>
      <c r="I120" s="30">
        <f>ROUND('Sum of Billing Determinants'!J128*-1*'Rate Calculations'!$G$9*(1-'Sum of Billing Determinants'!$AC128),0)</f>
        <v>-8082</v>
      </c>
      <c r="J120" s="30">
        <f>ROUND('Sum of Billing Determinants'!K128*-1*'Rate Calculations'!$G$9*(1-'Sum of Billing Determinants'!$AC128),0)</f>
        <v>-8636</v>
      </c>
      <c r="K120" s="30">
        <f>ROUND('Sum of Billing Determinants'!L128*-1*'Rate Calculations'!$G$9*(1-'Sum of Billing Determinants'!$AC128),0)</f>
        <v>-8200</v>
      </c>
      <c r="L120" s="30">
        <f>ROUND('Sum of Billing Determinants'!M128*-1*'Rate Calculations'!$G$9*(1-'Sum of Billing Determinants'!$AC128),0)</f>
        <v>-7924</v>
      </c>
      <c r="M120" s="30">
        <f>ROUND('Sum of Billing Determinants'!N128*-1*'Rate Calculations'!$G$9*(1-'Sum of Billing Determinants'!$AC128),0)</f>
        <v>-7323</v>
      </c>
      <c r="N120" s="30">
        <f t="shared" si="1"/>
        <v>-75861</v>
      </c>
    </row>
    <row r="121" spans="2:14" ht="15">
      <c r="B121" s="26">
        <f>'Sum of Billing Determinants'!A129</f>
        <v>10406</v>
      </c>
      <c r="C121" s="26" t="str">
        <f>'Sum of Billing Determinants'!B129</f>
        <v>U.S. DOE Albany Research Center</v>
      </c>
      <c r="D121" s="30">
        <f>ROUND('Sum of Billing Determinants'!E129*-1*'Rate Calculations'!$G$9*(1-'Sum of Billing Determinants'!$AC129),0)</f>
        <v>-139</v>
      </c>
      <c r="E121" s="30">
        <f>ROUND('Sum of Billing Determinants'!F129*-1*'Rate Calculations'!$G$9*(1-'Sum of Billing Determinants'!$AC129),0)</f>
        <v>-115</v>
      </c>
      <c r="F121" s="30">
        <f>ROUND('Sum of Billing Determinants'!G129*-1*'Rate Calculations'!$G$9*(1-'Sum of Billing Determinants'!$AC129),0)</f>
        <v>-100</v>
      </c>
      <c r="G121" s="30">
        <f>ROUND('Sum of Billing Determinants'!H129*-1*'Rate Calculations'!$G$9*(1-'Sum of Billing Determinants'!$AC129),0)</f>
        <v>-119</v>
      </c>
      <c r="H121" s="30">
        <f>ROUND('Sum of Billing Determinants'!I129*-1*'Rate Calculations'!$G$9*(1-'Sum of Billing Determinants'!$AC129),0)</f>
        <v>-92</v>
      </c>
      <c r="I121" s="30">
        <f>ROUND('Sum of Billing Determinants'!J129*-1*'Rate Calculations'!$G$9*(1-'Sum of Billing Determinants'!$AC129),0)</f>
        <v>-128</v>
      </c>
      <c r="J121" s="30">
        <f>ROUND('Sum of Billing Determinants'!K129*-1*'Rate Calculations'!$G$9*(1-'Sum of Billing Determinants'!$AC129),0)</f>
        <v>-137</v>
      </c>
      <c r="K121" s="30">
        <f>ROUND('Sum of Billing Determinants'!L129*-1*'Rate Calculations'!$G$9*(1-'Sum of Billing Determinants'!$AC129),0)</f>
        <v>-130</v>
      </c>
      <c r="L121" s="30">
        <f>ROUND('Sum of Billing Determinants'!M129*-1*'Rate Calculations'!$G$9*(1-'Sum of Billing Determinants'!$AC129),0)</f>
        <v>-125</v>
      </c>
      <c r="M121" s="30">
        <f>ROUND('Sum of Billing Determinants'!N129*-1*'Rate Calculations'!$G$9*(1-'Sum of Billing Determinants'!$AC129),0)</f>
        <v>-116</v>
      </c>
      <c r="N121" s="30">
        <f t="shared" si="1"/>
        <v>-1201</v>
      </c>
    </row>
    <row r="122" spans="2:14" ht="15">
      <c r="B122" s="26">
        <f>'Sum of Billing Determinants'!A130</f>
        <v>10408</v>
      </c>
      <c r="C122" s="26" t="str">
        <f>'Sum of Billing Determinants'!B130</f>
        <v>U.S. Naval Station, Everett (Jim Creek)</v>
      </c>
      <c r="D122" s="30">
        <f>ROUND('Sum of Billing Determinants'!E130*-1*'Rate Calculations'!$G$9*(1-'Sum of Billing Determinants'!$AC130),0)</f>
        <v>-464</v>
      </c>
      <c r="E122" s="30">
        <f>ROUND('Sum of Billing Determinants'!F130*-1*'Rate Calculations'!$G$9*(1-'Sum of Billing Determinants'!$AC130),0)</f>
        <v>-383</v>
      </c>
      <c r="F122" s="30">
        <f>ROUND('Sum of Billing Determinants'!G130*-1*'Rate Calculations'!$G$9*(1-'Sum of Billing Determinants'!$AC130),0)</f>
        <v>-332</v>
      </c>
      <c r="G122" s="30">
        <f>ROUND('Sum of Billing Determinants'!H130*-1*'Rate Calculations'!$G$9*(1-'Sum of Billing Determinants'!$AC130),0)</f>
        <v>-396</v>
      </c>
      <c r="H122" s="30">
        <f>ROUND('Sum of Billing Determinants'!I130*-1*'Rate Calculations'!$G$9*(1-'Sum of Billing Determinants'!$AC130),0)</f>
        <v>-308</v>
      </c>
      <c r="I122" s="30">
        <f>ROUND('Sum of Billing Determinants'!J130*-1*'Rate Calculations'!$G$9*(1-'Sum of Billing Determinants'!$AC130),0)</f>
        <v>-426</v>
      </c>
      <c r="J122" s="30">
        <f>ROUND('Sum of Billing Determinants'!K130*-1*'Rate Calculations'!$G$9*(1-'Sum of Billing Determinants'!$AC130),0)</f>
        <v>-456</v>
      </c>
      <c r="K122" s="30">
        <f>ROUND('Sum of Billing Determinants'!L130*-1*'Rate Calculations'!$G$9*(1-'Sum of Billing Determinants'!$AC130),0)</f>
        <v>-433</v>
      </c>
      <c r="L122" s="30">
        <f>ROUND('Sum of Billing Determinants'!M130*-1*'Rate Calculations'!$G$9*(1-'Sum of Billing Determinants'!$AC130),0)</f>
        <v>-418</v>
      </c>
      <c r="M122" s="30">
        <f>ROUND('Sum of Billing Determinants'!N130*-1*'Rate Calculations'!$G$9*(1-'Sum of Billing Determinants'!$AC130),0)</f>
        <v>-386</v>
      </c>
      <c r="N122" s="30">
        <f t="shared" si="1"/>
        <v>-4002</v>
      </c>
    </row>
    <row r="123" spans="2:14" ht="15">
      <c r="B123" s="26">
        <f>'Sum of Billing Determinants'!A131</f>
        <v>10409</v>
      </c>
      <c r="C123" s="26" t="str">
        <f>'Sum of Billing Determinants'!B131</f>
        <v>U.S. Naval Submarine Base, Bangor</v>
      </c>
      <c r="D123" s="30">
        <f>ROUND('Sum of Billing Determinants'!E131*-1*'Rate Calculations'!$G$9*(1-'Sum of Billing Determinants'!$AC131),0)</f>
        <v>-6201</v>
      </c>
      <c r="E123" s="30">
        <f>ROUND('Sum of Billing Determinants'!F131*-1*'Rate Calculations'!$G$9*(1-'Sum of Billing Determinants'!$AC131),0)</f>
        <v>-5122</v>
      </c>
      <c r="F123" s="30">
        <f>ROUND('Sum of Billing Determinants'!G131*-1*'Rate Calculations'!$G$9*(1-'Sum of Billing Determinants'!$AC131),0)</f>
        <v>-4439</v>
      </c>
      <c r="G123" s="30">
        <f>ROUND('Sum of Billing Determinants'!H131*-1*'Rate Calculations'!$G$9*(1-'Sum of Billing Determinants'!$AC131),0)</f>
        <v>-5300</v>
      </c>
      <c r="H123" s="30">
        <f>ROUND('Sum of Billing Determinants'!I131*-1*'Rate Calculations'!$G$9*(1-'Sum of Billing Determinants'!$AC131),0)</f>
        <v>-4114</v>
      </c>
      <c r="I123" s="30">
        <f>ROUND('Sum of Billing Determinants'!J131*-1*'Rate Calculations'!$G$9*(1-'Sum of Billing Determinants'!$AC131),0)</f>
        <v>-5701</v>
      </c>
      <c r="J123" s="30">
        <f>ROUND('Sum of Billing Determinants'!K131*-1*'Rate Calculations'!$G$9*(1-'Sum of Billing Determinants'!$AC131),0)</f>
        <v>-6091</v>
      </c>
      <c r="K123" s="30">
        <f>ROUND('Sum of Billing Determinants'!L131*-1*'Rate Calculations'!$G$9*(1-'Sum of Billing Determinants'!$AC131),0)</f>
        <v>-5783</v>
      </c>
      <c r="L123" s="30">
        <f>ROUND('Sum of Billing Determinants'!M131*-1*'Rate Calculations'!$G$9*(1-'Sum of Billing Determinants'!$AC131),0)</f>
        <v>-5589</v>
      </c>
      <c r="M123" s="30">
        <f>ROUND('Sum of Billing Determinants'!N131*-1*'Rate Calculations'!$G$9*(1-'Sum of Billing Determinants'!$AC131),0)</f>
        <v>-5165</v>
      </c>
      <c r="N123" s="30">
        <f t="shared" si="1"/>
        <v>-53505</v>
      </c>
    </row>
    <row r="124" spans="2:14" ht="15">
      <c r="B124" s="26">
        <f>'Sum of Billing Determinants'!A132</f>
        <v>10426</v>
      </c>
      <c r="C124" s="26" t="str">
        <f>'Sum of Billing Determinants'!B132</f>
        <v>U.S. DOE Richland Operations Office</v>
      </c>
      <c r="D124" s="30">
        <f>ROUND('Sum of Billing Determinants'!E132*-1*'Rate Calculations'!$G$9*(1-'Sum of Billing Determinants'!$AC132),0)</f>
        <v>-5215</v>
      </c>
      <c r="E124" s="30">
        <f>ROUND('Sum of Billing Determinants'!F132*-1*'Rate Calculations'!$G$9*(1-'Sum of Billing Determinants'!$AC132),0)</f>
        <v>-4307</v>
      </c>
      <c r="F124" s="30">
        <f>ROUND('Sum of Billing Determinants'!G132*-1*'Rate Calculations'!$G$9*(1-'Sum of Billing Determinants'!$AC132),0)</f>
        <v>-3733</v>
      </c>
      <c r="G124" s="30">
        <f>ROUND('Sum of Billing Determinants'!H132*-1*'Rate Calculations'!$G$9*(1-'Sum of Billing Determinants'!$AC132),0)</f>
        <v>-4457</v>
      </c>
      <c r="H124" s="30">
        <f>ROUND('Sum of Billing Determinants'!I132*-1*'Rate Calculations'!$G$9*(1-'Sum of Billing Determinants'!$AC132),0)</f>
        <v>-3460</v>
      </c>
      <c r="I124" s="30">
        <f>ROUND('Sum of Billing Determinants'!J132*-1*'Rate Calculations'!$G$9*(1-'Sum of Billing Determinants'!$AC132),0)</f>
        <v>-4794</v>
      </c>
      <c r="J124" s="30">
        <f>ROUND('Sum of Billing Determinants'!K132*-1*'Rate Calculations'!$G$9*(1-'Sum of Billing Determinants'!$AC132),0)</f>
        <v>-5123</v>
      </c>
      <c r="K124" s="30">
        <f>ROUND('Sum of Billing Determinants'!L132*-1*'Rate Calculations'!$G$9*(1-'Sum of Billing Determinants'!$AC132),0)</f>
        <v>-4864</v>
      </c>
      <c r="L124" s="30">
        <f>ROUND('Sum of Billing Determinants'!M132*-1*'Rate Calculations'!$G$9*(1-'Sum of Billing Determinants'!$AC132),0)</f>
        <v>-4700</v>
      </c>
      <c r="M124" s="30">
        <f>ROUND('Sum of Billing Determinants'!N132*-1*'Rate Calculations'!$G$9*(1-'Sum of Billing Determinants'!$AC132),0)</f>
        <v>-4344</v>
      </c>
      <c r="N124" s="30">
        <f t="shared" si="1"/>
        <v>-44997</v>
      </c>
    </row>
    <row r="125" spans="2:14" ht="15">
      <c r="B125" s="26">
        <f>'Sum of Billing Determinants'!A133</f>
        <v>10434</v>
      </c>
      <c r="C125" s="26" t="str">
        <f>'Sum of Billing Determinants'!B133</f>
        <v>Vera Irrigation District</v>
      </c>
      <c r="D125" s="30">
        <f>ROUND('Sum of Billing Determinants'!E133*-1*'Rate Calculations'!$G$9*(1-'Sum of Billing Determinants'!$AC133),0)</f>
        <v>-8246</v>
      </c>
      <c r="E125" s="30">
        <f>ROUND('Sum of Billing Determinants'!F133*-1*'Rate Calculations'!$G$9*(1-'Sum of Billing Determinants'!$AC133),0)</f>
        <v>-6811</v>
      </c>
      <c r="F125" s="30">
        <f>ROUND('Sum of Billing Determinants'!G133*-1*'Rate Calculations'!$G$9*(1-'Sum of Billing Determinants'!$AC133),0)</f>
        <v>-5903</v>
      </c>
      <c r="G125" s="30">
        <f>ROUND('Sum of Billing Determinants'!H133*-1*'Rate Calculations'!$G$9*(1-'Sum of Billing Determinants'!$AC133),0)</f>
        <v>-7047</v>
      </c>
      <c r="H125" s="30">
        <f>ROUND('Sum of Billing Determinants'!I133*-1*'Rate Calculations'!$G$9*(1-'Sum of Billing Determinants'!$AC133),0)</f>
        <v>-5471</v>
      </c>
      <c r="I125" s="30">
        <f>ROUND('Sum of Billing Determinants'!J133*-1*'Rate Calculations'!$G$9*(1-'Sum of Billing Determinants'!$AC133),0)</f>
        <v>-7581</v>
      </c>
      <c r="J125" s="30">
        <f>ROUND('Sum of Billing Determinants'!K133*-1*'Rate Calculations'!$G$9*(1-'Sum of Billing Determinants'!$AC133),0)</f>
        <v>-8100</v>
      </c>
      <c r="K125" s="30">
        <f>ROUND('Sum of Billing Determinants'!L133*-1*'Rate Calculations'!$G$9*(1-'Sum of Billing Determinants'!$AC133),0)</f>
        <v>-7691</v>
      </c>
      <c r="L125" s="30">
        <f>ROUND('Sum of Billing Determinants'!M133*-1*'Rate Calculations'!$G$9*(1-'Sum of Billing Determinants'!$AC133),0)</f>
        <v>-7432</v>
      </c>
      <c r="M125" s="30">
        <f>ROUND('Sum of Billing Determinants'!N133*-1*'Rate Calculations'!$G$9*(1-'Sum of Billing Determinants'!$AC133),0)</f>
        <v>-6868</v>
      </c>
      <c r="N125" s="30">
        <f t="shared" si="1"/>
        <v>-71150</v>
      </c>
    </row>
    <row r="126" spans="2:14" ht="15">
      <c r="B126" s="26">
        <f>'Sum of Billing Determinants'!A134</f>
        <v>10436</v>
      </c>
      <c r="C126" s="26" t="str">
        <f>'Sum of Billing Determinants'!B134</f>
        <v>Vigilante Elec Coop</v>
      </c>
      <c r="D126" s="30">
        <f>ROUND('Sum of Billing Determinants'!E134*-1*'Rate Calculations'!$G$9*(1-'Sum of Billing Determinants'!$AC134),0)</f>
        <v>-5343</v>
      </c>
      <c r="E126" s="30">
        <f>ROUND('Sum of Billing Determinants'!F134*-1*'Rate Calculations'!$G$9*(1-'Sum of Billing Determinants'!$AC134),0)</f>
        <v>-4413</v>
      </c>
      <c r="F126" s="30">
        <f>ROUND('Sum of Billing Determinants'!G134*-1*'Rate Calculations'!$G$9*(1-'Sum of Billing Determinants'!$AC134),0)</f>
        <v>-3825</v>
      </c>
      <c r="G126" s="30">
        <f>ROUND('Sum of Billing Determinants'!H134*-1*'Rate Calculations'!$G$9*(1-'Sum of Billing Determinants'!$AC134),0)</f>
        <v>-4566</v>
      </c>
      <c r="H126" s="30">
        <f>ROUND('Sum of Billing Determinants'!I134*-1*'Rate Calculations'!$G$9*(1-'Sum of Billing Determinants'!$AC134),0)</f>
        <v>-3545</v>
      </c>
      <c r="I126" s="30">
        <f>ROUND('Sum of Billing Determinants'!J134*-1*'Rate Calculations'!$G$9*(1-'Sum of Billing Determinants'!$AC134),0)</f>
        <v>-4911</v>
      </c>
      <c r="J126" s="30">
        <f>ROUND('Sum of Billing Determinants'!K134*-1*'Rate Calculations'!$G$9*(1-'Sum of Billing Determinants'!$AC134),0)</f>
        <v>-5248</v>
      </c>
      <c r="K126" s="30">
        <f>ROUND('Sum of Billing Determinants'!L134*-1*'Rate Calculations'!$G$9*(1-'Sum of Billing Determinants'!$AC134),0)</f>
        <v>-4983</v>
      </c>
      <c r="L126" s="30">
        <f>ROUND('Sum of Billing Determinants'!M134*-1*'Rate Calculations'!$G$9*(1-'Sum of Billing Determinants'!$AC134),0)</f>
        <v>-4815</v>
      </c>
      <c r="M126" s="30">
        <f>ROUND('Sum of Billing Determinants'!N134*-1*'Rate Calculations'!$G$9*(1-'Sum of Billing Determinants'!$AC134),0)</f>
        <v>-4450</v>
      </c>
      <c r="N126" s="30">
        <f t="shared" si="1"/>
        <v>-46099</v>
      </c>
    </row>
    <row r="127" spans="2:14" ht="15">
      <c r="B127" s="26">
        <f>'Sum of Billing Determinants'!A135</f>
        <v>10440</v>
      </c>
      <c r="C127" s="26" t="str">
        <f>'Sum of Billing Determinants'!B135</f>
        <v>Wahkiakum County PUD #1</v>
      </c>
      <c r="D127" s="30">
        <f>ROUND('Sum of Billing Determinants'!E135*-1*'Rate Calculations'!$G$9*(1-'Sum of Billing Determinants'!$AC135),0)</f>
        <v>-1434</v>
      </c>
      <c r="E127" s="30">
        <f>ROUND('Sum of Billing Determinants'!F135*-1*'Rate Calculations'!$G$9*(1-'Sum of Billing Determinants'!$AC135),0)</f>
        <v>-1184</v>
      </c>
      <c r="F127" s="30">
        <f>ROUND('Sum of Billing Determinants'!G135*-1*'Rate Calculations'!$G$9*(1-'Sum of Billing Determinants'!$AC135),0)</f>
        <v>-1026</v>
      </c>
      <c r="G127" s="30">
        <f>ROUND('Sum of Billing Determinants'!H135*-1*'Rate Calculations'!$G$9*(1-'Sum of Billing Determinants'!$AC135),0)</f>
        <v>-1225</v>
      </c>
      <c r="H127" s="30">
        <f>ROUND('Sum of Billing Determinants'!I135*-1*'Rate Calculations'!$G$9*(1-'Sum of Billing Determinants'!$AC135),0)</f>
        <v>-951</v>
      </c>
      <c r="I127" s="30">
        <f>ROUND('Sum of Billing Determinants'!J135*-1*'Rate Calculations'!$G$9*(1-'Sum of Billing Determinants'!$AC135),0)</f>
        <v>-1318</v>
      </c>
      <c r="J127" s="30">
        <f>ROUND('Sum of Billing Determinants'!K135*-1*'Rate Calculations'!$G$9*(1-'Sum of Billing Determinants'!$AC135),0)</f>
        <v>-1408</v>
      </c>
      <c r="K127" s="30">
        <f>ROUND('Sum of Billing Determinants'!L135*-1*'Rate Calculations'!$G$9*(1-'Sum of Billing Determinants'!$AC135),0)</f>
        <v>-1337</v>
      </c>
      <c r="L127" s="30">
        <f>ROUND('Sum of Billing Determinants'!M135*-1*'Rate Calculations'!$G$9*(1-'Sum of Billing Determinants'!$AC135),0)</f>
        <v>-1292</v>
      </c>
      <c r="M127" s="30">
        <f>ROUND('Sum of Billing Determinants'!N135*-1*'Rate Calculations'!$G$9*(1-'Sum of Billing Determinants'!$AC135),0)</f>
        <v>-1194</v>
      </c>
      <c r="N127" s="30">
        <f t="shared" si="1"/>
        <v>-12369</v>
      </c>
    </row>
    <row r="128" spans="2:14" ht="15">
      <c r="B128" s="26">
        <f>'Sum of Billing Determinants'!A136</f>
        <v>10442</v>
      </c>
      <c r="C128" s="26" t="str">
        <f>'Sum of Billing Determinants'!B136</f>
        <v>Wasco Elec Coop</v>
      </c>
      <c r="D128" s="30">
        <f>ROUND('Sum of Billing Determinants'!E136*-1*'Rate Calculations'!$G$9*(1-'Sum of Billing Determinants'!$AC136),0)</f>
        <v>-3766</v>
      </c>
      <c r="E128" s="30">
        <f>ROUND('Sum of Billing Determinants'!F136*-1*'Rate Calculations'!$G$9*(1-'Sum of Billing Determinants'!$AC136),0)</f>
        <v>-3111</v>
      </c>
      <c r="F128" s="30">
        <f>ROUND('Sum of Billing Determinants'!G136*-1*'Rate Calculations'!$G$9*(1-'Sum of Billing Determinants'!$AC136),0)</f>
        <v>-2696</v>
      </c>
      <c r="G128" s="30">
        <f>ROUND('Sum of Billing Determinants'!H136*-1*'Rate Calculations'!$G$9*(1-'Sum of Billing Determinants'!$AC136),0)</f>
        <v>-3219</v>
      </c>
      <c r="H128" s="30">
        <f>ROUND('Sum of Billing Determinants'!I136*-1*'Rate Calculations'!$G$9*(1-'Sum of Billing Determinants'!$AC136),0)</f>
        <v>-2499</v>
      </c>
      <c r="I128" s="30">
        <f>ROUND('Sum of Billing Determinants'!J136*-1*'Rate Calculations'!$G$9*(1-'Sum of Billing Determinants'!$AC136),0)</f>
        <v>-3462</v>
      </c>
      <c r="J128" s="30">
        <f>ROUND('Sum of Billing Determinants'!K136*-1*'Rate Calculations'!$G$9*(1-'Sum of Billing Determinants'!$AC136),0)</f>
        <v>-3699</v>
      </c>
      <c r="K128" s="30">
        <f>ROUND('Sum of Billing Determinants'!L136*-1*'Rate Calculations'!$G$9*(1-'Sum of Billing Determinants'!$AC136),0)</f>
        <v>-3512</v>
      </c>
      <c r="L128" s="30">
        <f>ROUND('Sum of Billing Determinants'!M136*-1*'Rate Calculations'!$G$9*(1-'Sum of Billing Determinants'!$AC136),0)</f>
        <v>-3394</v>
      </c>
      <c r="M128" s="30">
        <f>ROUND('Sum of Billing Determinants'!N136*-1*'Rate Calculations'!$G$9*(1-'Sum of Billing Determinants'!$AC136),0)</f>
        <v>-3137</v>
      </c>
      <c r="N128" s="30">
        <f t="shared" si="1"/>
        <v>-32495</v>
      </c>
    </row>
    <row r="129" spans="2:14" ht="15">
      <c r="B129" s="26">
        <f>'Sum of Billing Determinants'!A137</f>
        <v>10446</v>
      </c>
      <c r="C129" s="26" t="str">
        <f>'Sum of Billing Determinants'!B137</f>
        <v>Wells Rural Elec Coop</v>
      </c>
      <c r="D129" s="30">
        <f>ROUND('Sum of Billing Determinants'!E137*-1*'Rate Calculations'!$G$9*(1-'Sum of Billing Determinants'!$AC137),0)</f>
        <v>-26837</v>
      </c>
      <c r="E129" s="30">
        <f>ROUND('Sum of Billing Determinants'!F137*-1*'Rate Calculations'!$G$9*(1-'Sum of Billing Determinants'!$AC137),0)</f>
        <v>-22166</v>
      </c>
      <c r="F129" s="30">
        <f>ROUND('Sum of Billing Determinants'!G137*-1*'Rate Calculations'!$G$9*(1-'Sum of Billing Determinants'!$AC137),0)</f>
        <v>-19212</v>
      </c>
      <c r="G129" s="30">
        <f>ROUND('Sum of Billing Determinants'!H137*-1*'Rate Calculations'!$G$9*(1-'Sum of Billing Determinants'!$AC137),0)</f>
        <v>-22935</v>
      </c>
      <c r="H129" s="30">
        <f>ROUND('Sum of Billing Determinants'!I137*-1*'Rate Calculations'!$G$9*(1-'Sum of Billing Determinants'!$AC137),0)</f>
        <v>-17806</v>
      </c>
      <c r="I129" s="30">
        <f>ROUND('Sum of Billing Determinants'!J137*-1*'Rate Calculations'!$G$9*(1-'Sum of Billing Determinants'!$AC137),0)</f>
        <v>-24670</v>
      </c>
      <c r="J129" s="30">
        <f>ROUND('Sum of Billing Determinants'!K137*-1*'Rate Calculations'!$G$9*(1-'Sum of Billing Determinants'!$AC137),0)</f>
        <v>-26361</v>
      </c>
      <c r="K129" s="30">
        <f>ROUND('Sum of Billing Determinants'!L137*-1*'Rate Calculations'!$G$9*(1-'Sum of Billing Determinants'!$AC137),0)</f>
        <v>-25028</v>
      </c>
      <c r="L129" s="30">
        <f>ROUND('Sum of Billing Determinants'!M137*-1*'Rate Calculations'!$G$9*(1-'Sum of Billing Determinants'!$AC137),0)</f>
        <v>-24188</v>
      </c>
      <c r="M129" s="30">
        <f>ROUND('Sum of Billing Determinants'!N137*-1*'Rate Calculations'!$G$9*(1-'Sum of Billing Determinants'!$AC137),0)</f>
        <v>-22352</v>
      </c>
      <c r="N129" s="30">
        <f t="shared" si="1"/>
        <v>-231555</v>
      </c>
    </row>
    <row r="130" spans="2:14" ht="15">
      <c r="B130" s="26">
        <f>'Sum of Billing Determinants'!A138</f>
        <v>10448</v>
      </c>
      <c r="C130" s="26" t="str">
        <f>'Sum of Billing Determinants'!B138</f>
        <v>West Oregon Elec Coop</v>
      </c>
      <c r="D130" s="30">
        <f>ROUND('Sum of Billing Determinants'!E138*-1*'Rate Calculations'!$G$9*(1-'Sum of Billing Determinants'!$AC138),0)</f>
        <v>-2391</v>
      </c>
      <c r="E130" s="30">
        <f>ROUND('Sum of Billing Determinants'!F138*-1*'Rate Calculations'!$G$9*(1-'Sum of Billing Determinants'!$AC138),0)</f>
        <v>-1975</v>
      </c>
      <c r="F130" s="30">
        <f>ROUND('Sum of Billing Determinants'!G138*-1*'Rate Calculations'!$G$9*(1-'Sum of Billing Determinants'!$AC138),0)</f>
        <v>-1712</v>
      </c>
      <c r="G130" s="30">
        <f>ROUND('Sum of Billing Determinants'!H138*-1*'Rate Calculations'!$G$9*(1-'Sum of Billing Determinants'!$AC138),0)</f>
        <v>-2044</v>
      </c>
      <c r="H130" s="30">
        <f>ROUND('Sum of Billing Determinants'!I138*-1*'Rate Calculations'!$G$9*(1-'Sum of Billing Determinants'!$AC138),0)</f>
        <v>-1587</v>
      </c>
      <c r="I130" s="30">
        <f>ROUND('Sum of Billing Determinants'!J138*-1*'Rate Calculations'!$G$9*(1-'Sum of Billing Determinants'!$AC138),0)</f>
        <v>-2198</v>
      </c>
      <c r="J130" s="30">
        <f>ROUND('Sum of Billing Determinants'!K138*-1*'Rate Calculations'!$G$9*(1-'Sum of Billing Determinants'!$AC138),0)</f>
        <v>-2349</v>
      </c>
      <c r="K130" s="30">
        <f>ROUND('Sum of Billing Determinants'!L138*-1*'Rate Calculations'!$G$9*(1-'Sum of Billing Determinants'!$AC138),0)</f>
        <v>-2230</v>
      </c>
      <c r="L130" s="30">
        <f>ROUND('Sum of Billing Determinants'!M138*-1*'Rate Calculations'!$G$9*(1-'Sum of Billing Determinants'!$AC138),0)</f>
        <v>-2155</v>
      </c>
      <c r="M130" s="30">
        <f>ROUND('Sum of Billing Determinants'!N138*-1*'Rate Calculations'!$G$9*(1-'Sum of Billing Determinants'!$AC138),0)</f>
        <v>-1992</v>
      </c>
      <c r="N130" s="30">
        <f t="shared" si="1"/>
        <v>-20633</v>
      </c>
    </row>
    <row r="131" spans="2:14" ht="15">
      <c r="B131" s="26">
        <f>'Sum of Billing Determinants'!A139</f>
        <v>10451</v>
      </c>
      <c r="C131" s="26" t="str">
        <f>'Sum of Billing Determinants'!B139</f>
        <v>Whatcom County PUD #1</v>
      </c>
      <c r="D131" s="30">
        <f>ROUND('Sum of Billing Determinants'!E139*-1*'Rate Calculations'!$G$9*(1-'Sum of Billing Determinants'!$AC139),0)</f>
        <v>-8148</v>
      </c>
      <c r="E131" s="30">
        <f>ROUND('Sum of Billing Determinants'!F139*-1*'Rate Calculations'!$G$9*(1-'Sum of Billing Determinants'!$AC139),0)</f>
        <v>-6730</v>
      </c>
      <c r="F131" s="30">
        <f>ROUND('Sum of Billing Determinants'!G139*-1*'Rate Calculations'!$G$9*(1-'Sum of Billing Determinants'!$AC139),0)</f>
        <v>-5833</v>
      </c>
      <c r="G131" s="30">
        <f>ROUND('Sum of Billing Determinants'!H139*-1*'Rate Calculations'!$G$9*(1-'Sum of Billing Determinants'!$AC139),0)</f>
        <v>-6963</v>
      </c>
      <c r="H131" s="30">
        <f>ROUND('Sum of Billing Determinants'!I139*-1*'Rate Calculations'!$G$9*(1-'Sum of Billing Determinants'!$AC139),0)</f>
        <v>-5406</v>
      </c>
      <c r="I131" s="30">
        <f>ROUND('Sum of Billing Determinants'!J139*-1*'Rate Calculations'!$G$9*(1-'Sum of Billing Determinants'!$AC139),0)</f>
        <v>-7490</v>
      </c>
      <c r="J131" s="30">
        <f>ROUND('Sum of Billing Determinants'!K139*-1*'Rate Calculations'!$G$9*(1-'Sum of Billing Determinants'!$AC139),0)</f>
        <v>-8004</v>
      </c>
      <c r="K131" s="30">
        <f>ROUND('Sum of Billing Determinants'!L139*-1*'Rate Calculations'!$G$9*(1-'Sum of Billing Determinants'!$AC139),0)</f>
        <v>-7599</v>
      </c>
      <c r="L131" s="30">
        <f>ROUND('Sum of Billing Determinants'!M139*-1*'Rate Calculations'!$G$9*(1-'Sum of Billing Determinants'!$AC139),0)</f>
        <v>-7344</v>
      </c>
      <c r="M131" s="30">
        <f>ROUND('Sum of Billing Determinants'!N139*-1*'Rate Calculations'!$G$9*(1-'Sum of Billing Determinants'!$AC139),0)</f>
        <v>-6787</v>
      </c>
      <c r="N131" s="30">
        <f t="shared" si="1"/>
        <v>-70304</v>
      </c>
    </row>
    <row r="132" spans="2:14" ht="15">
      <c r="B132" s="26">
        <f>'Sum of Billing Determinants'!A140</f>
        <v>10482</v>
      </c>
      <c r="C132" s="26" t="str">
        <f>'Sum of Billing Determinants'!B140</f>
        <v>Umpqua Indian Utility Cooperative</v>
      </c>
      <c r="D132" s="30">
        <f>ROUND('Sum of Billing Determinants'!E140*-1*'Rate Calculations'!$G$9*(1-'Sum of Billing Determinants'!$AC140),0)</f>
        <v>-893</v>
      </c>
      <c r="E132" s="30">
        <f>ROUND('Sum of Billing Determinants'!F140*-1*'Rate Calculations'!$G$9*(1-'Sum of Billing Determinants'!$AC140),0)</f>
        <v>-738</v>
      </c>
      <c r="F132" s="30">
        <f>ROUND('Sum of Billing Determinants'!G140*-1*'Rate Calculations'!$G$9*(1-'Sum of Billing Determinants'!$AC140),0)</f>
        <v>-639</v>
      </c>
      <c r="G132" s="30">
        <f>ROUND('Sum of Billing Determinants'!H140*-1*'Rate Calculations'!$G$9*(1-'Sum of Billing Determinants'!$AC140),0)</f>
        <v>-763</v>
      </c>
      <c r="H132" s="30">
        <f>ROUND('Sum of Billing Determinants'!I140*-1*'Rate Calculations'!$G$9*(1-'Sum of Billing Determinants'!$AC140),0)</f>
        <v>-593</v>
      </c>
      <c r="I132" s="30">
        <f>ROUND('Sum of Billing Determinants'!J140*-1*'Rate Calculations'!$G$9*(1-'Sum of Billing Determinants'!$AC140),0)</f>
        <v>-821</v>
      </c>
      <c r="J132" s="30">
        <f>ROUND('Sum of Billing Determinants'!K140*-1*'Rate Calculations'!$G$9*(1-'Sum of Billing Determinants'!$AC140),0)</f>
        <v>-877</v>
      </c>
      <c r="K132" s="30">
        <f>ROUND('Sum of Billing Determinants'!L140*-1*'Rate Calculations'!$G$9*(1-'Sum of Billing Determinants'!$AC140),0)</f>
        <v>-833</v>
      </c>
      <c r="L132" s="30">
        <f>ROUND('Sum of Billing Determinants'!M140*-1*'Rate Calculations'!$G$9*(1-'Sum of Billing Determinants'!$AC140),0)</f>
        <v>-805</v>
      </c>
      <c r="M132" s="30">
        <f>ROUND('Sum of Billing Determinants'!N140*-1*'Rate Calculations'!$G$9*(1-'Sum of Billing Determinants'!$AC140),0)</f>
        <v>-744</v>
      </c>
      <c r="N132" s="30">
        <f t="shared" si="1"/>
        <v>-7706</v>
      </c>
    </row>
    <row r="133" spans="2:14" ht="15">
      <c r="B133" s="26">
        <f>'Sum of Billing Determinants'!A141</f>
        <v>10502</v>
      </c>
      <c r="C133" s="26" t="str">
        <f>'Sum of Billing Determinants'!B141</f>
        <v>Yakama Power</v>
      </c>
      <c r="D133" s="30">
        <f>ROUND('Sum of Billing Determinants'!E141*-1*'Rate Calculations'!$G$9*(1-'Sum of Billing Determinants'!$AC141),0)</f>
        <v>-5270</v>
      </c>
      <c r="E133" s="30">
        <f>ROUND('Sum of Billing Determinants'!F141*-1*'Rate Calculations'!$G$9*(1-'Sum of Billing Determinants'!$AC141),0)</f>
        <v>-4353</v>
      </c>
      <c r="F133" s="30">
        <f>ROUND('Sum of Billing Determinants'!G141*-1*'Rate Calculations'!$G$9*(1-'Sum of Billing Determinants'!$AC141),0)</f>
        <v>-3773</v>
      </c>
      <c r="G133" s="30">
        <f>ROUND('Sum of Billing Determinants'!H141*-1*'Rate Calculations'!$G$9*(1-'Sum of Billing Determinants'!$AC141),0)</f>
        <v>-4504</v>
      </c>
      <c r="H133" s="30">
        <f>ROUND('Sum of Billing Determinants'!I141*-1*'Rate Calculations'!$G$9*(1-'Sum of Billing Determinants'!$AC141),0)</f>
        <v>-3497</v>
      </c>
      <c r="I133" s="30">
        <f>ROUND('Sum of Billing Determinants'!J141*-1*'Rate Calculations'!$G$9*(1-'Sum of Billing Determinants'!$AC141),0)</f>
        <v>-4845</v>
      </c>
      <c r="J133" s="30">
        <f>ROUND('Sum of Billing Determinants'!K141*-1*'Rate Calculations'!$G$9*(1-'Sum of Billing Determinants'!$AC141),0)</f>
        <v>-5177</v>
      </c>
      <c r="K133" s="30">
        <f>ROUND('Sum of Billing Determinants'!L141*-1*'Rate Calculations'!$G$9*(1-'Sum of Billing Determinants'!$AC141),0)</f>
        <v>-4915</v>
      </c>
      <c r="L133" s="30">
        <f>ROUND('Sum of Billing Determinants'!M141*-1*'Rate Calculations'!$G$9*(1-'Sum of Billing Determinants'!$AC141),0)</f>
        <v>-4750</v>
      </c>
      <c r="M133" s="30">
        <f>ROUND('Sum of Billing Determinants'!N141*-1*'Rate Calculations'!$G$9*(1-'Sum of Billing Determinants'!$AC141),0)</f>
        <v>-4390</v>
      </c>
      <c r="N133" s="30">
        <f t="shared" si="1"/>
        <v>-45474</v>
      </c>
    </row>
    <row r="134" spans="2:14" ht="15">
      <c r="B134" s="26">
        <f>'Sum of Billing Determinants'!A142</f>
        <v>13927</v>
      </c>
      <c r="C134" s="26" t="str">
        <f>'Sum of Billing Determinants'!B142</f>
        <v>Kalispel Tribe Utility</v>
      </c>
      <c r="D134" s="30">
        <f>ROUND('Sum of Billing Determinants'!E142*-1*'Rate Calculations'!$G$9*(1-'Sum of Billing Determinants'!$AC142),0)</f>
        <v>-1204</v>
      </c>
      <c r="E134" s="30">
        <f>ROUND('Sum of Billing Determinants'!F142*-1*'Rate Calculations'!$G$9*(1-'Sum of Billing Determinants'!$AC142),0)</f>
        <v>-994</v>
      </c>
      <c r="F134" s="30">
        <f>ROUND('Sum of Billing Determinants'!G142*-1*'Rate Calculations'!$G$9*(1-'Sum of Billing Determinants'!$AC142),0)</f>
        <v>-862</v>
      </c>
      <c r="G134" s="30">
        <f>ROUND('Sum of Billing Determinants'!H142*-1*'Rate Calculations'!$G$9*(1-'Sum of Billing Determinants'!$AC142),0)</f>
        <v>-1029</v>
      </c>
      <c r="H134" s="30">
        <f>ROUND('Sum of Billing Determinants'!I142*-1*'Rate Calculations'!$G$9*(1-'Sum of Billing Determinants'!$AC142),0)</f>
        <v>-799</v>
      </c>
      <c r="I134" s="30">
        <f>ROUND('Sum of Billing Determinants'!J142*-1*'Rate Calculations'!$G$9*(1-'Sum of Billing Determinants'!$AC142),0)</f>
        <v>-1106</v>
      </c>
      <c r="J134" s="30">
        <f>ROUND('Sum of Billing Determinants'!K142*-1*'Rate Calculations'!$G$9*(1-'Sum of Billing Determinants'!$AC142),0)</f>
        <v>-1182</v>
      </c>
      <c r="K134" s="30">
        <f>ROUND('Sum of Billing Determinants'!L142*-1*'Rate Calculations'!$G$9*(1-'Sum of Billing Determinants'!$AC142),0)</f>
        <v>-1123</v>
      </c>
      <c r="L134" s="30">
        <f>ROUND('Sum of Billing Determinants'!M142*-1*'Rate Calculations'!$G$9*(1-'Sum of Billing Determinants'!$AC142),0)</f>
        <v>-1085</v>
      </c>
      <c r="M134" s="30">
        <f>ROUND('Sum of Billing Determinants'!N142*-1*'Rate Calculations'!$G$9*(1-'Sum of Billing Determinants'!$AC142),0)</f>
        <v>-1003</v>
      </c>
      <c r="N134" s="30">
        <f aca="true" t="shared" si="2" ref="N134:N138">SUM(D134:M134)</f>
        <v>-10387</v>
      </c>
    </row>
    <row r="135" spans="2:14" ht="15">
      <c r="B135" s="26">
        <f>'Sum of Billing Determinants'!A143</f>
        <v>10597</v>
      </c>
      <c r="C135" s="26" t="str">
        <f>'Sum of Billing Determinants'!B143</f>
        <v>Hermiston, City of</v>
      </c>
      <c r="D135" s="30">
        <f>ROUND('Sum of Billing Determinants'!E143*-1*'Rate Calculations'!$G$9*(1-'Sum of Billing Determinants'!$AC143),0)</f>
        <v>-3918</v>
      </c>
      <c r="E135" s="30">
        <f>ROUND('Sum of Billing Determinants'!F143*-1*'Rate Calculations'!$G$9*(1-'Sum of Billing Determinants'!$AC143),0)</f>
        <v>-3236</v>
      </c>
      <c r="F135" s="30">
        <f>ROUND('Sum of Billing Determinants'!G143*-1*'Rate Calculations'!$G$9*(1-'Sum of Billing Determinants'!$AC143),0)</f>
        <v>-2805</v>
      </c>
      <c r="G135" s="30">
        <f>ROUND('Sum of Billing Determinants'!H143*-1*'Rate Calculations'!$G$9*(1-'Sum of Billing Determinants'!$AC143),0)</f>
        <v>-3348</v>
      </c>
      <c r="H135" s="30">
        <f>ROUND('Sum of Billing Determinants'!I143*-1*'Rate Calculations'!$G$9*(1-'Sum of Billing Determinants'!$AC143),0)</f>
        <v>-2599</v>
      </c>
      <c r="I135" s="30">
        <f>ROUND('Sum of Billing Determinants'!J143*-1*'Rate Calculations'!$G$9*(1-'Sum of Billing Determinants'!$AC143),0)</f>
        <v>-3602</v>
      </c>
      <c r="J135" s="30">
        <f>ROUND('Sum of Billing Determinants'!K143*-1*'Rate Calculations'!$G$9*(1-'Sum of Billing Determinants'!$AC143),0)</f>
        <v>-3848</v>
      </c>
      <c r="K135" s="30">
        <f>ROUND('Sum of Billing Determinants'!L143*-1*'Rate Calculations'!$G$9*(1-'Sum of Billing Determinants'!$AC143),0)</f>
        <v>-3654</v>
      </c>
      <c r="L135" s="30">
        <f>ROUND('Sum of Billing Determinants'!M143*-1*'Rate Calculations'!$G$9*(1-'Sum of Billing Determinants'!$AC143),0)</f>
        <v>-3531</v>
      </c>
      <c r="M135" s="30">
        <f>ROUND('Sum of Billing Determinants'!N143*-1*'Rate Calculations'!$G$9*(1-'Sum of Billing Determinants'!$AC143),0)</f>
        <v>-3263</v>
      </c>
      <c r="N135" s="30">
        <f t="shared" si="2"/>
        <v>-33804</v>
      </c>
    </row>
    <row r="136" spans="2:14" ht="15">
      <c r="B136" s="26">
        <f>'Sum of Billing Determinants'!A144</f>
        <v>10706</v>
      </c>
      <c r="C136" s="26" t="str">
        <f>'Sum of Billing Determinants'!B144</f>
        <v>Port of Seattle - SETAC In'tl. Airport</v>
      </c>
      <c r="D136" s="30">
        <f>ROUND('Sum of Billing Determinants'!E144*-1*'Rate Calculations'!$G$9*(1-'Sum of Billing Determinants'!$AC144),0)</f>
        <v>-5247</v>
      </c>
      <c r="E136" s="30">
        <f>ROUND('Sum of Billing Determinants'!F144*-1*'Rate Calculations'!$G$9*(1-'Sum of Billing Determinants'!$AC144),0)</f>
        <v>-4334</v>
      </c>
      <c r="F136" s="30">
        <f>ROUND('Sum of Billing Determinants'!G144*-1*'Rate Calculations'!$G$9*(1-'Sum of Billing Determinants'!$AC144),0)</f>
        <v>-3756</v>
      </c>
      <c r="G136" s="30">
        <f>ROUND('Sum of Billing Determinants'!H144*-1*'Rate Calculations'!$G$9*(1-'Sum of Billing Determinants'!$AC144),0)</f>
        <v>-4484</v>
      </c>
      <c r="H136" s="30">
        <f>ROUND('Sum of Billing Determinants'!I144*-1*'Rate Calculations'!$G$9*(1-'Sum of Billing Determinants'!$AC144),0)</f>
        <v>-3481</v>
      </c>
      <c r="I136" s="30">
        <f>ROUND('Sum of Billing Determinants'!J144*-1*'Rate Calculations'!$G$9*(1-'Sum of Billing Determinants'!$AC144),0)</f>
        <v>-4823</v>
      </c>
      <c r="J136" s="30">
        <f>ROUND('Sum of Billing Determinants'!K144*-1*'Rate Calculations'!$G$9*(1-'Sum of Billing Determinants'!$AC144),0)</f>
        <v>-5154</v>
      </c>
      <c r="K136" s="30">
        <f>ROUND('Sum of Billing Determinants'!L144*-1*'Rate Calculations'!$G$9*(1-'Sum of Billing Determinants'!$AC144),0)</f>
        <v>-4893</v>
      </c>
      <c r="L136" s="30">
        <f>ROUND('Sum of Billing Determinants'!M144*-1*'Rate Calculations'!$G$9*(1-'Sum of Billing Determinants'!$AC144),0)</f>
        <v>-4729</v>
      </c>
      <c r="M136" s="30">
        <f>ROUND('Sum of Billing Determinants'!N144*-1*'Rate Calculations'!$G$9*(1-'Sum of Billing Determinants'!$AC144),0)</f>
        <v>-4370</v>
      </c>
      <c r="N136" s="30">
        <f t="shared" si="2"/>
        <v>-45271</v>
      </c>
    </row>
    <row r="137" spans="2:14" ht="15">
      <c r="B137" s="26">
        <f>'Sum of Billing Determinants'!A145</f>
        <v>11680</v>
      </c>
      <c r="C137" s="26" t="str">
        <f>'Sum of Billing Determinants'!B145</f>
        <v>Weiser, City of</v>
      </c>
      <c r="D137" s="30">
        <f>ROUND('Sum of Billing Determinants'!E145*-1*'Rate Calculations'!$G$9*(1-'Sum of Billing Determinants'!$AC145),0)</f>
        <v>-1922</v>
      </c>
      <c r="E137" s="30">
        <f>ROUND('Sum of Billing Determinants'!F145*-1*'Rate Calculations'!$G$9*(1-'Sum of Billing Determinants'!$AC145),0)</f>
        <v>-1587</v>
      </c>
      <c r="F137" s="30">
        <f>ROUND('Sum of Billing Determinants'!G145*-1*'Rate Calculations'!$G$9*(1-'Sum of Billing Determinants'!$AC145),0)</f>
        <v>-1376</v>
      </c>
      <c r="G137" s="30">
        <f>ROUND('Sum of Billing Determinants'!H145*-1*'Rate Calculations'!$G$9*(1-'Sum of Billing Determinants'!$AC145),0)</f>
        <v>-1642</v>
      </c>
      <c r="H137" s="30">
        <f>ROUND('Sum of Billing Determinants'!I145*-1*'Rate Calculations'!$G$9*(1-'Sum of Billing Determinants'!$AC145),0)</f>
        <v>-1275</v>
      </c>
      <c r="I137" s="30">
        <f>ROUND('Sum of Billing Determinants'!J145*-1*'Rate Calculations'!$G$9*(1-'Sum of Billing Determinants'!$AC145),0)</f>
        <v>-1767</v>
      </c>
      <c r="J137" s="30">
        <f>ROUND('Sum of Billing Determinants'!K145*-1*'Rate Calculations'!$G$9*(1-'Sum of Billing Determinants'!$AC145),0)</f>
        <v>-1888</v>
      </c>
      <c r="K137" s="30">
        <f>ROUND('Sum of Billing Determinants'!L145*-1*'Rate Calculations'!$G$9*(1-'Sum of Billing Determinants'!$AC145),0)</f>
        <v>-1792</v>
      </c>
      <c r="L137" s="30">
        <f>ROUND('Sum of Billing Determinants'!M145*-1*'Rate Calculations'!$G$9*(1-'Sum of Billing Determinants'!$AC145),0)</f>
        <v>-1732</v>
      </c>
      <c r="M137" s="30">
        <f>ROUND('Sum of Billing Determinants'!N145*-1*'Rate Calculations'!$G$9*(1-'Sum of Billing Determinants'!$AC145),0)</f>
        <v>-1601</v>
      </c>
      <c r="N137" s="30">
        <f t="shared" si="2"/>
        <v>-16582</v>
      </c>
    </row>
    <row r="138" spans="2:14" ht="15">
      <c r="B138" s="26">
        <f>'Sum of Billing Determinants'!A146</f>
        <v>12026</v>
      </c>
      <c r="C138" s="26" t="str">
        <f>'Sum of Billing Determinants'!B146</f>
        <v>Jefferson County PUD #1</v>
      </c>
      <c r="D138" s="30">
        <f>ROUND('Sum of Billing Determinants'!E146*-1*'Rate Calculations'!$G$9*(1-'Sum of Billing Determinants'!$AC146),0)</f>
        <v>-13717</v>
      </c>
      <c r="E138" s="30">
        <f>ROUND('Sum of Billing Determinants'!F146*-1*'Rate Calculations'!$G$9*(1-'Sum of Billing Determinants'!$AC146),0)</f>
        <v>-11330</v>
      </c>
      <c r="F138" s="30">
        <f>ROUND('Sum of Billing Determinants'!G146*-1*'Rate Calculations'!$G$9*(1-'Sum of Billing Determinants'!$AC146),0)</f>
        <v>-9820</v>
      </c>
      <c r="G138" s="30">
        <f>ROUND('Sum of Billing Determinants'!H146*-1*'Rate Calculations'!$G$9*(1-'Sum of Billing Determinants'!$AC146),0)</f>
        <v>-11723</v>
      </c>
      <c r="H138" s="30">
        <f>ROUND('Sum of Billing Determinants'!I146*-1*'Rate Calculations'!$G$9*(1-'Sum of Billing Determinants'!$AC146),0)</f>
        <v>-9101</v>
      </c>
      <c r="I138" s="30">
        <f>ROUND('Sum of Billing Determinants'!J146*-1*'Rate Calculations'!$G$9*(1-'Sum of Billing Determinants'!$AC146),0)</f>
        <v>-12610</v>
      </c>
      <c r="J138" s="30">
        <f>ROUND('Sum of Billing Determinants'!K146*-1*'Rate Calculations'!$G$9*(1-'Sum of Billing Determinants'!$AC146),0)</f>
        <v>-13474</v>
      </c>
      <c r="K138" s="30">
        <f>ROUND('Sum of Billing Determinants'!L146*-1*'Rate Calculations'!$G$9*(1-'Sum of Billing Determinants'!$AC146),0)</f>
        <v>-12793</v>
      </c>
      <c r="L138" s="30">
        <f>ROUND('Sum of Billing Determinants'!M146*-1*'Rate Calculations'!$G$9*(1-'Sum of Billing Determinants'!$AC146),0)</f>
        <v>-12363</v>
      </c>
      <c r="M138" s="30">
        <f>ROUND('Sum of Billing Determinants'!N146*-1*'Rate Calculations'!$G$9*(1-'Sum of Billing Determinants'!$AC146),0)</f>
        <v>-11425</v>
      </c>
      <c r="N138" s="30">
        <f t="shared" si="2"/>
        <v>-118356</v>
      </c>
    </row>
    <row r="139" spans="2:4" ht="15">
      <c r="B139" s="26"/>
      <c r="C139" s="26"/>
      <c r="D139" s="27"/>
    </row>
    <row r="140" spans="2:14" ht="15">
      <c r="B140" s="26"/>
      <c r="C140" s="26"/>
      <c r="N140" s="6"/>
    </row>
    <row r="141" ht="15">
      <c r="B141" s="26"/>
    </row>
    <row r="144" ht="15">
      <c r="N144" s="6"/>
    </row>
  </sheetData>
  <conditionalFormatting sqref="B5:N138">
    <cfRule type="expression" priority="1" dxfId="0">
      <formula>MOD(ROW(),2)=1</formula>
    </cfRule>
  </conditionalFormatting>
  <printOptions gridLines="1" horizontalCentered="1"/>
  <pageMargins left="0.25" right="0.25" top="0.75" bottom="0.75" header="0.3" footer="0.3"/>
  <pageSetup fitToHeight="3" fitToWidth="1" horizontalDpi="600" verticalDpi="600" orientation="landscape" scale="70" r:id="rId1"/>
  <headerFooter>
    <oddFooter>&amp;LDecember 15, 2021&amp;R&amp;P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A431E50E73241A3DFE856D70F5C70" ma:contentTypeVersion="0" ma:contentTypeDescription="Create a new document." ma:contentTypeScope="" ma:versionID="e0207fd2996707958d88e8d22c25d77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1F99B2-F43F-46DB-AC6B-FE26CC295DB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09FA12-B4A0-4C28-86BC-D44B5C6537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1581BA-F5F2-4F77-95D6-F22EFFD5CC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 User</dc:creator>
  <cp:keywords/>
  <dc:description/>
  <cp:lastModifiedBy>Traetow,Emily G (BPA) - PSR-6</cp:lastModifiedBy>
  <cp:lastPrinted>2021-12-13T23:02:03Z</cp:lastPrinted>
  <dcterms:created xsi:type="dcterms:W3CDTF">2017-09-18T21:42:42Z</dcterms:created>
  <dcterms:modified xsi:type="dcterms:W3CDTF">2021-12-13T23:02:11Z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0x010100722A431E50E73241A3DFE856D70F5C70</vt:lpwstr>
  </property>
  <property fmtid="{D5CDD505-2E9C-101B-9397-08002B2CF9AE}" pid="3" name="Order">
    <vt:r8>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