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26.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7.xml" ContentType="application/vnd.ms-office.chartcolorstyle+xml"/>
  <Override PartName="/xl/charts/style7.xml" ContentType="application/vnd.ms-office.chartstyle+xml"/>
  <Override PartName="/xl/charts/style6.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9.xml" ContentType="application/vnd.ms-office.chartcolorstyle+xml"/>
  <Override PartName="/xl/charts/colors2.xml" ContentType="application/vnd.ms-office.chartcolorstyle+xml"/>
  <Override PartName="/xl/charts/style5.xml" ContentType="application/vnd.ms-office.chartstyle+xml"/>
  <Override PartName="/xl/charts/colors1.xml" ContentType="application/vnd.ms-office.chartcolorstyle+xml"/>
  <Override PartName="/xl/charts/style1.xml" ContentType="application/vnd.ms-office.chartstyle+xml"/>
  <Override PartName="/xl/charts/colors1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colors6.xml" ContentType="application/vnd.ms-office.chartcolorstyle+xml"/>
  <Override PartName="/xl/charts/style12.xml" ContentType="application/vnd.ms-office.chartstyle+xml"/>
  <Override PartName="/xl/charts/colors13.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25.xml" ContentType="application/vnd.ms-office.chartcolorstyle+xml"/>
  <Override PartName="/xl/charts/style24.xml" ContentType="application/vnd.ms-office.chartstyle+xml"/>
  <Override PartName="/xl/charts/colors24.xml" ContentType="application/vnd.ms-office.chartcolorstyle+xml"/>
  <Override PartName="/xl/charts/colors31.xml" ContentType="application/vnd.ms-office.chartcolorstyle+xml"/>
  <Override PartName="/xl/charts/style30.xml" ContentType="application/vnd.ms-office.chartstyle+xml"/>
  <Override PartName="/xl/charts/colors30.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style23.xml" ContentType="application/vnd.ms-office.chartstyle+xml"/>
  <Override PartName="/xl/charts/colors23.xml" ContentType="application/vnd.ms-office.chartcolorstyle+xml"/>
  <Override PartName="/xl/charts/style22.xml" ContentType="application/vnd.ms-office.chartstyle+xml"/>
  <Override PartName="/xl/charts/colors17.xml" ContentType="application/vnd.ms-office.chartcolorstyle+xml"/>
  <Override PartName="/xl/charts/style16.xml" ContentType="application/vnd.ms-office.chartstyle+xml"/>
  <Override PartName="/xl/charts/colors16.xml" ContentType="application/vnd.ms-office.chartcolorstyle+xml"/>
  <Override PartName="/xl/charts/style15.xml" ContentType="application/vnd.ms-office.chartstyle+xml"/>
  <Override PartName="/xl/charts/colors15.xml" ContentType="application/vnd.ms-office.chartcolorstyle+xml"/>
  <Override PartName="/xl/charts/style14.xml" ContentType="application/vnd.ms-office.chartstyle+xml"/>
  <Override PartName="/xl/charts/colors14.xml" ContentType="application/vnd.ms-office.chartcolorstyle+xml"/>
  <Override PartName="/xl/charts/style13.xml" ContentType="application/vnd.ms-office.chart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22.xml" ContentType="application/vnd.ms-office.chartcolorstyle+xml"/>
  <Override PartName="/xl/charts/style21.xml" ContentType="application/vnd.ms-office.chartstyle+xml"/>
  <Override PartName="/xl/charts/colors21.xml" ContentType="application/vnd.ms-office.chartcolorstyle+xml"/>
  <Override PartName="/xl/charts/style20.xml" ContentType="application/vnd.ms-office.chartstyle+xml"/>
  <Override PartName="/xl/charts/colors20.xml" ContentType="application/vnd.ms-office.chartcolorstyle+xml"/>
  <Override PartName="/xl/charts/style19.xml" ContentType="application/vnd.ms-office.chartstyle+xml"/>
  <Override PartName="/xl/charts/colors19.xml" ContentType="application/vnd.ms-office.chartcolorstyle+xml"/>
  <Override PartName="/xl/charts/style25.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hidePivotFieldList="1"/>
  <bookViews>
    <workbookView xWindow="0" yWindow="0" windowWidth="16395" windowHeight="5250" tabRatio="864" activeTab="0"/>
  </bookViews>
  <sheets>
    <sheet name="Analysis Overview" sheetId="209" r:id="rId1"/>
    <sheet name="Tables and Graphs" sheetId="211" r:id="rId2"/>
    <sheet name="Input and Scenario Summary" sheetId="212" r:id="rId3"/>
    <sheet name="Market Size" sheetId="213" r:id="rId4"/>
    <sheet name="Total Market Consumption" sheetId="214" r:id="rId5"/>
    <sheet name="Total Market Savings" sheetId="215" r:id="rId6"/>
    <sheet name="Momentum Savings" sheetId="216" r:id="rId7"/>
    <sheet name="SEEM Data" sheetId="217" r:id="rId8"/>
    <sheet name="Sales Data (Combined)" sheetId="221" r:id="rId9"/>
    <sheet name="Sales Data (Graphs)" sheetId="224" r:id="rId10"/>
    <sheet name="Program Data" sheetId="222" r:id="rId11"/>
    <sheet name="Stock Turnover Model&gt;&gt;" sheetId="223" r:id="rId12"/>
    <sheet name="COVER" sheetId="50" r:id="rId13"/>
    <sheet name="Navigation" sheetId="47" r:id="rId14"/>
    <sheet name="Constants and Menus" sheetId="64" r:id="rId15"/>
    <sheet name="AHRI Shipments" sheetId="131" r:id="rId16"/>
    <sheet name="Housing Stock" sheetId="18" r:id="rId17"/>
    <sheet name="Lifetimes" sheetId="62" r:id="rId18"/>
    <sheet name="1992 Saturation Data" sheetId="152" r:id="rId19"/>
    <sheet name="2011 Saturation Data" sheetId="206" r:id="rId20"/>
    <sheet name="Saturations and Allocations" sheetId="184" r:id="rId21"/>
    <sheet name="FAF - Electric" sheetId="170" r:id="rId22"/>
    <sheet name="FAF - Gas" sheetId="207" r:id="rId23"/>
    <sheet name="Air Source Heat Pump" sheetId="185" r:id="rId24"/>
    <sheet name="Conversions and Upgrades" sheetId="208" r:id="rId25"/>
  </sheets>
  <externalReferences>
    <externalReference r:id="rId28"/>
  </externalReferences>
  <definedNames>
    <definedName name="_Key1" localSheetId="2" hidden="1">#REF!</definedName>
    <definedName name="_Key1" localSheetId="8" hidden="1">#REF!</definedName>
    <definedName name="_Key1" hidden="1">#REF!</definedName>
    <definedName name="_Order1" hidden="1">255</definedName>
    <definedName name="_Sort" localSheetId="2" hidden="1">#REF!</definedName>
    <definedName name="_Sort" localSheetId="8" hidden="1">#REF!</definedName>
    <definedName name="_Sort" hidden="1">#REF!</definedName>
    <definedName name="_Toc427752491" localSheetId="1">'Tables and Graphs'!$B$51</definedName>
    <definedName name="_Toc427752492" localSheetId="1">'Tables and Graphs'!$B$52</definedName>
    <definedName name="_Toc427752493" localSheetId="1">'Tables and Graphs'!$B$53</definedName>
    <definedName name="_Toc427752494" localSheetId="1">'Tables and Graphs'!$B$54</definedName>
    <definedName name="_Toc427752495" localSheetId="1">'Tables and Graphs'!$B$55</definedName>
    <definedName name="_Toc427752496" localSheetId="1">'Tables and Graphs'!$B$56</definedName>
    <definedName name="ALLOCATIONS_HOUSING_TYPES">'Saturations and Allocations'!$D$25:$Q$25</definedName>
    <definedName name="ALLOCATIONS_TABLE">'Saturations and Allocations'!$D$26:$Q$36</definedName>
    <definedName name="ALLOCATIONS_ZONES">'Saturations and Allocations'!$C$26:$C$36</definedName>
    <definedName name="CALIBRATED_LIFETIME_ASHP">'AHRI Shipments'!$L$10</definedName>
    <definedName name="CALIBRATED_LIFETIME_GFAF">'AHRI Shipments'!$L$9</definedName>
    <definedName name="HEATING_COOLING_BLDG_ALLOCATION">#REF!</definedName>
    <definedName name="HEATING_COOLING_ZONES">'Constants and Menus'!$C$25:$C$32</definedName>
    <definedName name="HOUSING_STOCK">'Housing Stock'!$C$11:$V$67</definedName>
    <definedName name="HOUSING_STOCK_BLDG">'Housing Stock'!$C$11:$V$11</definedName>
    <definedName name="HOUSING_STOCK_CATEGORY">'Housing Stock'!$C$12:$G$12</definedName>
    <definedName name="HOUSING_STOCK_YEARS">'Housing Stock'!$C$13:$C$67</definedName>
    <definedName name="HOUSING_TYPES">'Constants and Menus'!$C$12:$C$14</definedName>
    <definedName name="HVAC_SYSTEMS">'Constants and Menus'!$C$20:$C$22</definedName>
    <definedName name="LIFETIMES_HOUSING_TYPE">'Lifetimes'!$D$7:$F$7</definedName>
    <definedName name="LIFETIMES_TABLE">'Lifetimes'!$D$8:$F$10</definedName>
    <definedName name="MODEL_YEARS">'Constants and Menus'!$G$8:$G$87</definedName>
    <definedName name="SATURATIONS_HOUSING_TYPE">'Saturations and Allocations'!$D$8:$Q$8</definedName>
    <definedName name="SATURATIONS_TABLE">'Saturations and Allocations'!$D$10:$Q$11</definedName>
    <definedName name="SATURATIONS_TABLE_1992">'[1]Saturations'!$D$22:$P$25</definedName>
    <definedName name="SATURATIONS_TABLE_2011">'[1]Saturations'!$D$13:$P$16</definedName>
    <definedName name="SATURATIONS_YEARS">'Saturations and Allocations'!$C$10:$C$11</definedName>
    <definedName name="SHIPMENT_TYPES">'Constants and Menus'!$C$35:$C$40</definedName>
    <definedName name="SHIPMENTS_MH_YEARS">#REF!</definedName>
    <definedName name="SHIPMENTS_SF">#REF!</definedName>
    <definedName name="SHIPMENTS_SF_YEARS">#REF!</definedName>
    <definedName name="SHIPMENTS_TH">#REF!</definedName>
    <definedName name="SHIPMENTS_TH_YEARS">#REF!</definedName>
    <definedName name="solver_adj" localSheetId="23" hidden="1">#REF!,'Air Source Heat Pump'!$K$46</definedName>
    <definedName name="solver_adj" localSheetId="24" hidden="1">#REF!,#REF!</definedName>
    <definedName name="solver_adj" localSheetId="21" hidden="1">#REF!,'FAF - Electric'!$K$46</definedName>
    <definedName name="solver_adj" localSheetId="22" hidden="1">#REF!,'FAF - Gas'!$K$46</definedName>
    <definedName name="solver_eng" localSheetId="23" hidden="1">1</definedName>
    <definedName name="solver_eng" localSheetId="24" hidden="1">1</definedName>
    <definedName name="solver_eng" localSheetId="21" hidden="1">1</definedName>
    <definedName name="solver_eng" localSheetId="22" hidden="1">1</definedName>
    <definedName name="solver_neg" localSheetId="23" hidden="1">1</definedName>
    <definedName name="solver_neg" localSheetId="24" hidden="1">1</definedName>
    <definedName name="solver_neg" localSheetId="21" hidden="1">1</definedName>
    <definedName name="solver_neg" localSheetId="22" hidden="1">1</definedName>
    <definedName name="solver_num" localSheetId="23" hidden="1">0</definedName>
    <definedName name="solver_num" localSheetId="24" hidden="1">0</definedName>
    <definedName name="solver_num" localSheetId="21" hidden="1">0</definedName>
    <definedName name="solver_num" localSheetId="22" hidden="1">0</definedName>
    <definedName name="solver_opt" localSheetId="23" hidden="1">#REF!</definedName>
    <definedName name="solver_opt" localSheetId="24" hidden="1">#REF!</definedName>
    <definedName name="solver_opt" localSheetId="21" hidden="1">#REF!</definedName>
    <definedName name="solver_opt" localSheetId="22" hidden="1">#REF!</definedName>
    <definedName name="solver_typ" localSheetId="23" hidden="1">1</definedName>
    <definedName name="solver_typ" localSheetId="24" hidden="1">1</definedName>
    <definedName name="solver_typ" localSheetId="21" hidden="1">1</definedName>
    <definedName name="solver_typ" localSheetId="22" hidden="1">1</definedName>
    <definedName name="solver_val" localSheetId="23" hidden="1">0</definedName>
    <definedName name="solver_val" localSheetId="24" hidden="1">0</definedName>
    <definedName name="solver_val" localSheetId="21" hidden="1">0</definedName>
    <definedName name="solver_val" localSheetId="22" hidden="1">0</definedName>
    <definedName name="solver_ver" localSheetId="23" hidden="1">3</definedName>
    <definedName name="solver_ver" localSheetId="24" hidden="1">3</definedName>
    <definedName name="solver_ver" localSheetId="21" hidden="1">3</definedName>
    <definedName name="solver_ver" localSheetId="22" hidden="1">3</definedName>
    <definedName name="STOCK_MH">#REF!</definedName>
    <definedName name="STOCK_MH_YEARS">#REF!</definedName>
    <definedName name="STOCK_SF">#REF!</definedName>
    <definedName name="STOCK_SF_YEARS">#REF!</definedName>
    <definedName name="STOCK_TH">#REF!</definedName>
    <definedName name="STOCK_TH_YEARS">#REF!</definedName>
    <definedName name="TARGET_SHIPMENT_YEARS">'AHRI Shipments'!$D$7:$H$7</definedName>
    <definedName name="TARGET_SHIPMENTS">'AHRI Shipments'!$D$8:$H$10</definedName>
  </definedNames>
  <calcPr calcId="145621"/>
</workbook>
</file>

<file path=xl/sharedStrings.xml><?xml version="1.0" encoding="utf-8"?>
<sst xmlns="http://schemas.openxmlformats.org/spreadsheetml/2006/main" count="2096" uniqueCount="531">
  <si>
    <t>Single Family</t>
  </si>
  <si>
    <t>Total</t>
  </si>
  <si>
    <t>Heat Pump</t>
  </si>
  <si>
    <t>Central AC</t>
  </si>
  <si>
    <t>New Additions</t>
  </si>
  <si>
    <t>SF</t>
  </si>
  <si>
    <t>MH</t>
  </si>
  <si>
    <t>Pre-1980 Housing Existing in 2030</t>
  </si>
  <si>
    <t>New Adds</t>
  </si>
  <si>
    <t>Pre-1980 Dems</t>
  </si>
  <si>
    <t>Beginning Year Stock</t>
  </si>
  <si>
    <t>End of Year Stock</t>
  </si>
  <si>
    <t>Assume Demolition of pre-1980 stock?</t>
  </si>
  <si>
    <t>YES</t>
  </si>
  <si>
    <t>NO</t>
  </si>
  <si>
    <t>Source of all data:</t>
  </si>
  <si>
    <t>PNWResSectorSupplyCurveUnits_6th_fnl</t>
  </si>
  <si>
    <t>Demolition Rate of Pre-1980 Stock</t>
  </si>
  <si>
    <t>List of Choices</t>
  </si>
  <si>
    <t>Stock Growth</t>
  </si>
  <si>
    <t>Total Homes</t>
  </si>
  <si>
    <t>Stock Saturation</t>
  </si>
  <si>
    <t>Manufactured Homes</t>
  </si>
  <si>
    <t>Lifetime</t>
  </si>
  <si>
    <t>NAVIGATION</t>
  </si>
  <si>
    <t>COMMENTS</t>
  </si>
  <si>
    <t>INFORMATION TABS</t>
  </si>
  <si>
    <t>COVER</t>
  </si>
  <si>
    <t>Cover</t>
  </si>
  <si>
    <t>Bonneville Power Authority</t>
  </si>
  <si>
    <t>Prepared By:</t>
  </si>
  <si>
    <t>Navigant Consulting</t>
  </si>
  <si>
    <t>Cadeo Group</t>
  </si>
  <si>
    <t xml:space="preserve">One Market Street | Spear Street Tower, Suite 1200 </t>
  </si>
  <si>
    <t>840 First Street, Suite 300</t>
  </si>
  <si>
    <t>San Francisco, CA 94105</t>
  </si>
  <si>
    <t>Washington, DC  20002</t>
  </si>
  <si>
    <t>Model Description</t>
  </si>
  <si>
    <t>PRODUCT STOCK MODELS</t>
  </si>
  <si>
    <t>HOUSING STOCK</t>
  </si>
  <si>
    <t>INPUT TABS</t>
  </si>
  <si>
    <t>HOUSING</t>
  </si>
  <si>
    <t>Stock Units</t>
  </si>
  <si>
    <t>Total Shipments</t>
  </si>
  <si>
    <t>New Construction Shipments</t>
  </si>
  <si>
    <t>Stock Growth Rate</t>
  </si>
  <si>
    <t>STOCK</t>
  </si>
  <si>
    <t>SHIPMENTS</t>
  </si>
  <si>
    <t>SINGLE FAMILY</t>
  </si>
  <si>
    <t>MANUFACTURED HOMES</t>
  </si>
  <si>
    <t>Post 2030 New Construction Growth Rate:</t>
  </si>
  <si>
    <t>LIFETIMES</t>
  </si>
  <si>
    <t>TOTAL HOMES</t>
  </si>
  <si>
    <t>Coal</t>
  </si>
  <si>
    <t>Solar</t>
  </si>
  <si>
    <t>DOE Central Air Conditioners and Heat Pumps 2011 Final Rule, Technical Support Document Chapter 8: Lifecycle Cost Analysis, Section 8.2.3.5 Lifetime (page 8-59)</t>
  </si>
  <si>
    <t>Air Source Heat Pump</t>
  </si>
  <si>
    <t>Portable Room Heaters</t>
  </si>
  <si>
    <t>Radiant Panels</t>
  </si>
  <si>
    <t>Steam or Hot Water Radiators</t>
  </si>
  <si>
    <t>Central Furnace</t>
  </si>
  <si>
    <t>Baseboard or Wall Units</t>
  </si>
  <si>
    <t>Other</t>
  </si>
  <si>
    <t>Not Asked</t>
  </si>
  <si>
    <t>Don't Know</t>
  </si>
  <si>
    <t>Refused</t>
  </si>
  <si>
    <t>TOTAL</t>
  </si>
  <si>
    <t>Electricity</t>
  </si>
  <si>
    <t>Natural Gas</t>
  </si>
  <si>
    <t>Fuel Oil</t>
  </si>
  <si>
    <t>Wood or Presto Logs</t>
  </si>
  <si>
    <t>Propane or Bottled Gas</t>
  </si>
  <si>
    <t>Kerosene</t>
  </si>
  <si>
    <t>Geothermal</t>
  </si>
  <si>
    <t>No Heat</t>
  </si>
  <si>
    <t>Yes</t>
  </si>
  <si>
    <t>No</t>
  </si>
  <si>
    <t>Central Electric System</t>
  </si>
  <si>
    <t>Central Gas System</t>
  </si>
  <si>
    <t>Evaporative Swamp Cooler</t>
  </si>
  <si>
    <t>Individual Window or Wall Units</t>
  </si>
  <si>
    <t>The 1992 Pacific Northwest Residential Energy Survey - Phase I, Book2: Item-by-Item Crosstabulations, Volume C: Pacific Northwest Region.  Source table numbers are listed with each data table.</t>
  </si>
  <si>
    <t>Cooling Zone 1</t>
  </si>
  <si>
    <t>Cooling Zone 2</t>
  </si>
  <si>
    <t>Cooling Zone 3</t>
  </si>
  <si>
    <t>CONSTANTS AND MENUS</t>
  </si>
  <si>
    <t>Net New Shipments</t>
  </si>
  <si>
    <t>Housing Types</t>
  </si>
  <si>
    <t>Model Years</t>
  </si>
  <si>
    <t>Shipment Types</t>
  </si>
  <si>
    <t>Count of HOUSING TYPES</t>
  </si>
  <si>
    <t>Net Replacements</t>
  </si>
  <si>
    <t>Net Change</t>
  </si>
  <si>
    <t>Retirements</t>
  </si>
  <si>
    <t>HEATING ZONE 1</t>
  </si>
  <si>
    <t>COOLING ZONE 1</t>
  </si>
  <si>
    <t>COOLING ZONE 2</t>
  </si>
  <si>
    <t>COOLING ZONE 3</t>
  </si>
  <si>
    <t>HEATING ZONE 2</t>
  </si>
  <si>
    <t>HEATING ZONE 3</t>
  </si>
  <si>
    <t>Heating Zone 1</t>
  </si>
  <si>
    <t>Heating Zone 2</t>
  </si>
  <si>
    <t>Heating Zone 3</t>
  </si>
  <si>
    <t>ALL HEATING ZONES</t>
  </si>
  <si>
    <t>ALL COOLING ZONES</t>
  </si>
  <si>
    <t>ZONE</t>
  </si>
  <si>
    <t>HVAC Systems Modeled</t>
  </si>
  <si>
    <t>HVAC SYSTEM</t>
  </si>
  <si>
    <t>DOE Furnaces and Boilers 2007 Final Rule, Technical Support Document 
Chapter 8: Lifecycle Cost Analysis, Table 8.3.3 Furnace and Boiler Lifetimes Used in the LCC Analysis</t>
  </si>
  <si>
    <t>Primary Electric Space-Heating Equipment Type</t>
  </si>
  <si>
    <t>Presence of Air Conditioning</t>
  </si>
  <si>
    <t>Most-Used Air Conditioning Equipment System Style</t>
  </si>
  <si>
    <t>1992 SATURATION DATA</t>
  </si>
  <si>
    <t xml:space="preserve">Tab C-37: Most-Used Air Conditioning Equipments System Type by Domain </t>
  </si>
  <si>
    <t>Target Shipments</t>
  </si>
  <si>
    <t>2010 - 2014</t>
  </si>
  <si>
    <t>HVAC MOMENTUM SAVINGS STOCK MODEL</t>
  </si>
  <si>
    <t>SUMMARY RESULTS</t>
  </si>
  <si>
    <t>Table C-20: Primary Space-Heating Fuel Type by Domain</t>
  </si>
  <si>
    <t>Table C-22: Primary Electric Space-Heating Equipment Type by Domain</t>
  </si>
  <si>
    <t>Tab C-26: Secondary Space-Heating Fuel Type by Domain</t>
  </si>
  <si>
    <t>Tab C-28: Secondary Electric Space-Heating Equipment Type by Domain</t>
  </si>
  <si>
    <t>Secondary Electric Space-Heating Equipment Type</t>
  </si>
  <si>
    <t>Secondary Electric Space-Heating Fuel Type</t>
  </si>
  <si>
    <t>Presence of Secondary Heating</t>
  </si>
  <si>
    <t>Table C-25: Presence of Secondary Space-heating Fuel</t>
  </si>
  <si>
    <t>Allocation to Heating Zones</t>
  </si>
  <si>
    <t>Allocation to Cooling Zones</t>
  </si>
  <si>
    <t>SATURATIONS AND ALLOCATIONS</t>
  </si>
  <si>
    <t>n/a</t>
  </si>
  <si>
    <t>Forced Air Furnace</t>
  </si>
  <si>
    <t>Total Unit Saturations</t>
  </si>
  <si>
    <t>Table C-35: Presence of Air Conditioning by Domain</t>
  </si>
  <si>
    <t>ALLOCATIONS</t>
  </si>
  <si>
    <t>SATURATIONS</t>
  </si>
  <si>
    <t>TOTAL HOMES - TOTAL UNIT SATURATION</t>
  </si>
  <si>
    <t>Source of All Data:</t>
  </si>
  <si>
    <t>CENTRAL AC</t>
  </si>
  <si>
    <t>AIR SOURCE HEAT PUMP</t>
  </si>
  <si>
    <t>Estimated Share of Market (SF and MH)*</t>
  </si>
  <si>
    <t>Calibrated Lifetime</t>
  </si>
  <si>
    <t>Calibrated Lifetime?</t>
  </si>
  <si>
    <t>AHRI SHIPMENTS</t>
  </si>
  <si>
    <t>Calibration</t>
  </si>
  <si>
    <t>Retirements / Replacements</t>
  </si>
  <si>
    <t>Replacements of Other Technology</t>
  </si>
  <si>
    <t>TOTAL HOMES SHIPMENTS ALLOCATION</t>
  </si>
  <si>
    <t>Electric</t>
  </si>
  <si>
    <t>Gas</t>
  </si>
  <si>
    <t>Table C-21: Primary Space-Heating Equipment Type by Domain</t>
  </si>
  <si>
    <t>Wall, Floor, or Ceiling Units</t>
  </si>
  <si>
    <t>Portable Units</t>
  </si>
  <si>
    <t>Primary Space-Heating Equipment Type</t>
  </si>
  <si>
    <t>Table C-27: Secondary Space-Heating Equipment Type by Domain</t>
  </si>
  <si>
    <t>Secondary Space-Heating Equipment Type</t>
  </si>
  <si>
    <t>%</t>
  </si>
  <si>
    <t>Ductless Heat Pump</t>
  </si>
  <si>
    <t>Baseboard Heater</t>
  </si>
  <si>
    <t>Boiler</t>
  </si>
  <si>
    <t>Fireplace</t>
  </si>
  <si>
    <t>Ground Source Heat Pump</t>
  </si>
  <si>
    <t>Dual Fuel Heat Pump</t>
  </si>
  <si>
    <t>Heating Stove</t>
  </si>
  <si>
    <t>Plug-In Heater</t>
  </si>
  <si>
    <t>Oil</t>
  </si>
  <si>
    <t>Propane</t>
  </si>
  <si>
    <t>Changed Fuel Type in Past Year</t>
  </si>
  <si>
    <t>Number</t>
  </si>
  <si>
    <t>Primary Fuel Type Prior to Change by Domain</t>
  </si>
  <si>
    <t>Forced Air Furnace - Electric</t>
  </si>
  <si>
    <t>Forced Air Furnace - Gas</t>
  </si>
  <si>
    <t>FAF - Electric</t>
  </si>
  <si>
    <t>FAF - Gas</t>
  </si>
  <si>
    <t>ASHP</t>
  </si>
  <si>
    <t>CAC</t>
  </si>
  <si>
    <t>SINGLE FAMILY HOMES - TOTAL UNIT SATURATION</t>
  </si>
  <si>
    <t>MANUFACTURED HOMES - TOTAL UNIT SATURATION</t>
  </si>
  <si>
    <t>SF RBSA - Table 50: Distribution of Primary Heating Systems</t>
  </si>
  <si>
    <t>Heating System Type</t>
  </si>
  <si>
    <t>Fuel Type</t>
  </si>
  <si>
    <t>SF RBSA - Table 54: Distribution of Fuel Choice, Forced Air Furnace</t>
  </si>
  <si>
    <t>SF RBSA - Table 61: Percentage of Homes with Cooling Equipment per Home</t>
  </si>
  <si>
    <t>Cooling Zone</t>
  </si>
  <si>
    <t>All Cooling Zones</t>
  </si>
  <si>
    <t>SF RBSA - Table 62: Distribution of Primary Cooling Systems in Cooling Zones</t>
  </si>
  <si>
    <t>Cooling System Type</t>
  </si>
  <si>
    <t>PTAC</t>
  </si>
  <si>
    <t>Evaporative Cooler</t>
  </si>
  <si>
    <t>Window AC</t>
  </si>
  <si>
    <t>The 2011 RESIDENTIAL BUILDING STOCK ASSESSMENT: SINGLE-FAMILY CHARACTERISTICS AND ENERGY USE</t>
  </si>
  <si>
    <t>RESIDENTIAL BUILDING STOCK ASSESSMENT: MANUFACTURED HOME CHARACTERISTICS AND ENERGY USE</t>
  </si>
  <si>
    <t>Sources of Data:</t>
  </si>
  <si>
    <t>MH RBSA - Table 32: Distribution of Primary Heating System</t>
  </si>
  <si>
    <t>MH RBSA - Table 36: Distribution of Fuel Choice, Forced Air Furnace</t>
  </si>
  <si>
    <t>MH RBSA - Table 41: Percentage of Homes with Any Mechanical Cooling Equipment</t>
  </si>
  <si>
    <t>MH RBSA - Table 42: Distribution of Primary Cooling Systems in Cooling Zones</t>
  </si>
  <si>
    <t>Extracted from survey databases of the 2011 Single Family and Manufactured Homes Residential Building Stock Assessments</t>
  </si>
  <si>
    <t>Sources:</t>
  </si>
  <si>
    <t>New Construction Saturations</t>
  </si>
  <si>
    <t>Primary Space-Heating Fuel Type</t>
  </si>
  <si>
    <t>Gas Available in your Neighborhood</t>
  </si>
  <si>
    <t>Switched away from Electric Heat</t>
  </si>
  <si>
    <t>Table C-31: Changed Primary Fuel Type in Last Year by Domain</t>
  </si>
  <si>
    <t>Table C-32: Primary Fuel Type Prior to Change by Domain</t>
  </si>
  <si>
    <t>Table C-34: Natural Gas Available in Neighborhood by Domain</t>
  </si>
  <si>
    <t>Natural Gas Available</t>
  </si>
  <si>
    <t>Sources and Assumptions:</t>
  </si>
  <si>
    <t>SINGLE FAMILY HOMES - FAF - ELECTRIC Fraction of Gas Switching</t>
  </si>
  <si>
    <t>FAF - Electric Fraction of Eligible Technologies</t>
  </si>
  <si>
    <t>MANUFACTURED HOMES - FAF - ELECTRIC Fraction of Gas Switching</t>
  </si>
  <si>
    <t>FAF - Electric Retirements NOT Replaced by another 
FAF - Electric</t>
  </si>
  <si>
    <t>FAF - Electric Conversions to FAF - Gas</t>
  </si>
  <si>
    <t>Remaining FAF - Electric Conversions to ASHP</t>
  </si>
  <si>
    <t>ASHP New Construction Shipments</t>
  </si>
  <si>
    <t>Total ASHP Shipments</t>
  </si>
  <si>
    <t>ASHP Replacements of Retired ASHP</t>
  </si>
  <si>
    <t>=</t>
  </si>
  <si>
    <t>FORCED AIR FURNACE - ELECTRIC</t>
  </si>
  <si>
    <t>FORCED AIR FURNACE - GAS</t>
  </si>
  <si>
    <t>2011 SATURATION DATA</t>
  </si>
  <si>
    <t>Conversions and Upgrades</t>
  </si>
  <si>
    <t>CONVERSIONS</t>
  </si>
  <si>
    <t>UPGRADES</t>
  </si>
  <si>
    <t>NEW SHIPMENTS</t>
  </si>
  <si>
    <t>CONVERSIONS AND UPGRADES</t>
  </si>
  <si>
    <t>AHRI Shipment Data</t>
  </si>
  <si>
    <t>2011 DOE Furnace and Central Air Conditioners and Heat Pump National Impact Analysis Spreadsheet, 'User Inputs' tab, Range "D8:E8".</t>
  </si>
  <si>
    <t xml:space="preserve">Assumes No Change in MH Stock Saturation of FAF- Electric, drop in overall electric FAF saturation is entirely within the SF segment </t>
  </si>
  <si>
    <t xml:space="preserve">NC - MH- FAF Electric: assumes 80% saturation for shipped units.  Not many "other" technologies being installed in MH. </t>
  </si>
  <si>
    <t>Tab name</t>
  </si>
  <si>
    <t>Table name</t>
  </si>
  <si>
    <t>Description</t>
  </si>
  <si>
    <t>Source</t>
  </si>
  <si>
    <t>Source Contact</t>
  </si>
  <si>
    <t>Units</t>
  </si>
  <si>
    <t>Input and Scenario Summary</t>
  </si>
  <si>
    <t>Equation:</t>
  </si>
  <si>
    <t>SEEM UEC Values</t>
  </si>
  <si>
    <t>HVAC unit energy consumption in homes outside of programs, in kWh/yr by climate zone, housing type, installation type, and unit efficiency</t>
  </si>
  <si>
    <t>SEEM model runs conducted by Navigant with RTF-approved inputs that represent the weighted average of RBSA data. The 'SEEM data reorganize' tab in this workbook is the weighted average result of all runs conducted by Navigant.</t>
  </si>
  <si>
    <t>SF SEEM inputs were developed by Adam Hadley for the RTF, Manufactured home inputs were developed by Mohit Singh-Chabra for the RTF. The single family runs have been calibrated, the manufactured home runs are still uncalibrated as the RTF calibration procedure is still in process. Jonathan Strahl and Michael Soda developed the Navigant SEEM runs.</t>
  </si>
  <si>
    <t>kWh/yr</t>
  </si>
  <si>
    <t>Market Size</t>
  </si>
  <si>
    <t>The size of the HVAC market (number of shipments) by year, housing type, and installation type</t>
  </si>
  <si>
    <t xml:space="preserve">Stock turnover model results, calibrated to AHRI market data. The stock turnover model uses inputs from PENRES 1992 and RBSA equipment saturation studies conducted in the region, combined with census data, new construction data, and unit lifetime assumptions to estimate the number of shipments of air source heat pumps in each year of the analysis. The 'Market Data' tab of this workbook is the raw output from the stock turnover model, and the 'Market Data reorganize' tab reorganizes those outputs for use in this analysis. </t>
  </si>
  <si>
    <t># of HVAC units</t>
  </si>
  <si>
    <t>Efficiency Distribution</t>
  </si>
  <si>
    <t>The percent of each unit efficiency in the market, by year, under the Sixth Plan Baseline and in the actual market</t>
  </si>
  <si>
    <t xml:space="preserve">The residential space conditioning supply curve of the 6th Power Plan defines the base case efficiency distributions. Data from surveys of HVAC distributors define the efficient case distributions. The 'Sales Data reorganize' tab of this workbook are the aggregated results of the distributor survey efforts. </t>
  </si>
  <si>
    <t>Program Savings</t>
  </si>
  <si>
    <t>Savings from all ASHP res HVAC utility programs in the region, by year and service territory, measured against the Sixth Plan Baseline</t>
  </si>
  <si>
    <t>BPA and IOU program data provided by regional utilities and analyzed by Navigant. The 'Program Data reorganize' tab is the end result of this analysis.</t>
  </si>
  <si>
    <t>Bonnie Watson at BPA led program data collection efforts. Terese Decker and Jonathan Strahl conducted the analysis to measure program savings against the Sixth Plan Baseline.</t>
  </si>
  <si>
    <t>MWh/yr</t>
  </si>
  <si>
    <t>Market Size X Efficiency Distribution = Disaggregated Market Size</t>
  </si>
  <si>
    <t>Disaggregated Market Size</t>
  </si>
  <si>
    <t>The number of units sold into the market by year, efficiency level, base/actual market,  installation type, and housing type</t>
  </si>
  <si>
    <t>Navigant calculation developed by Jonathan Strahl</t>
  </si>
  <si>
    <t>Total Market Consumption</t>
  </si>
  <si>
    <t>Disaggregated Market Size x SEEM UEC Values = Total Market Consumption = Total Market Consumption (reorganized)</t>
  </si>
  <si>
    <t>Total energy consumption (kWh/yr) from HVAC units in the market by year, efficiency level, market case, installation type, and housing type</t>
  </si>
  <si>
    <t>Total Market Consumption (reorganized)</t>
  </si>
  <si>
    <t>Total energy consumption (MWh/yr) in the market by market case. Calculation to remove the dimensionality of the 'Total Market Consumption' variable and convert to MWh</t>
  </si>
  <si>
    <t>Total Market Savings</t>
  </si>
  <si>
    <t>Total Market Consumption (Base) - Total Market Consumption (Efficient) = Total Market Savings</t>
  </si>
  <si>
    <t>Total Market Consumption (Base)</t>
  </si>
  <si>
    <t>Total energy consumption (MWh/yr) in the Sixth Plan Baseline market case</t>
  </si>
  <si>
    <t>Input from Total Market Consumption (reorganized)</t>
  </si>
  <si>
    <t>Total Market Consumption (Actual)</t>
  </si>
  <si>
    <t>Total energy consumption (MWh/yr) in the actual market case</t>
  </si>
  <si>
    <t>Savings (MWh/yr) in the residential ASHP HVAC market by year</t>
  </si>
  <si>
    <t>Momentum Savings</t>
  </si>
  <si>
    <t>Total Market Savings - Program Savings = Momentum Savings</t>
  </si>
  <si>
    <t>Momentum savings in the residential ASHP HVAC market by year</t>
  </si>
  <si>
    <t>MWh/yr, aMW</t>
  </si>
  <si>
    <t>SEEM Data</t>
  </si>
  <si>
    <t>SEEM UEC data for use in the Momentum Savings Analysis</t>
  </si>
  <si>
    <t>Ben Barrington</t>
  </si>
  <si>
    <t>Data Master - Heat Pump 1 Phase.xlsx</t>
  </si>
  <si>
    <t>Mark Bielecki</t>
  </si>
  <si>
    <t>Sales Data (Combined)</t>
  </si>
  <si>
    <t>Sales data for use in the Momentum Savings Analysis, combined for all distributors</t>
  </si>
  <si>
    <t>Program Data</t>
  </si>
  <si>
    <t>Program data for use in the Momentum Savings Analysis</t>
  </si>
  <si>
    <t>Terese Decker</t>
  </si>
  <si>
    <t>Legend</t>
  </si>
  <si>
    <t>Inputs</t>
  </si>
  <si>
    <t>Calculations</t>
  </si>
  <si>
    <t>Scenario Lists:</t>
  </si>
  <si>
    <t>Conservative</t>
  </si>
  <si>
    <t>Conservatively interprets sales data as being 100% in the lowest possible efficiency bin</t>
  </si>
  <si>
    <t>Mid - Value</t>
  </si>
  <si>
    <t>Interprets sales data as being split 50-50 between possible efficiency bins</t>
  </si>
  <si>
    <t>Optimistic</t>
  </si>
  <si>
    <t>Interprets sales data as being 100% in the highest possible efficiency bin</t>
  </si>
  <si>
    <t>SEEM Models</t>
  </si>
  <si>
    <t>Sources of Total Market Savings</t>
  </si>
  <si>
    <t>Low (10%)</t>
  </si>
  <si>
    <t>Mid (20%)</t>
  </si>
  <si>
    <t>High (30%)</t>
  </si>
  <si>
    <t>Single Family Unit Count by Efficiency Level</t>
  </si>
  <si>
    <t>Unit Type</t>
  </si>
  <si>
    <t>HSPF_7.7</t>
  </si>
  <si>
    <t>HSPF_8.5</t>
  </si>
  <si>
    <t>HSPF_9.0</t>
  </si>
  <si>
    <t>HSPF_9.5</t>
  </si>
  <si>
    <t>HSPF_10.0</t>
  </si>
  <si>
    <t>HSPF_10.5</t>
  </si>
  <si>
    <t>HSPF_11.5</t>
  </si>
  <si>
    <t>Manufactured Home Unit Count by Efficiency Level</t>
  </si>
  <si>
    <t>Efficiency Level</t>
  </si>
  <si>
    <t>Single Family Homes - Conversions</t>
  </si>
  <si>
    <t>Single Family Homes</t>
  </si>
  <si>
    <t>Program Savings (MWh)</t>
  </si>
  <si>
    <t>Heating Zone</t>
  </si>
  <si>
    <t>HZ 1</t>
  </si>
  <si>
    <t>HZ 2</t>
  </si>
  <si>
    <t>HZ 3</t>
  </si>
  <si>
    <t>PNW Region</t>
  </si>
  <si>
    <t>Territory</t>
  </si>
  <si>
    <t>Electric FAF</t>
  </si>
  <si>
    <t>Total Shipments - Conversions</t>
  </si>
  <si>
    <t>Total Shipments - Upgrades</t>
  </si>
  <si>
    <t>PNW Total</t>
  </si>
  <si>
    <t>Single Family Homes - Upgrades</t>
  </si>
  <si>
    <t>Scenario Selection</t>
  </si>
  <si>
    <t>Select ASHP Measure Lifetime (15-30 yrs)</t>
  </si>
  <si>
    <t>Manufactured Homes - Conversions</t>
  </si>
  <si>
    <t>Analysis Year</t>
  </si>
  <si>
    <t>Installation Type</t>
  </si>
  <si>
    <t>&lt;--"No" defaults to results from stock turnover model</t>
  </si>
  <si>
    <t>% Conversions from Electric FAF to ASHP (0-100%)</t>
  </si>
  <si>
    <t>Sales Data Allocation</t>
  </si>
  <si>
    <t>Sales Data Efficiency Bin Allocation</t>
  </si>
  <si>
    <t>Manufactured home UEC based on</t>
  </si>
  <si>
    <t>Manufactured Homes - Upgrades</t>
  </si>
  <si>
    <t>Actual Case - Upgrades</t>
  </si>
  <si>
    <t>Momentum Savings (MWh)</t>
  </si>
  <si>
    <t>Momentum Savings (aMW)</t>
  </si>
  <si>
    <t>SEEM Manufactured Homes - Conversions</t>
  </si>
  <si>
    <t>SEEM Manufactured Homes - Upgrades</t>
  </si>
  <si>
    <t>% Conversions</t>
  </si>
  <si>
    <t>% Upgrades</t>
  </si>
  <si>
    <t>85% of SF Manufactured Homes - Conversions</t>
  </si>
  <si>
    <t>85% of SF Manufactured Homes - Upgrades</t>
  </si>
  <si>
    <t>X</t>
  </si>
  <si>
    <t>Base Case</t>
  </si>
  <si>
    <t>Actual Case</t>
  </si>
  <si>
    <t>Conversions</t>
  </si>
  <si>
    <t>Base Case Units Shipped by Efficiency Level - Single Family</t>
  </si>
  <si>
    <t>Efficient Case Units Shipped by Efficiency Level - Single Family</t>
  </si>
  <si>
    <t>Upgrades</t>
  </si>
  <si>
    <t>Base Case Units Shipped by Efficiency Level - Manufactured Homes</t>
  </si>
  <si>
    <t>Efficient Case Units Shipped by Efficiency Level - Manufactured Homes</t>
  </si>
  <si>
    <t>Total - Base</t>
  </si>
  <si>
    <t>Total - Actual</t>
  </si>
  <si>
    <t>Total Market Consumption (Reframed)</t>
  </si>
  <si>
    <t>Base Case Market Consumption - Single Family (kWh)</t>
  </si>
  <si>
    <t>Efficient Case Market Consumption - Single Family (kWh)</t>
  </si>
  <si>
    <t>Single Family (MWh)</t>
  </si>
  <si>
    <t>Case</t>
  </si>
  <si>
    <t>Base</t>
  </si>
  <si>
    <t>Conversion</t>
  </si>
  <si>
    <t>Upgrade</t>
  </si>
  <si>
    <t>Actual</t>
  </si>
  <si>
    <t>Manufactured Home (MWh)</t>
  </si>
  <si>
    <t>Install Type</t>
  </si>
  <si>
    <t>Total Market Consumption (MWh)</t>
  </si>
  <si>
    <t>House Type</t>
  </si>
  <si>
    <t>Base Case Market Consumption - Manufactured Homes (kWh)</t>
  </si>
  <si>
    <t>Efficient Case Market Consumption - Manufactured Homes (kWh)</t>
  </si>
  <si>
    <t>kwh to Mwh</t>
  </si>
  <si>
    <t>-</t>
  </si>
  <si>
    <t>Total Market Savings (MWh)</t>
  </si>
  <si>
    <t>SEEM UEC Values - STD</t>
  </si>
  <si>
    <t>Single Family - Air Source Heat Pump Upgrades (kWh/yr)</t>
  </si>
  <si>
    <t>Heating</t>
  </si>
  <si>
    <t>Single Family - Electric Forced Air Furnace to Heat Pump Conversions (kWh/yr)</t>
  </si>
  <si>
    <t>Manufactured Homes - Electric Forced Air Furnace to Heat Pump Conversions (Uncalibrated) (kWh/yr)</t>
  </si>
  <si>
    <t>HZ1CZ1</t>
  </si>
  <si>
    <t>HZ2CZ2</t>
  </si>
  <si>
    <t>HZ3CZ3</t>
  </si>
  <si>
    <t>Regional Weighted Average</t>
  </si>
  <si>
    <t>Location Climate Data</t>
  </si>
  <si>
    <t>AHRI</t>
  </si>
  <si>
    <t>Stock Turnover</t>
  </si>
  <si>
    <t>Split System Heat Pumps</t>
  </si>
  <si>
    <t>HSPF BIN</t>
  </si>
  <si>
    <t xml:space="preserve">&lt;2 tons </t>
  </si>
  <si>
    <t>2-3.5 tons</t>
  </si>
  <si>
    <t>&gt;3.5 to 5 tons</t>
  </si>
  <si>
    <t>&lt; 8.2</t>
  </si>
  <si>
    <t>8.2-8.99</t>
  </si>
  <si>
    <t>9-9.99</t>
  </si>
  <si>
    <t>10-11.49</t>
  </si>
  <si>
    <t>&gt;11.5</t>
  </si>
  <si>
    <t>&lt;8.2</t>
  </si>
  <si>
    <t>Summary - Method 1</t>
  </si>
  <si>
    <t>Efficiency Distribution - Method 1</t>
  </si>
  <si>
    <t>Summary - Method 2</t>
  </si>
  <si>
    <t>Efficiency Distribution - Method 2</t>
  </si>
  <si>
    <t>Method 2 Reframe</t>
  </si>
  <si>
    <t>Total Units by Efficiency</t>
  </si>
  <si>
    <t>Efficiency Distribution (%)</t>
  </si>
  <si>
    <t>Distribution from raw data - for comparison</t>
  </si>
  <si>
    <t>Efficient Case</t>
  </si>
  <si>
    <t>Heat Pumps:  Single Phase</t>
  </si>
  <si>
    <t>Please enter unit sales by year and efficiency and capacity.</t>
  </si>
  <si>
    <t>AHRI Totals</t>
  </si>
  <si>
    <t>Res Split Heat Pump</t>
  </si>
  <si>
    <t>Res Package Heat Pump</t>
  </si>
  <si>
    <t>Market Share Collected by Research Team</t>
  </si>
  <si>
    <t>Single Package Heat Pumps</t>
  </si>
  <si>
    <t>*Note 2014 AHRI total data is rolling 12-month average through Q3 of 2014</t>
  </si>
  <si>
    <t>Ductless Mini Split Heat Pumps</t>
  </si>
  <si>
    <t>Please estimate the average number of heads per outdoor unit (for all 1-phase ductless mini-splits):</t>
  </si>
  <si>
    <t>average # of heads per system.</t>
  </si>
  <si>
    <t>Water Source Heat Pumps (assume Geo-type )</t>
  </si>
  <si>
    <t>Code Minimum</t>
  </si>
  <si>
    <t xml:space="preserve">Standard </t>
  </si>
  <si>
    <t>Premium</t>
  </si>
  <si>
    <t>Total Program Consumption (Reframed)</t>
  </si>
  <si>
    <t>Total Program Consumption (Base)</t>
  </si>
  <si>
    <t>Total Program Consumption (Efficient)</t>
  </si>
  <si>
    <t>Total Program Savings</t>
  </si>
  <si>
    <t>Total Program Consumption (MWh)</t>
  </si>
  <si>
    <t>Total Program Savings (MWh)</t>
  </si>
  <si>
    <t>Efficient</t>
  </si>
  <si>
    <t>NEW + UPGRADES</t>
  </si>
  <si>
    <t>AHRI Data as % of Stock Turnover Market Size</t>
  </si>
  <si>
    <t>FAF - Electric NOT Converted</t>
  </si>
  <si>
    <t>% of SF UEC</t>
  </si>
  <si>
    <t>The Stock Turnover Model is Located on the Following Tabs</t>
  </si>
  <si>
    <t>Stock Turnover Model</t>
  </si>
  <si>
    <t xml:space="preserve">Market data for use in the Momentum Savings Analysis to determine the number of air source heat pumps, gas furnaces, and electric furnaces sold into the region. The interaction of these stock turnover models also determines the breakdown between upgrades and conversions in the heat pump market. </t>
  </si>
  <si>
    <t>08202015 - HVAC Stock and Shipments Model v35</t>
  </si>
  <si>
    <t>E-FAF to E-FAF</t>
  </si>
  <si>
    <t>E-FAF to Gas-FAF</t>
  </si>
  <si>
    <t>E-FAF to ASHP Conversions</t>
  </si>
  <si>
    <t>FAF - Electric Total Electric Market</t>
  </si>
  <si>
    <t>Note: Set equal to single family due to lack of information</t>
  </si>
  <si>
    <t>FAF - Electric Total Natural Replacement Market</t>
  </si>
  <si>
    <t>Electric Forced Air Furnace</t>
  </si>
  <si>
    <t>FAF - Electric NOT Converted, % of NR Market</t>
  </si>
  <si>
    <t>FAF - Electric Converted to Gas FAF, % of NR Market</t>
  </si>
  <si>
    <t>FAF - Electric Converted to ASHP, % of NR Market</t>
  </si>
  <si>
    <t>Qty Converted to ASHP</t>
  </si>
  <si>
    <t>Qty Converted to Gas FAF</t>
  </si>
  <si>
    <t>Qty Remaining Electric FAF</t>
  </si>
  <si>
    <t>Total E-FAF natural replacement market size</t>
  </si>
  <si>
    <t>Total E-FAF natural replacement market size not converted to gas</t>
  </si>
  <si>
    <t>ASHP New Construction + Replacements</t>
  </si>
  <si>
    <t>Base Case - Upgrades - Single Family &amp; Manufactured Homes</t>
  </si>
  <si>
    <t>Base Case - Conversions - % of Total E-FAF natural replacement market not converted to gas</t>
  </si>
  <si>
    <t>Actual Case - Conversions - Manufactured Homes % of Total E-FAF natural replacement market not converted to gas</t>
  </si>
  <si>
    <t>Stock Turnover Model Override</t>
  </si>
  <si>
    <t>Actual Case - Conversions - Single Family Homes % of Total E-FAF natural replacement market not converted to gas</t>
  </si>
  <si>
    <t>Without CC&amp;S</t>
  </si>
  <si>
    <t>With CC&amp;S</t>
  </si>
  <si>
    <t xml:space="preserve">Efficiency Level </t>
  </si>
  <si>
    <t>No equation, these are raw inputs sourced from other workbooks</t>
  </si>
  <si>
    <t>Sensitivtiy Analysis Outputs</t>
  </si>
  <si>
    <t>Percent Difference</t>
  </si>
  <si>
    <t>SEEM UEC Values - CC&amp;S</t>
  </si>
  <si>
    <t xml:space="preserve">The HVAC Momentum Savings Stock Model backcasts and forecasts the shipments and stock of three heating technologies in the Pacific Northwest based on housing stock projections, product saturation, lifetime, and aggregated HVAC sales data.  Shipments and stock are assigned to either Single Family or Manufactured Homes.  Output from this model is combined with building simulation data from SEEM to develop and estimate of momentum savings in the region from 2010 to 2014.   </t>
  </si>
  <si>
    <t xml:space="preserve">The stock turnover model was developed by the research team, led by Ben Barrington at Cadeo. </t>
  </si>
  <si>
    <t xml:space="preserve">Tom Eckman at the Council developed the residential space conditioning supply curve, the efficient case was developed through sales data collected by the research team, led by Mark Bielecki at Navigant. </t>
  </si>
  <si>
    <t>Jonathan Strahl and Mike Soda</t>
  </si>
  <si>
    <t>Programmatic Savings Calcs - 8-27.xlsx</t>
  </si>
  <si>
    <t>Nine different SEEM model spreadsheets (single family PTCS, single family standard, manufactured homes, each in all three heating zones).</t>
  </si>
  <si>
    <t>Average Annual Conversions</t>
  </si>
  <si>
    <t>Average Annual Upgrades</t>
  </si>
  <si>
    <t>Total Market Consumption (aMW)</t>
  </si>
  <si>
    <t>Total Units Shipped (AHRI and stock turnover)</t>
  </si>
  <si>
    <t>Total Units Collected (Distributor surveys)</t>
  </si>
  <si>
    <t>Estimated Portion of Market Surveyed (%)</t>
  </si>
  <si>
    <t>HSPF 7.7</t>
  </si>
  <si>
    <t>HSPF 8.5</t>
  </si>
  <si>
    <t>HSPF 9.0</t>
  </si>
  <si>
    <t>HSPF 9.5</t>
  </si>
  <si>
    <t>HSPF 10.0</t>
  </si>
  <si>
    <t>HSPF 10.5</t>
  </si>
  <si>
    <t>HSPF 11.5</t>
  </si>
  <si>
    <t>Total Market Consumption (Reframed in aMW)</t>
  </si>
  <si>
    <t>Single Family (aMW)</t>
  </si>
  <si>
    <t>Manufactured Home (aMW)</t>
  </si>
  <si>
    <t>Base Market Consumption</t>
  </si>
  <si>
    <t>Actual Market Consumption</t>
  </si>
  <si>
    <t>Program Savings (% of Total Market)</t>
  </si>
  <si>
    <t>Momentum Savings (% of Total Market)</t>
  </si>
  <si>
    <t>Program Savings (aMW)</t>
  </si>
  <si>
    <t>2010
(n=1, c=648)</t>
  </si>
  <si>
    <t>2011
(n=3, c=4122)</t>
  </si>
  <si>
    <t>2012
(n=4, c=4172)</t>
  </si>
  <si>
    <t>2013
(n=5, c=16798)</t>
  </si>
  <si>
    <t>2014
(n=5, c=19475)</t>
  </si>
  <si>
    <t>Average HSPF</t>
  </si>
  <si>
    <t>Year</t>
  </si>
  <si>
    <t>&lt; 2 tons</t>
  </si>
  <si>
    <t>3.5-5 tons</t>
  </si>
  <si>
    <t>HSPF Bins</t>
  </si>
  <si>
    <t xml:space="preserve">The tables below represent the anonymous sales data aggregated using the chain logic method. The research team decided to use method 2 in the analysis. </t>
  </si>
  <si>
    <t>SF SEEM inputs were developed by Adam Hadley for the RTF, Manufactured home inputs were developed by Mohit Singh-Chhabra for the RTF. The single family runs have been calibrated, the manufactured home runs are still uncalibrated as the RTF calibration procedure is still in process. Jonathan Strahl and Michael Soda developed the Navigant SEEM runs.</t>
  </si>
  <si>
    <t>RY Q3 2014</t>
  </si>
  <si>
    <t>Furnaces - 80%</t>
  </si>
  <si>
    <t>Furnaces - 90%</t>
  </si>
  <si>
    <t>Furnaces - 95%</t>
  </si>
  <si>
    <t>Total Furnaces</t>
  </si>
  <si>
    <t>FAF - Electric NOT Converted, % of Natural Replacement Market</t>
  </si>
  <si>
    <t>FAF - Electric Converted to Gas FAF, % of Natural Replacement Market</t>
  </si>
  <si>
    <t>FAF - Electric Converted to ASHP, % of Natural Replacement Market</t>
  </si>
  <si>
    <t>**HP Control Strategies</t>
  </si>
  <si>
    <t>Strip heat runs as needed if Tin &gt;3F below setpoint or compressor output doesn't meet load</t>
  </si>
  <si>
    <t>Compressor lockout if Tout &lt; Tcntrl</t>
  </si>
  <si>
    <t>Strip heat lockout if Tout &gt; Tcntrl</t>
  </si>
  <si>
    <t>Strip heat on with compressor if Tout &lt; Tcntrl</t>
  </si>
  <si>
    <t>Locks out strip heat if Tout &gt; Tcntrl and locks out compressor if Tout &lt;= Tcntrl</t>
  </si>
  <si>
    <t xml:space="preserve">For DHP equipment only. Simulates house heating fraction based on outdoor temperature </t>
  </si>
  <si>
    <t>and heat loss rate.  If not 10, runs with the fixed, user-input heating fraction.</t>
  </si>
  <si>
    <t>Five-part base case: Runs five different control strategies and weights them accordingly:</t>
  </si>
  <si>
    <t>Weight</t>
  </si>
  <si>
    <t>HPControl</t>
  </si>
  <si>
    <t>TControl</t>
  </si>
  <si>
    <t>NA</t>
  </si>
  <si>
    <t>Two-part efficient case: Runs 2 different control strategies, weighted as so</t>
  </si>
  <si>
    <t>Four-part alternative case: Runs an alternate base case with only four parts</t>
  </si>
  <si>
    <t>Four-part alternative case with 0.8 flow multiplier</t>
  </si>
  <si>
    <t>Uses the same HPControl and Tcontrol settings as 102, but set cfmmult to 0.8</t>
  </si>
  <si>
    <t>Note: "CC&amp;S" indicates that the unit installed in the home follows proper regional guidance with respect to comissioning, controls, and sizing. These units operate more efficiently, as they are assumed to be sized appropriately and installed with a control system that meets occupant's needs without overconditioning the home. Specifically, this is represented by a change of inputs to SEEM, so the size is "PTCS" instead of "Standard", and the control strategy is "101" instead of "103". Control strategies are listed in the table at the right.</t>
  </si>
  <si>
    <t>Note:The weightings of the characteristic scenarios for upgrade and conversion cases are different, which leads to UEC values for the same system in the two cases. In other words, in the RBSA, homes that have electric FAF initially are different from homes that have ASHP initially in terms of size and shell characteristics.</t>
  </si>
  <si>
    <t xml:space="preserve">Assumes constants for new construction saturation are the same between 1992 and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</si>
</sst>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00%"/>
    <numFmt numFmtId="167" formatCode="m/d/\ h:mm"/>
    <numFmt numFmtId="168" formatCode="0.0"/>
    <numFmt numFmtId="169" formatCode="mmm\-yyyy"/>
    <numFmt numFmtId="170" formatCode="_(* #,##0.0_);_(* \(#,##0.0\);_(* &quot;-&quot;??_);_(@_)"/>
  </numFmts>
  <fonts count="113">
    <font>
      <sz val="10"/>
      <name val="Arial"/>
      <family val="2"/>
    </font>
    <font>
      <sz val="11"/>
      <color theme="1"/>
      <name val="Calibri"/>
      <family val="2"/>
      <scheme val="minor"/>
    </font>
    <font>
      <b/>
      <sz val="10"/>
      <name val="Arial"/>
      <family val="2"/>
    </font>
    <font>
      <b/>
      <u val="single"/>
      <sz val="10"/>
      <name val="Arial"/>
      <family val="2"/>
    </font>
    <font>
      <b/>
      <sz val="11"/>
      <color theme="0"/>
      <name val="Calibri"/>
      <family val="2"/>
      <scheme val="minor"/>
    </font>
    <font>
      <sz val="11"/>
      <color rgb="FF3F3F76"/>
      <name val="Calibri"/>
      <family val="2"/>
      <scheme val="minor"/>
    </font>
    <font>
      <sz val="10"/>
      <color rgb="FF0070C0"/>
      <name val="Arial"/>
      <family val="2"/>
    </font>
    <font>
      <b/>
      <sz val="10"/>
      <color theme="0"/>
      <name val="Arial"/>
      <family val="2"/>
    </font>
    <font>
      <sz val="10"/>
      <color theme="1"/>
      <name val="Arial"/>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2"/>
      <name val="Times New Roman"/>
      <family val="1"/>
    </font>
    <font>
      <b/>
      <sz val="15"/>
      <color indexed="56"/>
      <name val="Calibri"/>
      <family val="2"/>
    </font>
    <font>
      <b/>
      <sz val="10"/>
      <color indexed="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Segoe UI"/>
      <family val="2"/>
    </font>
    <font>
      <b/>
      <sz val="10"/>
      <name val="Segoe UI"/>
      <family val="2"/>
    </font>
    <font>
      <sz val="11"/>
      <color theme="1"/>
      <name val="Segoe UI"/>
      <family val="2"/>
    </font>
    <font>
      <sz val="11"/>
      <name val="Segoe UI"/>
      <family val="2"/>
    </font>
    <font>
      <b/>
      <sz val="11"/>
      <color rgb="FF000000"/>
      <name val="Segoe UI"/>
      <family val="2"/>
    </font>
    <font>
      <sz val="11"/>
      <color rgb="FF000000"/>
      <name val="Segoe UI"/>
      <family val="2"/>
    </font>
    <font>
      <sz val="10"/>
      <name val="Calibri"/>
      <family val="2"/>
      <scheme val="minor"/>
    </font>
    <font>
      <b/>
      <sz val="10"/>
      <name val="Calibri"/>
      <family val="2"/>
      <scheme val="minor"/>
    </font>
    <font>
      <b/>
      <u val="single"/>
      <sz val="10"/>
      <name val="Calibri"/>
      <family val="2"/>
      <scheme val="minor"/>
    </font>
    <font>
      <i/>
      <sz val="10"/>
      <name val="Calibri"/>
      <family val="2"/>
      <scheme val="minor"/>
    </font>
    <font>
      <sz val="10"/>
      <color rgb="FF0070C0"/>
      <name val="Calibri"/>
      <family val="2"/>
      <scheme val="minor"/>
    </font>
    <font>
      <b/>
      <sz val="10"/>
      <color rgb="FF0070C0"/>
      <name val="Calibri"/>
      <family val="2"/>
      <scheme val="minor"/>
    </font>
    <font>
      <u val="single"/>
      <sz val="10"/>
      <name val="Calibri"/>
      <family val="2"/>
      <scheme val="minor"/>
    </font>
    <font>
      <sz val="10"/>
      <color rgb="FF00B0F0"/>
      <name val="Calibri"/>
      <family val="2"/>
      <scheme val="minor"/>
    </font>
    <font>
      <u val="single"/>
      <sz val="10"/>
      <color theme="10"/>
      <name val="Arial"/>
      <family val="2"/>
    </font>
    <font>
      <b/>
      <sz val="11"/>
      <color theme="1"/>
      <name val="Calibri"/>
      <family val="2"/>
      <scheme val="minor"/>
    </font>
    <font>
      <sz val="11"/>
      <name val="Calibri"/>
      <family val="2"/>
      <scheme val="minor"/>
    </font>
    <font>
      <b/>
      <i/>
      <sz val="11"/>
      <color theme="1"/>
      <name val="Calibri"/>
      <family val="2"/>
      <scheme val="minor"/>
    </font>
    <font>
      <b/>
      <sz val="10"/>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color rgb="FFFF0000"/>
      <name val="Calibri"/>
      <family val="2"/>
      <scheme val="minor"/>
    </font>
    <font>
      <sz val="9"/>
      <name val="Arial"/>
      <family val="2"/>
    </font>
    <font>
      <u val="single"/>
      <sz val="10"/>
      <color indexed="12"/>
      <name val="Arial"/>
      <family val="2"/>
    </font>
    <font>
      <sz val="11"/>
      <color indexed="63"/>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sz val="12"/>
      <name val="Helv"/>
      <family val="2"/>
    </font>
    <font>
      <b/>
      <sz val="18"/>
      <color indexed="62"/>
      <name val="Cambria"/>
      <family val="2"/>
    </font>
    <font>
      <sz val="10"/>
      <name val="MS Sans Serif"/>
      <family val="2"/>
    </font>
    <font>
      <b/>
      <sz val="12"/>
      <color theme="1"/>
      <name val="Calibri"/>
      <family val="2"/>
      <scheme val="minor"/>
    </font>
    <font>
      <b/>
      <sz val="10"/>
      <color theme="1"/>
      <name val="Calibri"/>
      <family val="2"/>
    </font>
    <font>
      <sz val="10"/>
      <color theme="1"/>
      <name val="Calibri"/>
      <family val="2"/>
      <scheme val="minor"/>
    </font>
    <font>
      <sz val="10"/>
      <color theme="1"/>
      <name val="Calibri"/>
      <family val="2"/>
    </font>
    <font>
      <b/>
      <sz val="10"/>
      <color theme="1"/>
      <name val="Calibri"/>
      <family val="2"/>
      <scheme val="minor"/>
    </font>
    <font>
      <sz val="22"/>
      <color theme="1"/>
      <name val="Calibri"/>
      <family val="2"/>
      <scheme val="minor"/>
    </font>
    <font>
      <b/>
      <sz val="10"/>
      <color rgb="FFC00000"/>
      <name val="Calibri"/>
      <family val="2"/>
      <scheme val="minor"/>
    </font>
    <font>
      <b/>
      <i/>
      <sz val="10"/>
      <color theme="1"/>
      <name val="Calibri"/>
      <family val="2"/>
      <scheme val="minor"/>
    </font>
    <font>
      <sz val="10"/>
      <color indexed="8"/>
      <name val="MS sans serif"/>
      <family val="2"/>
    </font>
    <font>
      <sz val="20"/>
      <name val="Arial"/>
      <family val="2"/>
    </font>
    <font>
      <b/>
      <sz val="10"/>
      <color theme="0"/>
      <name val="Calibri"/>
      <family val="2"/>
    </font>
    <font>
      <sz val="10"/>
      <color theme="0"/>
      <name val="Calibri"/>
      <family val="2"/>
    </font>
    <font>
      <b/>
      <sz val="11"/>
      <name val="Calibri"/>
      <family val="2"/>
      <scheme val="minor"/>
    </font>
    <font>
      <b/>
      <sz val="11"/>
      <name val="Segoe UI"/>
      <family val="2"/>
    </font>
    <font>
      <sz val="10"/>
      <name val="Segoe UI"/>
      <family val="2"/>
    </font>
    <font>
      <b/>
      <sz val="12"/>
      <color theme="1"/>
      <name val="Calibri"/>
      <family val="2"/>
    </font>
    <font>
      <b/>
      <sz val="12"/>
      <name val="Calibri"/>
      <family val="2"/>
      <scheme val="minor"/>
    </font>
    <font>
      <b/>
      <sz val="10"/>
      <name val="Calibri"/>
      <family val="2"/>
    </font>
    <font>
      <b/>
      <sz val="10"/>
      <color theme="0"/>
      <name val="Calibri"/>
      <family val="2"/>
      <scheme val="minor"/>
    </font>
    <font>
      <b/>
      <sz val="10"/>
      <color theme="0"/>
      <name val="Segoe UI"/>
      <family val="2"/>
    </font>
    <font>
      <sz val="10"/>
      <color theme="0"/>
      <name val="Segoe UI"/>
      <family val="2"/>
    </font>
    <font>
      <b/>
      <sz val="10"/>
      <color theme="1"/>
      <name val="Segoe UI"/>
      <family val="2"/>
    </font>
    <font>
      <b/>
      <sz val="12"/>
      <color theme="0"/>
      <name val="Calibri"/>
      <family val="2"/>
      <scheme val="minor"/>
    </font>
    <font>
      <sz val="14"/>
      <name val="Arial"/>
      <family val="2"/>
    </font>
    <font>
      <sz val="11"/>
      <color rgb="FF0070C0"/>
      <name val="Segoe UI"/>
      <family val="2"/>
    </font>
    <font>
      <b/>
      <sz val="14"/>
      <color theme="1"/>
      <name val="Calibri"/>
      <family val="2"/>
      <scheme val="minor"/>
    </font>
    <font>
      <sz val="10"/>
      <name val="Times New Roman"/>
      <family val="1"/>
    </font>
    <font>
      <b/>
      <sz val="11"/>
      <color rgb="FF000000"/>
      <name val="Calibri"/>
      <family val="2"/>
    </font>
    <font>
      <sz val="10"/>
      <color rgb="FF000000"/>
      <name val="Arial"/>
      <family val="2"/>
    </font>
    <font>
      <sz val="11"/>
      <color rgb="FF000000"/>
      <name val="Calibri"/>
      <family val="2"/>
    </font>
    <font>
      <b/>
      <sz val="10"/>
      <color rgb="FF000000"/>
      <name val="Arial"/>
      <family val="2"/>
    </font>
    <font>
      <sz val="9"/>
      <name val="Consolas"/>
      <family val="3"/>
    </font>
    <font>
      <b/>
      <sz val="10"/>
      <color rgb="FFFF0000"/>
      <name val="Calibri"/>
      <family val="2"/>
      <scheme val="minor"/>
    </font>
    <font>
      <sz val="9"/>
      <color theme="1" tint="0.35"/>
      <name val="+mn-cs"/>
      <family val="2"/>
    </font>
    <font>
      <sz val="9"/>
      <color theme="1" tint="0.35"/>
      <name val="Calibri"/>
      <family val="2"/>
    </font>
    <font>
      <sz val="9"/>
      <color theme="1" tint="0.25"/>
      <name val="Calibri"/>
      <family val="2"/>
    </font>
    <font>
      <sz val="9"/>
      <color theme="0"/>
      <name val="Calibri"/>
      <family val="2"/>
    </font>
    <font>
      <sz val="14"/>
      <color theme="1" tint="0.35"/>
      <name val="Calibri"/>
      <family val="2"/>
    </font>
    <font>
      <sz val="11"/>
      <name val="Arial"/>
      <family val="2"/>
    </font>
    <font>
      <sz val="11"/>
      <name val="Calibri"/>
      <family val="2"/>
    </font>
    <font>
      <sz val="9"/>
      <name val="Calibri"/>
      <family val="2"/>
    </font>
  </fonts>
  <fills count="70">
    <fill>
      <patternFill/>
    </fill>
    <fill>
      <patternFill patternType="gray125"/>
    </fill>
    <fill>
      <patternFill patternType="solid">
        <fgColor rgb="FFA5A5A5"/>
        <bgColor indexed="64"/>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tint="-0.04997999966144562"/>
        <bgColor indexed="64"/>
      </patternFill>
    </fill>
    <fill>
      <patternFill patternType="solid">
        <fgColor rgb="FF2EA49C"/>
        <bgColor indexed="64"/>
      </patternFill>
    </fill>
    <fill>
      <patternFill patternType="solid">
        <fgColor rgb="FF94E1DB"/>
        <bgColor indexed="64"/>
      </patternFill>
    </fill>
    <fill>
      <patternFill patternType="solid">
        <fgColor rgb="FFDBF5F3"/>
        <bgColor indexed="64"/>
      </patternFill>
    </fill>
    <fill>
      <patternFill patternType="solid">
        <fgColor rgb="FFA8D08D"/>
        <bgColor indexed="64"/>
      </patternFill>
    </fill>
    <fill>
      <patternFill patternType="solid">
        <fgColor theme="5" tint="-0.24997000396251678"/>
        <bgColor indexed="64"/>
      </patternFill>
    </fill>
    <fill>
      <patternFill patternType="solid">
        <fgColor theme="0"/>
        <bgColor indexed="64"/>
      </patternFill>
    </fill>
    <fill>
      <patternFill patternType="solid">
        <fgColor rgb="FFDBDFE4"/>
        <bgColor indexed="64"/>
      </patternFill>
    </fill>
    <fill>
      <patternFill patternType="solid">
        <fgColor rgb="FFE1A6A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24997000396251678"/>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style="thin"/>
      <bottom style="thin"/>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medium"/>
      <right/>
      <top style="medium"/>
      <bottom/>
    </border>
    <border>
      <left style="medium"/>
      <right/>
      <top/>
      <bottom/>
    </border>
    <border>
      <left style="medium"/>
      <right/>
      <top/>
      <bottom style="medium"/>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style="thin"/>
      <top style="thin"/>
      <bottom style="mediu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style="medium"/>
      <top style="medium"/>
      <bottom style="medium"/>
    </border>
    <border>
      <left style="medium"/>
      <right style="thin"/>
      <top style="thin"/>
      <bottom style="thin"/>
    </border>
    <border>
      <left style="medium"/>
      <right style="thin"/>
      <top style="thin"/>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top style="thin"/>
      <bottom style="medium"/>
    </border>
    <border>
      <left/>
      <right style="thin"/>
      <top style="thin"/>
      <bottom style="medium"/>
    </border>
    <border>
      <left style="thin"/>
      <right style="medium"/>
      <top/>
      <bottom style="thin"/>
    </border>
    <border>
      <left style="thin"/>
      <right style="thin"/>
      <top style="medium"/>
      <bottom style="thin"/>
    </border>
    <border>
      <left style="medium"/>
      <right style="thin"/>
      <top style="thin"/>
      <bottom/>
    </border>
    <border>
      <left style="thin"/>
      <right style="thin"/>
      <top style="thin"/>
      <bottom/>
    </border>
    <border>
      <left style="thin"/>
      <right style="thin"/>
      <top/>
      <bottom style="medium"/>
    </border>
    <border>
      <left/>
      <right/>
      <top style="medium"/>
      <bottom/>
    </border>
    <border>
      <left/>
      <right style="medium"/>
      <top style="medium"/>
      <bottom/>
    </border>
    <border>
      <left style="medium"/>
      <right style="medium"/>
      <top style="medium"/>
      <bottom style="medium"/>
    </border>
    <border>
      <left style="medium"/>
      <right/>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medium"/>
      <bottom/>
    </border>
    <border>
      <left/>
      <right style="thin"/>
      <top/>
      <bottom/>
    </border>
    <border>
      <left/>
      <right style="thin"/>
      <top style="thin"/>
      <bottom/>
    </border>
    <border>
      <left style="thin"/>
      <right style="medium"/>
      <top style="thin"/>
      <bottom/>
    </border>
    <border>
      <left style="thin"/>
      <right/>
      <top style="thin"/>
      <bottom/>
    </border>
    <border>
      <left style="thin"/>
      <right/>
      <top/>
      <bottom style="thin"/>
    </border>
    <border>
      <left/>
      <right style="thin"/>
      <top/>
      <bottom style="thin"/>
    </border>
    <border>
      <left/>
      <right/>
      <top style="thin"/>
      <bottom style="medium"/>
    </border>
    <border>
      <left/>
      <right style="medium"/>
      <top style="thin"/>
      <bottom style="medium"/>
    </border>
    <border>
      <left style="medium"/>
      <right/>
      <top style="thin"/>
      <bottom style="thin"/>
    </border>
    <border>
      <left style="medium"/>
      <right/>
      <top/>
      <bottom style="thin"/>
    </border>
    <border>
      <left style="medium"/>
      <right style="medium"/>
      <top style="medium"/>
      <bottom/>
    </border>
    <border>
      <left/>
      <right style="thin"/>
      <top style="medium"/>
      <bottom style="medium"/>
    </border>
    <border>
      <left style="medium"/>
      <right style="medium"/>
      <top/>
      <bottom/>
    </border>
    <border>
      <left style="thin"/>
      <right style="thin"/>
      <top/>
      <bottom/>
    </border>
    <border>
      <left style="thin"/>
      <right style="medium"/>
      <top/>
      <bottom/>
    </border>
    <border>
      <left style="medium"/>
      <right style="medium"/>
      <top/>
      <bottom style="thin"/>
    </border>
    <border>
      <left style="medium"/>
      <right style="medium"/>
      <top/>
      <bottom style="medium"/>
    </border>
    <border>
      <left style="thin"/>
      <right/>
      <top style="thin"/>
      <bottom style="thin"/>
    </border>
    <border>
      <left style="medium"/>
      <right style="medium"/>
      <top style="thin"/>
      <bottom/>
    </border>
    <border>
      <left style="thin"/>
      <right/>
      <top style="medium"/>
      <bottom style="thin"/>
    </border>
    <border>
      <left/>
      <right/>
      <top style="thin"/>
      <bottom/>
    </border>
    <border>
      <left/>
      <right style="medium"/>
      <top style="thin"/>
      <bottom style="thin"/>
    </border>
    <border>
      <left/>
      <right/>
      <top/>
      <bottom style="thin"/>
    </border>
  </borders>
  <cellStyleXfs count="2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pplyNumberFormat="0" applyAlignment="0" applyProtection="0"/>
    <xf numFmtId="0" fontId="0" fillId="3" borderId="0" applyNumberFormat="0">
      <alignment/>
      <protection/>
    </xf>
    <xf numFmtId="0" fontId="0" fillId="4" borderId="0" applyNumberFormat="0" applyAlignment="0">
      <protection/>
    </xf>
    <xf numFmtId="0" fontId="5" fillId="5" borderId="2" applyNumberFormat="0" applyAlignment="0" applyProtection="0"/>
    <xf numFmtId="0" fontId="0" fillId="0" borderId="0">
      <alignment readingOrder="1"/>
      <protection/>
    </xf>
    <xf numFmtId="0" fontId="9" fillId="0" borderId="0">
      <alignment/>
      <protection/>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2" borderId="3" applyNumberFormat="0" applyAlignment="0" applyProtection="0"/>
    <xf numFmtId="0" fontId="14" fillId="23" borderId="4" applyNumberFormat="0" applyAlignment="0" applyProtection="0"/>
    <xf numFmtId="0" fontId="0" fillId="3" borderId="0" applyNumberFormat="0">
      <alignment/>
      <protection/>
    </xf>
    <xf numFmtId="167" fontId="15" fillId="0" borderId="0">
      <alignment/>
      <protection/>
    </xf>
    <xf numFmtId="0" fontId="16" fillId="0" borderId="0" applyNumberFormat="0" applyFill="0" applyBorder="0" applyAlignment="0" applyProtection="0"/>
    <xf numFmtId="0" fontId="17" fillId="8" borderId="0" applyNumberFormat="0" applyBorder="0" applyAlignment="0" applyProtection="0"/>
    <xf numFmtId="0" fontId="18" fillId="0" borderId="0">
      <alignment horizontal="center" wrapText="1"/>
      <protection/>
    </xf>
    <xf numFmtId="0" fontId="19" fillId="0" borderId="5" applyNumberFormat="0" applyFill="0" applyAlignment="0" applyProtection="0"/>
    <xf numFmtId="0" fontId="20" fillId="24" borderId="6">
      <alignment horizontal="left"/>
      <protection/>
    </xf>
    <xf numFmtId="0" fontId="21" fillId="0" borderId="7" applyNumberFormat="0" applyFill="0" applyAlignment="0" applyProtection="0"/>
    <xf numFmtId="0" fontId="21" fillId="0" borderId="0" applyNumberFormat="0" applyFill="0" applyBorder="0" applyAlignment="0" applyProtection="0"/>
    <xf numFmtId="0" fontId="22" fillId="4" borderId="3" applyNumberFormat="0" applyAlignment="0" applyProtection="0"/>
    <xf numFmtId="0" fontId="23" fillId="0" borderId="8" applyNumberFormat="0" applyFill="0" applyAlignment="0" applyProtection="0"/>
    <xf numFmtId="0" fontId="24" fillId="25" borderId="0" applyNumberFormat="0" applyBorder="0" applyAlignment="0" applyProtection="0"/>
    <xf numFmtId="0" fontId="0" fillId="26" borderId="9" applyNumberFormat="0" applyFont="0" applyAlignment="0" applyProtection="0"/>
    <xf numFmtId="0" fontId="25" fillId="22" borderId="10" applyNumberForma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8" fillId="0" borderId="0">
      <alignment/>
      <protection/>
    </xf>
    <xf numFmtId="0" fontId="43"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27" borderId="0" applyNumberFormat="0" applyBorder="0" applyAlignment="0" applyProtection="0"/>
    <xf numFmtId="0" fontId="52" fillId="28" borderId="0" applyNumberFormat="0" applyBorder="0" applyAlignment="0" applyProtection="0"/>
    <xf numFmtId="0" fontId="53" fillId="29" borderId="0" applyNumberFormat="0" applyBorder="0" applyAlignment="0" applyProtection="0"/>
    <xf numFmtId="0" fontId="54" fillId="30" borderId="15" applyNumberFormat="0" applyAlignment="0" applyProtection="0"/>
    <xf numFmtId="0" fontId="55" fillId="30" borderId="2" applyNumberFormat="0" applyAlignment="0" applyProtection="0"/>
    <xf numFmtId="0" fontId="56" fillId="0" borderId="1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4" fillId="0" borderId="17" applyNumberFormat="0" applyFill="0" applyAlignment="0" applyProtection="0"/>
    <xf numFmtId="0" fontId="5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59" fillId="54" borderId="0" applyNumberFormat="0" applyBorder="0" applyAlignment="0" applyProtection="0"/>
    <xf numFmtId="0" fontId="1" fillId="0" borderId="0">
      <alignment/>
      <protection/>
    </xf>
    <xf numFmtId="0" fontId="60" fillId="0" borderId="0" applyNumberFormat="0" applyFill="0" applyBorder="0" applyAlignment="0" applyProtection="0"/>
    <xf numFmtId="0" fontId="1" fillId="55" borderId="18" applyNumberFormat="0" applyFont="0" applyAlignment="0" applyProtection="0"/>
    <xf numFmtId="0" fontId="0" fillId="0" borderId="0">
      <alignment/>
      <protection/>
    </xf>
    <xf numFmtId="0" fontId="1" fillId="0" borderId="0">
      <alignment/>
      <protection/>
    </xf>
    <xf numFmtId="0" fontId="1" fillId="55" borderId="18"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62" fillId="0" borderId="0">
      <alignment/>
      <protection/>
    </xf>
    <xf numFmtId="0" fontId="64" fillId="24" borderId="0" applyNumberFormat="0" applyBorder="0" applyAlignment="0" applyProtection="0"/>
    <xf numFmtId="0" fontId="64" fillId="2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57" borderId="3" applyNumberFormat="0" applyAlignment="0" applyProtection="0"/>
    <xf numFmtId="0" fontId="13" fillId="57" borderId="3" applyNumberFormat="0" applyAlignment="0" applyProtection="0"/>
    <xf numFmtId="0" fontId="14" fillId="23" borderId="4" applyNumberFormat="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6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65" fillId="0" borderId="19"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0" applyNumberFormat="0" applyFill="0" applyBorder="0">
      <alignment/>
      <protection locked="0"/>
    </xf>
    <xf numFmtId="0" fontId="22" fillId="4" borderId="3" applyNumberFormat="0" applyAlignment="0" applyProtection="0"/>
    <xf numFmtId="0" fontId="23" fillId="0" borderId="8" applyNumberFormat="0" applyFill="0" applyAlignment="0" applyProtection="0"/>
    <xf numFmtId="0" fontId="24" fillId="25" borderId="0" applyNumberFormat="0" applyBorder="0" applyAlignment="0" applyProtection="0"/>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10" fillId="26" borderId="9" applyNumberFormat="0" applyFont="0" applyAlignment="0" applyProtection="0"/>
    <xf numFmtId="0" fontId="62" fillId="26" borderId="9" applyNumberFormat="0" applyFont="0" applyAlignment="0" applyProtection="0"/>
    <xf numFmtId="0" fontId="62" fillId="26" borderId="9" applyNumberFormat="0" applyFont="0" applyAlignment="0" applyProtection="0"/>
    <xf numFmtId="0" fontId="25" fillId="57" borderId="10" applyNumberFormat="0" applyAlignment="0" applyProtection="0"/>
    <xf numFmtId="0" fontId="25" fillId="57" borderId="10" applyNumberFormat="0" applyAlignment="0" applyProtection="0"/>
    <xf numFmtId="9" fontId="6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5" fillId="0" borderId="22" applyNumberFormat="0" applyFill="0" applyAlignment="0" applyProtection="0"/>
    <xf numFmtId="0" fontId="25" fillId="0" borderId="22" applyNumberFormat="0" applyFill="0" applyAlignment="0" applyProtection="0"/>
    <xf numFmtId="0" fontId="28" fillId="0" borderId="0" applyNumberFormat="0" applyFill="0" applyBorder="0" applyAlignment="0" applyProtection="0"/>
    <xf numFmtId="0" fontId="62" fillId="24" borderId="0">
      <alignment/>
      <protection/>
    </xf>
    <xf numFmtId="43" fontId="0" fillId="0" borderId="0" applyFont="0" applyFill="0" applyBorder="0" applyAlignment="0" applyProtection="0"/>
    <xf numFmtId="0" fontId="0" fillId="0" borderId="0">
      <alignment/>
      <protection/>
    </xf>
    <xf numFmtId="0" fontId="62" fillId="0" borderId="0">
      <alignment/>
      <protection/>
    </xf>
    <xf numFmtId="0" fontId="71" fillId="0" borderId="0">
      <alignment/>
      <protection/>
    </xf>
    <xf numFmtId="169" fontId="0" fillId="0" borderId="0" applyFill="0" applyBorder="0" applyProtection="0">
      <alignment/>
    </xf>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80"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cellStyleXfs>
  <cellXfs count="919">
    <xf numFmtId="0" fontId="0" fillId="0" borderId="0" xfId="0"/>
    <xf numFmtId="0" fontId="31" fillId="58" borderId="0" xfId="72" applyFont="1" applyFill="1">
      <alignment/>
      <protection/>
    </xf>
    <xf numFmtId="0" fontId="32" fillId="58" borderId="0" xfId="72" applyFont="1" applyFill="1" applyBorder="1" applyAlignment="1">
      <alignment horizontal="center" vertical="center"/>
      <protection/>
    </xf>
    <xf numFmtId="0" fontId="31" fillId="58" borderId="0" xfId="72" applyFont="1" applyFill="1" applyAlignment="1">
      <alignment wrapText="1"/>
      <protection/>
    </xf>
    <xf numFmtId="0" fontId="0" fillId="58" borderId="0" xfId="0" applyFill="1"/>
    <xf numFmtId="0" fontId="0" fillId="58" borderId="0" xfId="0" applyFill="1" applyAlignment="1">
      <alignment horizontal="center" vertical="center" wrapText="1"/>
    </xf>
    <xf numFmtId="0" fontId="0" fillId="58" borderId="0" xfId="0" applyFill="1" applyAlignment="1">
      <alignment horizontal="center"/>
    </xf>
    <xf numFmtId="0" fontId="0" fillId="58" borderId="0" xfId="0" applyFont="1" applyFill="1"/>
    <xf numFmtId="0" fontId="2" fillId="58" borderId="0" xfId="0" applyFont="1" applyFill="1" applyAlignment="1">
      <alignment horizontal="center"/>
    </xf>
    <xf numFmtId="0" fontId="2" fillId="58" borderId="0" xfId="0" applyFont="1" applyFill="1"/>
    <xf numFmtId="0" fontId="6" fillId="58" borderId="0" xfId="0" applyFont="1" applyFill="1" applyBorder="1" applyAlignment="1">
      <alignment horizontal="center"/>
    </xf>
    <xf numFmtId="0" fontId="3" fillId="58" borderId="0" xfId="0" applyFont="1" applyFill="1" applyAlignment="1">
      <alignment horizontal="center"/>
    </xf>
    <xf numFmtId="37" fontId="6" fillId="58" borderId="0" xfId="18" applyNumberFormat="1" applyFont="1" applyFill="1" applyBorder="1"/>
    <xf numFmtId="0" fontId="0" fillId="58" borderId="0" xfId="0" applyFont="1" applyFill="1" applyAlignment="1">
      <alignment horizontal="center" vertical="center" wrapText="1"/>
    </xf>
    <xf numFmtId="3" fontId="0" fillId="58" borderId="0" xfId="0" applyNumberFormat="1" applyFont="1" applyFill="1" applyAlignment="1">
      <alignment horizontal="center" vertical="center" wrapText="1"/>
    </xf>
    <xf numFmtId="3" fontId="0" fillId="58" borderId="0" xfId="0" applyNumberFormat="1" applyFill="1"/>
    <xf numFmtId="0" fontId="0" fillId="58" borderId="0" xfId="0" applyFill="1" applyAlignment="1">
      <alignment horizontal="left" indent="1"/>
    </xf>
    <xf numFmtId="0" fontId="35" fillId="58" borderId="0" xfId="0" applyFont="1" applyFill="1" applyBorder="1"/>
    <xf numFmtId="0" fontId="35" fillId="58" borderId="0" xfId="0" applyFont="1" applyFill="1" applyBorder="1" applyAlignment="1">
      <alignment wrapText="1"/>
    </xf>
    <xf numFmtId="0" fontId="35" fillId="58" borderId="0" xfId="0" applyFont="1" applyFill="1" applyBorder="1" applyAlignment="1">
      <alignment horizontal="center"/>
    </xf>
    <xf numFmtId="166" fontId="35" fillId="58" borderId="0" xfId="15" applyNumberFormat="1" applyFont="1" applyFill="1" applyBorder="1"/>
    <xf numFmtId="0" fontId="35" fillId="58" borderId="0" xfId="0" applyFont="1" applyFill="1" applyBorder="1" applyAlignment="1">
      <alignment horizontal="left"/>
    </xf>
    <xf numFmtId="0" fontId="35" fillId="58" borderId="0" xfId="0" applyFont="1" applyFill="1" applyBorder="1" applyAlignment="1">
      <alignment horizontal="right" wrapText="1"/>
    </xf>
    <xf numFmtId="165" fontId="38" fillId="58" borderId="0" xfId="0" applyNumberFormat="1" applyFont="1" applyFill="1" applyBorder="1"/>
    <xf numFmtId="165" fontId="35" fillId="58" borderId="0" xfId="0" applyNumberFormat="1" applyFont="1" applyFill="1" applyBorder="1"/>
    <xf numFmtId="10" fontId="35" fillId="58" borderId="0" xfId="15" applyNumberFormat="1" applyFont="1" applyFill="1" applyBorder="1"/>
    <xf numFmtId="0" fontId="35" fillId="58" borderId="0" xfId="0" applyFont="1" applyFill="1"/>
    <xf numFmtId="0" fontId="41" fillId="58" borderId="0" xfId="0" applyFont="1" applyFill="1" applyBorder="1"/>
    <xf numFmtId="0" fontId="36" fillId="58" borderId="0" xfId="0" applyFont="1" applyFill="1" applyBorder="1" applyAlignment="1">
      <alignment/>
    </xf>
    <xf numFmtId="0" fontId="7" fillId="58" borderId="0" xfId="0" applyFont="1" applyFill="1" applyBorder="1" applyAlignment="1">
      <alignment horizontal="center"/>
    </xf>
    <xf numFmtId="0" fontId="1" fillId="58" borderId="0" xfId="72" applyFont="1" applyFill="1">
      <alignment/>
      <protection/>
    </xf>
    <xf numFmtId="0" fontId="1" fillId="58" borderId="0" xfId="72" applyFont="1" applyFill="1" applyAlignment="1">
      <alignment horizontal="center"/>
      <protection/>
    </xf>
    <xf numFmtId="0" fontId="1" fillId="58" borderId="0" xfId="72" applyFont="1" applyFill="1" applyBorder="1" applyAlignment="1">
      <alignment horizontal="center"/>
      <protection/>
    </xf>
    <xf numFmtId="164" fontId="35" fillId="58" borderId="0" xfId="15" applyNumberFormat="1" applyFont="1" applyFill="1" applyBorder="1"/>
    <xf numFmtId="10" fontId="35" fillId="58" borderId="0" xfId="0" applyNumberFormat="1" applyFont="1" applyFill="1" applyBorder="1"/>
    <xf numFmtId="3" fontId="35" fillId="58" borderId="0" xfId="0" applyNumberFormat="1" applyFont="1" applyFill="1" applyBorder="1"/>
    <xf numFmtId="9" fontId="35" fillId="58" borderId="0" xfId="0" applyNumberFormat="1" applyFont="1" applyFill="1" applyBorder="1"/>
    <xf numFmtId="164" fontId="0" fillId="58" borderId="0" xfId="15" applyNumberFormat="1" applyFont="1" applyFill="1"/>
    <xf numFmtId="0" fontId="0" fillId="39" borderId="23" xfId="0" applyFill="1" applyBorder="1"/>
    <xf numFmtId="0" fontId="3" fillId="39" borderId="24" xfId="0" applyFont="1" applyFill="1" applyBorder="1" applyAlignment="1">
      <alignment horizontal="center"/>
    </xf>
    <xf numFmtId="0" fontId="0" fillId="39" borderId="24" xfId="0" applyFont="1" applyFill="1" applyBorder="1" applyAlignment="1">
      <alignment horizontal="center" vertical="center" wrapText="1"/>
    </xf>
    <xf numFmtId="3" fontId="0" fillId="39" borderId="24" xfId="0" applyNumberFormat="1" applyFill="1" applyBorder="1"/>
    <xf numFmtId="0" fontId="0" fillId="39" borderId="25" xfId="0" applyFill="1" applyBorder="1"/>
    <xf numFmtId="9" fontId="0" fillId="58" borderId="0" xfId="15" applyFont="1" applyFill="1"/>
    <xf numFmtId="0" fontId="1" fillId="0" borderId="0" xfId="264">
      <alignment/>
      <protection/>
    </xf>
    <xf numFmtId="0" fontId="74" fillId="0" borderId="26" xfId="264" applyFont="1" applyBorder="1" applyAlignment="1">
      <alignment wrapText="1"/>
      <protection/>
    </xf>
    <xf numFmtId="0" fontId="1" fillId="0" borderId="0" xfId="264" applyAlignment="1">
      <alignment horizontal="center" vertical="center"/>
      <protection/>
    </xf>
    <xf numFmtId="0" fontId="1" fillId="0" borderId="0" xfId="264" applyAlignment="1">
      <alignment horizontal="center"/>
      <protection/>
    </xf>
    <xf numFmtId="0" fontId="74" fillId="0" borderId="27" xfId="264" applyFont="1" applyBorder="1" applyAlignment="1">
      <alignment wrapText="1"/>
      <protection/>
    </xf>
    <xf numFmtId="0" fontId="72" fillId="0" borderId="0" xfId="264" applyFont="1" applyAlignment="1">
      <alignment horizontal="centerContinuous" vertical="center"/>
      <protection/>
    </xf>
    <xf numFmtId="0" fontId="74" fillId="0" borderId="0" xfId="264" applyFont="1" applyAlignment="1">
      <alignment horizontal="centerContinuous" vertical="center"/>
      <protection/>
    </xf>
    <xf numFmtId="165" fontId="74" fillId="48" borderId="28" xfId="265" applyNumberFormat="1" applyFont="1" applyFill="1" applyBorder="1"/>
    <xf numFmtId="165" fontId="76" fillId="48" borderId="29" xfId="265" applyNumberFormat="1" applyFont="1" applyFill="1" applyBorder="1"/>
    <xf numFmtId="0" fontId="77" fillId="0" borderId="0" xfId="264" applyFont="1" applyAlignment="1">
      <alignment vertical="center"/>
      <protection/>
    </xf>
    <xf numFmtId="0" fontId="74" fillId="0" borderId="0" xfId="264" applyFont="1" applyAlignment="1">
      <alignment horizontal="left"/>
      <protection/>
    </xf>
    <xf numFmtId="0" fontId="74" fillId="0" borderId="0" xfId="264" applyFont="1" applyAlignment="1">
      <alignment horizontal="left" vertical="center"/>
      <protection/>
    </xf>
    <xf numFmtId="0" fontId="76" fillId="50" borderId="30" xfId="264" applyFont="1" applyFill="1" applyBorder="1" applyAlignment="1">
      <alignment horizontal="centerContinuous"/>
      <protection/>
    </xf>
    <xf numFmtId="0" fontId="76" fillId="50" borderId="31" xfId="264" applyFont="1" applyFill="1" applyBorder="1" applyAlignment="1">
      <alignment horizontal="centerContinuous"/>
      <protection/>
    </xf>
    <xf numFmtId="0" fontId="76" fillId="50" borderId="32" xfId="264" applyFont="1" applyFill="1" applyBorder="1" applyAlignment="1">
      <alignment horizontal="centerContinuous"/>
      <protection/>
    </xf>
    <xf numFmtId="0" fontId="74" fillId="0" borderId="0" xfId="264" applyFont="1">
      <alignment/>
      <protection/>
    </xf>
    <xf numFmtId="165" fontId="76" fillId="48" borderId="33" xfId="265" applyNumberFormat="1" applyFont="1" applyFill="1" applyBorder="1"/>
    <xf numFmtId="9" fontId="74" fillId="48" borderId="33" xfId="266" applyFont="1" applyFill="1" applyBorder="1"/>
    <xf numFmtId="0" fontId="1" fillId="0" borderId="0" xfId="264" applyAlignment="1">
      <alignment/>
      <protection/>
    </xf>
    <xf numFmtId="165" fontId="74" fillId="48" borderId="34" xfId="265" applyNumberFormat="1" applyFont="1" applyFill="1" applyBorder="1"/>
    <xf numFmtId="9" fontId="74" fillId="48" borderId="29" xfId="266" applyFont="1" applyFill="1" applyBorder="1"/>
    <xf numFmtId="43" fontId="74" fillId="48" borderId="28" xfId="265" applyFont="1" applyFill="1" applyBorder="1"/>
    <xf numFmtId="43" fontId="76" fillId="48" borderId="33" xfId="265" applyFont="1" applyFill="1" applyBorder="1"/>
    <xf numFmtId="0" fontId="74" fillId="0" borderId="35" xfId="264" applyFont="1" applyBorder="1" applyAlignment="1">
      <alignment/>
      <protection/>
    </xf>
    <xf numFmtId="0" fontId="74" fillId="0" borderId="0" xfId="264" applyFont="1" applyBorder="1" applyAlignment="1">
      <alignment/>
      <protection/>
    </xf>
    <xf numFmtId="0" fontId="74" fillId="0" borderId="36" xfId="264" applyFont="1" applyBorder="1" applyAlignment="1">
      <alignment/>
      <protection/>
    </xf>
    <xf numFmtId="0" fontId="74" fillId="0" borderId="37" xfId="264" applyFont="1" applyBorder="1" applyAlignment="1">
      <alignment/>
      <protection/>
    </xf>
    <xf numFmtId="0" fontId="74" fillId="0" borderId="38" xfId="264" applyFont="1" applyBorder="1" applyAlignment="1">
      <alignment/>
      <protection/>
    </xf>
    <xf numFmtId="0" fontId="74" fillId="0" borderId="39" xfId="264" applyFont="1" applyBorder="1" applyAlignment="1">
      <alignment/>
      <protection/>
    </xf>
    <xf numFmtId="9" fontId="1" fillId="0" borderId="0" xfId="264" applyNumberFormat="1">
      <alignment/>
      <protection/>
    </xf>
    <xf numFmtId="0" fontId="77" fillId="0" borderId="0" xfId="264" applyFont="1" applyBorder="1" applyAlignment="1">
      <alignment horizontal="center" vertical="center"/>
      <protection/>
    </xf>
    <xf numFmtId="0" fontId="1" fillId="0" borderId="0" xfId="264" applyBorder="1">
      <alignment/>
      <protection/>
    </xf>
    <xf numFmtId="165" fontId="1" fillId="0" borderId="0" xfId="264" applyNumberFormat="1">
      <alignment/>
      <protection/>
    </xf>
    <xf numFmtId="0" fontId="76" fillId="0" borderId="0" xfId="264" applyFont="1" applyAlignment="1">
      <alignment horizontal="centerContinuous" vertical="center"/>
      <protection/>
    </xf>
    <xf numFmtId="0" fontId="77" fillId="0" borderId="0" xfId="264" applyFont="1" applyAlignment="1">
      <alignment horizontal="center" vertical="center"/>
      <protection/>
    </xf>
    <xf numFmtId="165" fontId="74" fillId="0" borderId="0" xfId="264" applyNumberFormat="1" applyFont="1" applyAlignment="1">
      <alignment horizontal="centerContinuous" vertical="center"/>
      <protection/>
    </xf>
    <xf numFmtId="0" fontId="1" fillId="0" borderId="40" xfId="264" applyBorder="1">
      <alignment/>
      <protection/>
    </xf>
    <xf numFmtId="0" fontId="74" fillId="0" borderId="0" xfId="264" applyFont="1" applyAlignment="1">
      <alignment/>
      <protection/>
    </xf>
    <xf numFmtId="0" fontId="74" fillId="0" borderId="0" xfId="264" applyFont="1" applyAlignment="1">
      <alignment vertical="center"/>
      <protection/>
    </xf>
    <xf numFmtId="0" fontId="77" fillId="0" borderId="0" xfId="264" applyFont="1" applyBorder="1" applyAlignment="1">
      <alignment vertical="center"/>
      <protection/>
    </xf>
    <xf numFmtId="0" fontId="74" fillId="50" borderId="41" xfId="264" applyFont="1" applyFill="1" applyBorder="1">
      <alignment/>
      <protection/>
    </xf>
    <xf numFmtId="0" fontId="74" fillId="50" borderId="42" xfId="264" applyFont="1" applyFill="1" applyBorder="1">
      <alignment/>
      <protection/>
    </xf>
    <xf numFmtId="0" fontId="1" fillId="0" borderId="0" xfId="270">
      <alignment/>
      <protection/>
    </xf>
    <xf numFmtId="0" fontId="77" fillId="0" borderId="0" xfId="270" applyFont="1" applyAlignment="1">
      <alignment horizontal="center" vertical="center"/>
      <protection/>
    </xf>
    <xf numFmtId="165" fontId="1" fillId="0" borderId="0" xfId="270" applyNumberFormat="1">
      <alignment/>
      <protection/>
    </xf>
    <xf numFmtId="0" fontId="74" fillId="0" borderId="43" xfId="264" applyFont="1" applyBorder="1" applyAlignment="1">
      <alignment/>
      <protection/>
    </xf>
    <xf numFmtId="0" fontId="74" fillId="0" borderId="44" xfId="264" applyFont="1" applyBorder="1" applyAlignment="1">
      <alignment/>
      <protection/>
    </xf>
    <xf numFmtId="0" fontId="74" fillId="0" borderId="0" xfId="270" applyFont="1" applyAlignment="1">
      <alignment horizontal="center" vertical="center"/>
      <protection/>
    </xf>
    <xf numFmtId="0" fontId="76" fillId="50" borderId="23" xfId="264" applyFont="1" applyFill="1" applyBorder="1" applyAlignment="1">
      <alignment horizontal="center" vertical="center"/>
      <protection/>
    </xf>
    <xf numFmtId="0" fontId="76" fillId="50" borderId="24" xfId="264" applyFont="1" applyFill="1" applyBorder="1" applyAlignment="1">
      <alignment horizontal="center" vertical="center"/>
      <protection/>
    </xf>
    <xf numFmtId="0" fontId="81" fillId="0" borderId="0" xfId="0" applyFont="1" applyAlignment="1">
      <alignment/>
    </xf>
    <xf numFmtId="0" fontId="74" fillId="0" borderId="33" xfId="264" applyFont="1" applyBorder="1" applyAlignment="1">
      <alignment wrapText="1"/>
      <protection/>
    </xf>
    <xf numFmtId="0" fontId="74" fillId="0" borderId="29" xfId="264" applyFont="1" applyBorder="1" applyAlignment="1">
      <alignment wrapText="1"/>
      <protection/>
    </xf>
    <xf numFmtId="3" fontId="0" fillId="58" borderId="0" xfId="0" applyNumberFormat="1" applyFill="1" applyAlignment="1">
      <alignment horizontal="center" vertical="center" wrapText="1"/>
    </xf>
    <xf numFmtId="9" fontId="0" fillId="58" borderId="0" xfId="0" applyNumberFormat="1" applyFill="1"/>
    <xf numFmtId="0" fontId="0" fillId="58" borderId="24" xfId="0" applyFill="1" applyBorder="1"/>
    <xf numFmtId="0" fontId="0" fillId="58" borderId="0" xfId="0" applyFill="1" applyBorder="1"/>
    <xf numFmtId="0" fontId="0" fillId="58" borderId="36" xfId="0" applyFill="1" applyBorder="1"/>
    <xf numFmtId="0" fontId="82" fillId="59" borderId="45" xfId="264" applyFont="1" applyFill="1" applyBorder="1" applyAlignment="1">
      <alignment horizontal="centerContinuous" vertical="center"/>
      <protection/>
    </xf>
    <xf numFmtId="0" fontId="83" fillId="59" borderId="46" xfId="264" applyFont="1" applyFill="1" applyBorder="1" applyAlignment="1">
      <alignment horizontal="centerContinuous" vertical="center"/>
      <protection/>
    </xf>
    <xf numFmtId="0" fontId="83" fillId="59" borderId="40" xfId="264" applyFont="1" applyFill="1" applyBorder="1" applyAlignment="1">
      <alignment horizontal="centerContinuous" vertical="center"/>
      <protection/>
    </xf>
    <xf numFmtId="0" fontId="73" fillId="60" borderId="47" xfId="264" applyFont="1" applyFill="1" applyBorder="1" applyAlignment="1">
      <alignment horizontal="center" vertical="center"/>
      <protection/>
    </xf>
    <xf numFmtId="0" fontId="73" fillId="60" borderId="48" xfId="264" applyFont="1" applyFill="1" applyBorder="1" applyAlignment="1">
      <alignment horizontal="center" vertical="center"/>
      <protection/>
    </xf>
    <xf numFmtId="0" fontId="75" fillId="60" borderId="41" xfId="264" applyFont="1" applyFill="1" applyBorder="1" applyAlignment="1">
      <alignment horizontal="center" vertical="center"/>
      <protection/>
    </xf>
    <xf numFmtId="0" fontId="75" fillId="60" borderId="28" xfId="264" applyFont="1" applyFill="1" applyBorder="1" applyAlignment="1">
      <alignment horizontal="center" vertical="center"/>
      <protection/>
    </xf>
    <xf numFmtId="0" fontId="73" fillId="60" borderId="49" xfId="264" applyFont="1" applyFill="1" applyBorder="1" applyAlignment="1">
      <alignment vertical="center"/>
      <protection/>
    </xf>
    <xf numFmtId="0" fontId="73" fillId="60" borderId="50" xfId="264" applyFont="1" applyFill="1" applyBorder="1" applyAlignment="1">
      <alignment vertical="center"/>
      <protection/>
    </xf>
    <xf numFmtId="0" fontId="73" fillId="60" borderId="51" xfId="264" applyFont="1" applyFill="1" applyBorder="1" applyAlignment="1">
      <alignment horizontal="center" vertical="center"/>
      <protection/>
    </xf>
    <xf numFmtId="0" fontId="75" fillId="60" borderId="27" xfId="264" applyFont="1" applyFill="1" applyBorder="1" applyAlignment="1">
      <alignment horizontal="center" vertical="center"/>
      <protection/>
    </xf>
    <xf numFmtId="0" fontId="75" fillId="60" borderId="52" xfId="264" applyFont="1" applyFill="1" applyBorder="1" applyAlignment="1">
      <alignment horizontal="center" vertical="center"/>
      <protection/>
    </xf>
    <xf numFmtId="0" fontId="75" fillId="60" borderId="42" xfId="264" applyFont="1" applyFill="1" applyBorder="1" applyAlignment="1">
      <alignment horizontal="center" vertical="center"/>
      <protection/>
    </xf>
    <xf numFmtId="0" fontId="75" fillId="60" borderId="34" xfId="264" applyFont="1" applyFill="1" applyBorder="1" applyAlignment="1">
      <alignment horizontal="center" vertical="center"/>
      <protection/>
    </xf>
    <xf numFmtId="0" fontId="73" fillId="60" borderId="52" xfId="264" applyFont="1" applyFill="1" applyBorder="1" applyAlignment="1">
      <alignment horizontal="right" vertical="center"/>
      <protection/>
    </xf>
    <xf numFmtId="0" fontId="73" fillId="60" borderId="42" xfId="264" applyFont="1" applyFill="1" applyBorder="1" applyAlignment="1">
      <alignment vertical="center"/>
      <protection/>
    </xf>
    <xf numFmtId="0" fontId="73" fillId="60" borderId="34" xfId="264" applyFont="1" applyFill="1" applyBorder="1" applyAlignment="1">
      <alignment horizontal="right" vertical="center"/>
      <protection/>
    </xf>
    <xf numFmtId="0" fontId="76" fillId="60" borderId="41" xfId="264" applyFont="1" applyFill="1" applyBorder="1" applyAlignment="1">
      <alignment horizontal="center"/>
      <protection/>
    </xf>
    <xf numFmtId="0" fontId="76" fillId="60" borderId="28" xfId="264" applyFont="1" applyFill="1" applyBorder="1" applyAlignment="1">
      <alignment horizontal="center"/>
      <protection/>
    </xf>
    <xf numFmtId="0" fontId="76" fillId="60" borderId="33" xfId="264" applyFont="1" applyFill="1" applyBorder="1" applyAlignment="1">
      <alignment horizontal="center"/>
      <protection/>
    </xf>
    <xf numFmtId="0" fontId="76" fillId="60" borderId="41" xfId="264" applyFont="1" applyFill="1" applyBorder="1">
      <alignment/>
      <protection/>
    </xf>
    <xf numFmtId="0" fontId="76" fillId="60" borderId="42" xfId="264" applyFont="1" applyFill="1" applyBorder="1">
      <alignment/>
      <protection/>
    </xf>
    <xf numFmtId="0" fontId="73" fillId="60" borderId="50" xfId="264" applyFont="1" applyFill="1" applyBorder="1" applyAlignment="1">
      <alignment horizontal="right" vertical="center"/>
      <protection/>
    </xf>
    <xf numFmtId="0" fontId="75" fillId="60" borderId="53" xfId="264" applyFont="1" applyFill="1" applyBorder="1" applyAlignment="1">
      <alignment horizontal="center" vertical="center"/>
      <protection/>
    </xf>
    <xf numFmtId="0" fontId="75" fillId="60" borderId="54" xfId="264" applyFont="1" applyFill="1" applyBorder="1" applyAlignment="1">
      <alignment horizontal="center" vertical="center"/>
      <protection/>
    </xf>
    <xf numFmtId="0" fontId="73" fillId="60" borderId="27" xfId="264" applyFont="1" applyFill="1" applyBorder="1" applyAlignment="1">
      <alignment horizontal="centerContinuous" vertical="center"/>
      <protection/>
    </xf>
    <xf numFmtId="0" fontId="73" fillId="60" borderId="52" xfId="264" applyFont="1" applyFill="1" applyBorder="1" applyAlignment="1">
      <alignment horizontal="center" vertical="center"/>
      <protection/>
    </xf>
    <xf numFmtId="0" fontId="73" fillId="60" borderId="26" xfId="264" applyFont="1" applyFill="1" applyBorder="1" applyAlignment="1">
      <alignment horizontal="center" vertical="center"/>
      <protection/>
    </xf>
    <xf numFmtId="165" fontId="75" fillId="61" borderId="28" xfId="265" applyNumberFormat="1" applyFont="1" applyFill="1" applyBorder="1" applyAlignment="1">
      <alignment horizontal="right" vertical="center"/>
    </xf>
    <xf numFmtId="165" fontId="75" fillId="61" borderId="33" xfId="265" applyNumberFormat="1" applyFont="1" applyFill="1" applyBorder="1" applyAlignment="1">
      <alignment horizontal="right" vertical="center"/>
    </xf>
    <xf numFmtId="165" fontId="73" fillId="61" borderId="34" xfId="265" applyNumberFormat="1" applyFont="1" applyFill="1" applyBorder="1" applyAlignment="1">
      <alignment horizontal="right" vertical="center"/>
    </xf>
    <xf numFmtId="165" fontId="73" fillId="61" borderId="29" xfId="265" applyNumberFormat="1" applyFont="1" applyFill="1" applyBorder="1" applyAlignment="1">
      <alignment horizontal="right" vertical="center"/>
    </xf>
    <xf numFmtId="165" fontId="75" fillId="61" borderId="52" xfId="265" applyNumberFormat="1" applyFont="1" applyFill="1" applyBorder="1" applyAlignment="1">
      <alignment horizontal="right" vertical="center"/>
    </xf>
    <xf numFmtId="165" fontId="75" fillId="61" borderId="26" xfId="265" applyNumberFormat="1" applyFont="1" applyFill="1" applyBorder="1" applyAlignment="1">
      <alignment horizontal="right" vertical="center"/>
    </xf>
    <xf numFmtId="165" fontId="75" fillId="61" borderId="34" xfId="265" applyNumberFormat="1" applyFont="1" applyFill="1" applyBorder="1" applyAlignment="1">
      <alignment horizontal="right" vertical="center"/>
    </xf>
    <xf numFmtId="165" fontId="75" fillId="61" borderId="29" xfId="265" applyNumberFormat="1" applyFont="1" applyFill="1" applyBorder="1" applyAlignment="1">
      <alignment horizontal="right" vertical="center"/>
    </xf>
    <xf numFmtId="165" fontId="73" fillId="61" borderId="52" xfId="265" applyNumberFormat="1" applyFont="1" applyFill="1" applyBorder="1" applyAlignment="1">
      <alignment horizontal="right" vertical="center"/>
    </xf>
    <xf numFmtId="165" fontId="73" fillId="61" borderId="26" xfId="265" applyNumberFormat="1" applyFont="1" applyFill="1" applyBorder="1" applyAlignment="1">
      <alignment horizontal="right" vertical="center"/>
    </xf>
    <xf numFmtId="165" fontId="75" fillId="61" borderId="28" xfId="265" applyNumberFormat="1" applyFont="1" applyFill="1" applyBorder="1" applyAlignment="1">
      <alignment horizontal="center" vertical="center"/>
    </xf>
    <xf numFmtId="165" fontId="75" fillId="61" borderId="33" xfId="265" applyNumberFormat="1" applyFont="1" applyFill="1" applyBorder="1" applyAlignment="1">
      <alignment horizontal="center" vertical="center"/>
    </xf>
    <xf numFmtId="165" fontId="73" fillId="61" borderId="34" xfId="265" applyNumberFormat="1" applyFont="1" applyFill="1" applyBorder="1" applyAlignment="1">
      <alignment horizontal="center" vertical="center"/>
    </xf>
    <xf numFmtId="165" fontId="73" fillId="61" borderId="29" xfId="265" applyNumberFormat="1" applyFont="1" applyFill="1" applyBorder="1" applyAlignment="1">
      <alignment horizontal="center" vertical="center"/>
    </xf>
    <xf numFmtId="9" fontId="75" fillId="61" borderId="28" xfId="266" applyFont="1" applyFill="1" applyBorder="1" applyAlignment="1">
      <alignment horizontal="center" vertical="center"/>
    </xf>
    <xf numFmtId="9" fontId="75" fillId="61" borderId="33" xfId="266" applyFont="1" applyFill="1" applyBorder="1" applyAlignment="1">
      <alignment horizontal="center" vertical="center"/>
    </xf>
    <xf numFmtId="9" fontId="75" fillId="61" borderId="34" xfId="266" applyFont="1" applyFill="1" applyBorder="1" applyAlignment="1">
      <alignment horizontal="center" vertical="center"/>
    </xf>
    <xf numFmtId="9" fontId="75" fillId="61" borderId="29" xfId="266" applyFont="1" applyFill="1" applyBorder="1" applyAlignment="1">
      <alignment horizontal="center" vertical="center"/>
    </xf>
    <xf numFmtId="165" fontId="74" fillId="61" borderId="28" xfId="265" applyNumberFormat="1" applyFont="1" applyFill="1" applyBorder="1"/>
    <xf numFmtId="165" fontId="76" fillId="61" borderId="33" xfId="265" applyNumberFormat="1" applyFont="1" applyFill="1" applyBorder="1"/>
    <xf numFmtId="165" fontId="74" fillId="61" borderId="34" xfId="265" applyNumberFormat="1" applyFont="1" applyFill="1" applyBorder="1"/>
    <xf numFmtId="165" fontId="76" fillId="61" borderId="29" xfId="265" applyNumberFormat="1" applyFont="1" applyFill="1" applyBorder="1"/>
    <xf numFmtId="0" fontId="76" fillId="60" borderId="28" xfId="264" applyFont="1" applyFill="1" applyBorder="1">
      <alignment/>
      <protection/>
    </xf>
    <xf numFmtId="0" fontId="75" fillId="60" borderId="41" xfId="264" applyFont="1" applyFill="1" applyBorder="1" applyAlignment="1">
      <alignment vertical="center"/>
      <protection/>
    </xf>
    <xf numFmtId="0" fontId="74" fillId="60" borderId="28" xfId="264" applyFont="1" applyFill="1" applyBorder="1">
      <alignment/>
      <protection/>
    </xf>
    <xf numFmtId="0" fontId="75" fillId="60" borderId="42" xfId="264" applyFont="1" applyFill="1" applyBorder="1" applyAlignment="1">
      <alignment vertical="center"/>
      <protection/>
    </xf>
    <xf numFmtId="0" fontId="74" fillId="60" borderId="34" xfId="264" applyFont="1" applyFill="1" applyBorder="1">
      <alignment/>
      <protection/>
    </xf>
    <xf numFmtId="0" fontId="73" fillId="60" borderId="28" xfId="264" applyFont="1" applyFill="1" applyBorder="1" applyAlignment="1">
      <alignment horizontal="center" vertical="center"/>
      <protection/>
    </xf>
    <xf numFmtId="0" fontId="73" fillId="60" borderId="33" xfId="264" applyFont="1" applyFill="1" applyBorder="1" applyAlignment="1">
      <alignment horizontal="center" vertical="center"/>
      <protection/>
    </xf>
    <xf numFmtId="9" fontId="74" fillId="61" borderId="28" xfId="266" applyFont="1" applyFill="1" applyBorder="1"/>
    <xf numFmtId="9" fontId="74" fillId="61" borderId="33" xfId="266" applyFont="1" applyFill="1" applyBorder="1"/>
    <xf numFmtId="9" fontId="74" fillId="61" borderId="34" xfId="266" applyFont="1" applyFill="1" applyBorder="1"/>
    <xf numFmtId="9" fontId="74" fillId="61" borderId="29" xfId="266" applyFont="1" applyFill="1" applyBorder="1"/>
    <xf numFmtId="0" fontId="75" fillId="60" borderId="41" xfId="264" applyFont="1" applyFill="1" applyBorder="1" applyAlignment="1">
      <alignment vertical="center"/>
      <protection/>
    </xf>
    <xf numFmtId="0" fontId="73" fillId="59" borderId="28" xfId="264" applyFont="1" applyFill="1" applyBorder="1" applyAlignment="1">
      <alignment horizontal="center" vertical="center"/>
      <protection/>
    </xf>
    <xf numFmtId="0" fontId="82" fillId="59" borderId="27" xfId="264" applyFont="1" applyFill="1" applyBorder="1" applyAlignment="1">
      <alignment horizontal="centerContinuous" vertical="center"/>
      <protection/>
    </xf>
    <xf numFmtId="0" fontId="74" fillId="59" borderId="41" xfId="264" applyFont="1" applyFill="1" applyBorder="1" applyAlignment="1">
      <alignment horizontal="centerContinuous"/>
      <protection/>
    </xf>
    <xf numFmtId="165" fontId="74" fillId="61" borderId="33" xfId="265" applyNumberFormat="1" applyFont="1" applyFill="1" applyBorder="1"/>
    <xf numFmtId="165" fontId="74" fillId="59" borderId="42" xfId="264" applyNumberFormat="1" applyFont="1" applyFill="1" applyBorder="1" applyAlignment="1">
      <alignment horizontal="centerContinuous"/>
      <protection/>
    </xf>
    <xf numFmtId="165" fontId="76" fillId="61" borderId="34" xfId="265" applyNumberFormat="1" applyFont="1" applyFill="1" applyBorder="1"/>
    <xf numFmtId="165" fontId="76" fillId="61" borderId="29" xfId="265" applyNumberFormat="1" applyFont="1" applyFill="1" applyBorder="1"/>
    <xf numFmtId="0" fontId="83" fillId="59" borderId="52" xfId="264" applyFont="1" applyFill="1" applyBorder="1" applyAlignment="1">
      <alignment horizontal="centerContinuous" vertical="center"/>
      <protection/>
    </xf>
    <xf numFmtId="0" fontId="83" fillId="59" borderId="26" xfId="264" applyFont="1" applyFill="1" applyBorder="1" applyAlignment="1">
      <alignment horizontal="centerContinuous" vertical="center"/>
      <protection/>
    </xf>
    <xf numFmtId="0" fontId="73" fillId="59" borderId="33" xfId="264" applyFont="1" applyFill="1" applyBorder="1" applyAlignment="1">
      <alignment horizontal="center" vertical="center"/>
      <protection/>
    </xf>
    <xf numFmtId="0" fontId="74" fillId="61" borderId="48" xfId="264" applyFont="1" applyFill="1" applyBorder="1" applyAlignment="1">
      <alignment horizontal="center"/>
      <protection/>
    </xf>
    <xf numFmtId="9" fontId="74" fillId="61" borderId="54" xfId="266" applyFont="1" applyFill="1" applyBorder="1" applyAlignment="1">
      <alignment horizontal="center"/>
    </xf>
    <xf numFmtId="0" fontId="74" fillId="61" borderId="55" xfId="264" applyFont="1" applyFill="1" applyBorder="1" applyAlignment="1">
      <alignment horizontal="center"/>
      <protection/>
    </xf>
    <xf numFmtId="0" fontId="74" fillId="61" borderId="46" xfId="264" applyFont="1" applyFill="1" applyBorder="1" applyAlignment="1">
      <alignment horizontal="center"/>
      <protection/>
    </xf>
    <xf numFmtId="9" fontId="74" fillId="61" borderId="46" xfId="266" applyFont="1" applyFill="1" applyBorder="1" applyAlignment="1">
      <alignment horizontal="center"/>
    </xf>
    <xf numFmtId="0" fontId="76" fillId="60" borderId="41" xfId="264" applyFont="1" applyFill="1" applyBorder="1">
      <alignment/>
      <protection/>
    </xf>
    <xf numFmtId="0" fontId="73" fillId="60" borderId="33" xfId="264" applyFont="1" applyFill="1" applyBorder="1" applyAlignment="1">
      <alignment horizontal="center" vertical="center"/>
      <protection/>
    </xf>
    <xf numFmtId="9" fontId="74" fillId="61" borderId="33" xfId="266" applyFont="1" applyFill="1" applyBorder="1"/>
    <xf numFmtId="0" fontId="75" fillId="60" borderId="42" xfId="264" applyFont="1" applyFill="1" applyBorder="1" applyAlignment="1">
      <alignment vertical="center"/>
      <protection/>
    </xf>
    <xf numFmtId="0" fontId="74" fillId="60" borderId="34" xfId="264" applyFont="1" applyFill="1" applyBorder="1">
      <alignment/>
      <protection/>
    </xf>
    <xf numFmtId="9" fontId="74" fillId="61" borderId="34" xfId="266" applyFont="1" applyFill="1" applyBorder="1"/>
    <xf numFmtId="9" fontId="74" fillId="61" borderId="29" xfId="266" applyFont="1" applyFill="1" applyBorder="1"/>
    <xf numFmtId="0" fontId="45" fillId="50" borderId="41" xfId="264" applyFont="1" applyFill="1" applyBorder="1">
      <alignment/>
      <protection/>
    </xf>
    <xf numFmtId="16" fontId="45" fillId="50" borderId="41" xfId="264" applyNumberFormat="1" applyFont="1" applyFill="1" applyBorder="1">
      <alignment/>
      <protection/>
    </xf>
    <xf numFmtId="0" fontId="45" fillId="0" borderId="0" xfId="264" applyFont="1">
      <alignment/>
      <protection/>
    </xf>
    <xf numFmtId="0" fontId="45" fillId="50" borderId="42" xfId="264" applyFont="1" applyFill="1" applyBorder="1">
      <alignment/>
      <protection/>
    </xf>
    <xf numFmtId="0" fontId="84" fillId="50" borderId="42" xfId="264" applyFont="1" applyFill="1" applyBorder="1">
      <alignment/>
      <protection/>
    </xf>
    <xf numFmtId="0" fontId="31" fillId="60" borderId="23" xfId="72" applyFont="1" applyFill="1" applyBorder="1">
      <alignment/>
      <protection/>
    </xf>
    <xf numFmtId="0" fontId="31" fillId="60" borderId="56" xfId="72" applyFont="1" applyFill="1" applyBorder="1">
      <alignment/>
      <protection/>
    </xf>
    <xf numFmtId="0" fontId="31" fillId="60" borderId="57" xfId="72" applyFont="1" applyFill="1" applyBorder="1">
      <alignment/>
      <protection/>
    </xf>
    <xf numFmtId="0" fontId="31" fillId="60" borderId="24" xfId="72" applyFont="1" applyFill="1" applyBorder="1">
      <alignment/>
      <protection/>
    </xf>
    <xf numFmtId="0" fontId="31" fillId="60" borderId="36" xfId="72" applyFont="1" applyFill="1" applyBorder="1">
      <alignment/>
      <protection/>
    </xf>
    <xf numFmtId="0" fontId="34" fillId="60" borderId="0" xfId="72" applyFont="1" applyFill="1" applyAlignment="1">
      <alignment vertical="center"/>
      <protection/>
    </xf>
    <xf numFmtId="0" fontId="33" fillId="60" borderId="0" xfId="72" applyFont="1" applyFill="1" applyAlignment="1">
      <alignment vertical="center"/>
      <protection/>
    </xf>
    <xf numFmtId="0" fontId="31" fillId="60" borderId="24" xfId="72" applyFont="1" applyFill="1" applyBorder="1" applyAlignment="1">
      <alignment wrapText="1"/>
      <protection/>
    </xf>
    <xf numFmtId="0" fontId="31" fillId="60" borderId="36" xfId="72" applyFont="1" applyFill="1" applyBorder="1" applyAlignment="1">
      <alignment wrapText="1"/>
      <protection/>
    </xf>
    <xf numFmtId="0" fontId="34" fillId="60" borderId="0" xfId="72" applyFont="1" applyFill="1" applyAlignment="1">
      <alignment vertical="center" wrapText="1"/>
      <protection/>
    </xf>
    <xf numFmtId="0" fontId="31" fillId="60" borderId="25" xfId="72" applyFont="1" applyFill="1" applyBorder="1">
      <alignment/>
      <protection/>
    </xf>
    <xf numFmtId="0" fontId="31" fillId="60" borderId="38" xfId="72" applyFont="1" applyFill="1" applyBorder="1">
      <alignment/>
      <protection/>
    </xf>
    <xf numFmtId="0" fontId="31" fillId="60" borderId="39" xfId="72" applyFont="1" applyFill="1" applyBorder="1">
      <alignment/>
      <protection/>
    </xf>
    <xf numFmtId="0" fontId="85" fillId="60" borderId="58" xfId="72" applyFont="1" applyFill="1" applyBorder="1" applyAlignment="1">
      <alignment horizontal="center" vertical="center"/>
      <protection/>
    </xf>
    <xf numFmtId="0" fontId="32" fillId="58" borderId="0" xfId="72" applyFont="1" applyFill="1">
      <alignment/>
      <protection/>
    </xf>
    <xf numFmtId="0" fontId="39" fillId="40" borderId="28" xfId="0" applyFont="1" applyFill="1" applyBorder="1" applyAlignment="1">
      <alignment horizontal="center"/>
    </xf>
    <xf numFmtId="0" fontId="39" fillId="40" borderId="28" xfId="0" applyFont="1" applyFill="1" applyBorder="1" applyAlignment="1">
      <alignment horizontal="center" wrapText="1"/>
    </xf>
    <xf numFmtId="0" fontId="39" fillId="40" borderId="28" xfId="0" applyFont="1" applyFill="1" applyBorder="1" applyAlignment="1">
      <alignment horizontal="left" indent="1"/>
    </xf>
    <xf numFmtId="0" fontId="35" fillId="40" borderId="28" xfId="0" applyFont="1" applyFill="1" applyBorder="1" applyAlignment="1">
      <alignment horizontal="center"/>
    </xf>
    <xf numFmtId="0" fontId="35" fillId="62" borderId="23" xfId="0" applyFont="1" applyFill="1" applyBorder="1"/>
    <xf numFmtId="0" fontId="35" fillId="62" borderId="56" xfId="0" applyFont="1" applyFill="1" applyBorder="1"/>
    <xf numFmtId="0" fontId="35" fillId="62" borderId="57" xfId="0" applyFont="1" applyFill="1" applyBorder="1"/>
    <xf numFmtId="0" fontId="35" fillId="62" borderId="24" xfId="0" applyFont="1" applyFill="1" applyBorder="1"/>
    <xf numFmtId="0" fontId="36" fillId="62" borderId="0" xfId="0" applyFont="1" applyFill="1" applyBorder="1" applyAlignment="1">
      <alignment horizontal="center"/>
    </xf>
    <xf numFmtId="0" fontId="41" fillId="62" borderId="36" xfId="0" applyFont="1" applyFill="1" applyBorder="1"/>
    <xf numFmtId="0" fontId="35" fillId="62" borderId="36" xfId="0" applyFont="1" applyFill="1" applyBorder="1"/>
    <xf numFmtId="0" fontId="35" fillId="62" borderId="36" xfId="0" applyFont="1" applyFill="1" applyBorder="1" applyAlignment="1">
      <alignment wrapText="1"/>
    </xf>
    <xf numFmtId="0" fontId="35" fillId="62" borderId="0" xfId="0" applyFont="1" applyFill="1" applyBorder="1"/>
    <xf numFmtId="0" fontId="35" fillId="62" borderId="25" xfId="0" applyFont="1" applyFill="1" applyBorder="1"/>
    <xf numFmtId="0" fontId="35" fillId="62" borderId="38" xfId="0" applyFont="1" applyFill="1" applyBorder="1"/>
    <xf numFmtId="0" fontId="35" fillId="62" borderId="39" xfId="0" applyFont="1" applyFill="1" applyBorder="1"/>
    <xf numFmtId="165" fontId="42" fillId="40" borderId="28" xfId="18" applyNumberFormat="1" applyFont="1" applyFill="1" applyBorder="1"/>
    <xf numFmtId="165" fontId="40" fillId="40" borderId="28" xfId="18" applyNumberFormat="1" applyFont="1" applyFill="1" applyBorder="1"/>
    <xf numFmtId="9" fontId="40" fillId="40" borderId="28" xfId="15" applyFont="1" applyFill="1" applyBorder="1" applyAlignment="1">
      <alignment horizontal="center"/>
    </xf>
    <xf numFmtId="0" fontId="36" fillId="40" borderId="28" xfId="20" applyFont="1" applyFill="1" applyBorder="1" applyAlignment="1">
      <alignment horizontal="center"/>
    </xf>
    <xf numFmtId="164" fontId="39" fillId="40" borderId="28" xfId="0" applyNumberFormat="1" applyFont="1" applyFill="1" applyBorder="1" applyAlignment="1">
      <alignment horizontal="center"/>
    </xf>
    <xf numFmtId="0" fontId="35" fillId="40" borderId="28" xfId="0" applyFont="1" applyFill="1" applyBorder="1"/>
    <xf numFmtId="165" fontId="39" fillId="40" borderId="28" xfId="0" applyNumberFormat="1" applyFont="1" applyFill="1" applyBorder="1"/>
    <xf numFmtId="165" fontId="35" fillId="40" borderId="28" xfId="0" applyNumberFormat="1" applyFont="1" applyFill="1" applyBorder="1"/>
    <xf numFmtId="10" fontId="35" fillId="40" borderId="28" xfId="15" applyNumberFormat="1" applyFont="1" applyFill="1" applyBorder="1" applyAlignment="1">
      <alignment horizontal="center"/>
    </xf>
    <xf numFmtId="0" fontId="35" fillId="62" borderId="56" xfId="0" applyFont="1" applyFill="1" applyBorder="1" applyAlignment="1">
      <alignment horizontal="center"/>
    </xf>
    <xf numFmtId="0" fontId="36" fillId="62" borderId="0" xfId="0" applyFont="1" applyFill="1" applyBorder="1"/>
    <xf numFmtId="0" fontId="35" fillId="62" borderId="0" xfId="0" applyFont="1" applyFill="1" applyBorder="1" applyAlignment="1">
      <alignment horizontal="center"/>
    </xf>
    <xf numFmtId="0" fontId="38" fillId="62" borderId="0" xfId="0" applyFont="1" applyFill="1" applyBorder="1"/>
    <xf numFmtId="0" fontId="35" fillId="62" borderId="38" xfId="0" applyFont="1" applyFill="1" applyBorder="1" applyAlignment="1">
      <alignment horizontal="center"/>
    </xf>
    <xf numFmtId="0" fontId="39" fillId="62" borderId="38" xfId="0" applyFont="1" applyFill="1" applyBorder="1"/>
    <xf numFmtId="0" fontId="35" fillId="62" borderId="56" xfId="0" applyFont="1" applyFill="1" applyBorder="1" applyAlignment="1">
      <alignment horizontal="left"/>
    </xf>
    <xf numFmtId="0" fontId="35" fillId="62" borderId="56" xfId="0" applyFont="1" applyFill="1" applyBorder="1" applyAlignment="1">
      <alignment horizontal="right" wrapText="1"/>
    </xf>
    <xf numFmtId="0" fontId="35" fillId="62" borderId="57" xfId="0" applyFont="1" applyFill="1" applyBorder="1" applyAlignment="1">
      <alignment horizontal="left"/>
    </xf>
    <xf numFmtId="0" fontId="37" fillId="62" borderId="0" xfId="0" applyFont="1" applyFill="1" applyBorder="1" applyAlignment="1">
      <alignment horizontal="left"/>
    </xf>
    <xf numFmtId="0" fontId="35" fillId="62" borderId="0" xfId="0" applyFont="1" applyFill="1" applyBorder="1" applyAlignment="1">
      <alignment horizontal="left"/>
    </xf>
    <xf numFmtId="0" fontId="35" fillId="62" borderId="36" xfId="0" applyFont="1" applyFill="1" applyBorder="1" applyAlignment="1">
      <alignment horizontal="left"/>
    </xf>
    <xf numFmtId="0" fontId="35" fillId="62" borderId="24" xfId="0" applyFont="1" applyFill="1" applyBorder="1" applyAlignment="1">
      <alignment wrapText="1"/>
    </xf>
    <xf numFmtId="0" fontId="36" fillId="62" borderId="0" xfId="0" applyFont="1" applyFill="1" applyBorder="1" applyAlignment="1">
      <alignment horizontal="center" vertical="center" wrapText="1"/>
    </xf>
    <xf numFmtId="165" fontId="36" fillId="62" borderId="0" xfId="0" applyNumberFormat="1" applyFont="1" applyFill="1" applyBorder="1" applyAlignment="1">
      <alignment horizontal="center" vertical="center" wrapText="1"/>
    </xf>
    <xf numFmtId="165" fontId="38" fillId="62" borderId="0" xfId="0" applyNumberFormat="1" applyFont="1" applyFill="1" applyBorder="1"/>
    <xf numFmtId="165" fontId="38" fillId="62" borderId="36" xfId="0" applyNumberFormat="1" applyFont="1" applyFill="1" applyBorder="1"/>
    <xf numFmtId="10" fontId="35" fillId="62" borderId="0" xfId="15" applyNumberFormat="1" applyFont="1" applyFill="1" applyBorder="1"/>
    <xf numFmtId="10" fontId="35" fillId="62" borderId="36" xfId="15" applyNumberFormat="1" applyFont="1" applyFill="1" applyBorder="1"/>
    <xf numFmtId="0" fontId="36" fillId="62" borderId="0" xfId="0" applyFont="1" applyFill="1" applyBorder="1" applyAlignment="1">
      <alignment horizontal="center" wrapText="1"/>
    </xf>
    <xf numFmtId="0" fontId="35" fillId="62" borderId="23" xfId="0" applyFont="1" applyFill="1" applyBorder="1" applyAlignment="1">
      <alignment horizontal="left"/>
    </xf>
    <xf numFmtId="0" fontId="35" fillId="62" borderId="24" xfId="0" applyFont="1" applyFill="1" applyBorder="1" applyAlignment="1">
      <alignment horizontal="left"/>
    </xf>
    <xf numFmtId="0" fontId="36" fillId="62" borderId="0" xfId="0" applyFont="1" applyFill="1" applyBorder="1" applyAlignment="1">
      <alignment horizontal="left"/>
    </xf>
    <xf numFmtId="0" fontId="35" fillId="62" borderId="0" xfId="0" applyFont="1" applyFill="1" applyBorder="1" applyAlignment="1">
      <alignment horizontal="right"/>
    </xf>
    <xf numFmtId="165" fontId="38" fillId="62" borderId="24" xfId="0" applyNumberFormat="1" applyFont="1" applyFill="1" applyBorder="1"/>
    <xf numFmtId="0" fontId="35" fillId="62" borderId="36" xfId="0" applyFont="1" applyFill="1" applyBorder="1" applyAlignment="1">
      <alignment horizontal="right" wrapText="1"/>
    </xf>
    <xf numFmtId="10" fontId="35" fillId="62" borderId="24" xfId="15" applyNumberFormat="1" applyFont="1" applyFill="1" applyBorder="1"/>
    <xf numFmtId="164" fontId="39" fillId="40" borderId="28" xfId="15" applyNumberFormat="1" applyFont="1" applyFill="1" applyBorder="1" applyAlignment="1">
      <alignment horizontal="center"/>
    </xf>
    <xf numFmtId="165" fontId="35" fillId="40" borderId="28" xfId="18" applyNumberFormat="1" applyFont="1" applyFill="1" applyBorder="1"/>
    <xf numFmtId="0" fontId="36" fillId="62" borderId="56" xfId="0" applyFont="1" applyFill="1" applyBorder="1" applyAlignment="1">
      <alignment vertical="center" wrapText="1"/>
    </xf>
    <xf numFmtId="0" fontId="36" fillId="62" borderId="0" xfId="0" applyFont="1" applyFill="1" applyBorder="1" applyAlignment="1">
      <alignment horizontal="center" vertical="top"/>
    </xf>
    <xf numFmtId="0" fontId="35" fillId="62" borderId="24" xfId="0" applyFont="1" applyFill="1" applyBorder="1" applyAlignment="1">
      <alignment horizontal="center" wrapText="1"/>
    </xf>
    <xf numFmtId="0" fontId="35" fillId="62" borderId="0" xfId="0" applyFont="1" applyFill="1" applyBorder="1" applyAlignment="1">
      <alignment horizontal="left" vertical="center" wrapText="1"/>
    </xf>
    <xf numFmtId="0" fontId="36" fillId="62" borderId="0" xfId="0" applyFont="1" applyFill="1" applyBorder="1" applyAlignment="1">
      <alignment horizontal="left" vertical="center" wrapText="1"/>
    </xf>
    <xf numFmtId="0" fontId="38" fillId="62" borderId="0" xfId="0" applyFont="1" applyFill="1" applyBorder="1" applyAlignment="1">
      <alignment horizontal="center" vertical="center" wrapText="1"/>
    </xf>
    <xf numFmtId="0" fontId="35" fillId="62" borderId="25" xfId="0" applyFont="1" applyFill="1" applyBorder="1" applyAlignment="1">
      <alignment horizontal="center" wrapText="1"/>
    </xf>
    <xf numFmtId="0" fontId="35" fillId="62" borderId="38" xfId="0" applyFont="1" applyFill="1" applyBorder="1" applyAlignment="1">
      <alignment horizontal="center" vertical="center" wrapText="1"/>
    </xf>
    <xf numFmtId="165" fontId="42" fillId="62" borderId="38" xfId="18" applyNumberFormat="1" applyFont="1" applyFill="1" applyBorder="1"/>
    <xf numFmtId="0" fontId="35" fillId="62" borderId="0" xfId="0" applyFont="1" applyFill="1" applyBorder="1" applyAlignment="1">
      <alignment horizontal="center" vertical="center" wrapText="1"/>
    </xf>
    <xf numFmtId="168" fontId="40" fillId="40" borderId="28" xfId="23" applyNumberFormat="1" applyFont="1" applyFill="1" applyBorder="1" applyAlignment="1">
      <alignment horizontal="center" vertical="center"/>
    </xf>
    <xf numFmtId="168" fontId="35" fillId="40" borderId="28" xfId="23" applyNumberFormat="1" applyFont="1" applyFill="1" applyBorder="1" applyAlignment="1">
      <alignment horizontal="center" vertical="center"/>
    </xf>
    <xf numFmtId="0" fontId="36" fillId="62" borderId="0" xfId="0" applyFont="1" applyFill="1" applyBorder="1" applyAlignment="1">
      <alignment horizontal="right" indent="1"/>
    </xf>
    <xf numFmtId="0" fontId="36" fillId="62" borderId="0" xfId="0" applyFont="1" applyFill="1" applyBorder="1" applyAlignment="1">
      <alignment vertical="center"/>
    </xf>
    <xf numFmtId="164" fontId="36" fillId="62" borderId="0" xfId="15" applyNumberFormat="1" applyFont="1" applyFill="1" applyBorder="1" applyAlignment="1">
      <alignment horizontal="center" vertical="top" wrapText="1"/>
    </xf>
    <xf numFmtId="0" fontId="36" fillId="62" borderId="38" xfId="0" applyFont="1" applyFill="1" applyBorder="1" applyAlignment="1">
      <alignment horizontal="center" vertical="top"/>
    </xf>
    <xf numFmtId="164" fontId="36" fillId="62" borderId="38" xfId="15" applyNumberFormat="1" applyFont="1" applyFill="1" applyBorder="1" applyAlignment="1">
      <alignment horizontal="center" vertical="top" wrapText="1"/>
    </xf>
    <xf numFmtId="0" fontId="47" fillId="62" borderId="0" xfId="0" applyFont="1" applyFill="1" applyBorder="1" applyAlignment="1">
      <alignment horizontal="center" vertical="top" wrapText="1"/>
    </xf>
    <xf numFmtId="0" fontId="35" fillId="62" borderId="0" xfId="0" applyFont="1" applyFill="1" applyBorder="1" applyAlignment="1">
      <alignment horizontal="left" indent="1"/>
    </xf>
    <xf numFmtId="164" fontId="35" fillId="40" borderId="28" xfId="15" applyNumberFormat="1" applyFont="1" applyFill="1" applyBorder="1" applyAlignment="1">
      <alignment horizontal="center"/>
    </xf>
    <xf numFmtId="3" fontId="40" fillId="40" borderId="28" xfId="15" applyNumberFormat="1" applyFont="1" applyFill="1" applyBorder="1" applyAlignment="1">
      <alignment horizontal="center" vertical="top" wrapText="1"/>
    </xf>
    <xf numFmtId="3" fontId="35" fillId="40" borderId="28" xfId="15" applyNumberFormat="1" applyFont="1" applyFill="1" applyBorder="1" applyAlignment="1">
      <alignment horizontal="center" vertical="top" wrapText="1"/>
    </xf>
    <xf numFmtId="10" fontId="35" fillId="62" borderId="36" xfId="0" applyNumberFormat="1" applyFont="1" applyFill="1" applyBorder="1"/>
    <xf numFmtId="0" fontId="88" fillId="58" borderId="0" xfId="72" applyFont="1" applyFill="1" applyBorder="1" applyAlignment="1">
      <alignment horizontal="center" vertical="center"/>
      <protection/>
    </xf>
    <xf numFmtId="0" fontId="36" fillId="62" borderId="36" xfId="0" applyFont="1" applyFill="1" applyBorder="1" applyAlignment="1">
      <alignment vertical="center"/>
    </xf>
    <xf numFmtId="164" fontId="40" fillId="40" borderId="28" xfId="15" applyNumberFormat="1" applyFont="1" applyFill="1" applyBorder="1" applyAlignment="1">
      <alignment horizontal="center" vertical="top" wrapText="1"/>
    </xf>
    <xf numFmtId="164" fontId="35" fillId="40" borderId="28" xfId="15" applyNumberFormat="1" applyFont="1" applyFill="1" applyBorder="1" applyAlignment="1">
      <alignment horizontal="center" vertical="top" wrapText="1"/>
    </xf>
    <xf numFmtId="0" fontId="35" fillId="62" borderId="23" xfId="0" applyFont="1" applyFill="1" applyBorder="1" applyAlignment="1">
      <alignment/>
    </xf>
    <xf numFmtId="0" fontId="35" fillId="62" borderId="56" xfId="0" applyFont="1" applyFill="1" applyBorder="1" applyAlignment="1">
      <alignment/>
    </xf>
    <xf numFmtId="0" fontId="61" fillId="62" borderId="56" xfId="0" applyFont="1" applyFill="1" applyBorder="1" applyAlignment="1">
      <alignment horizontal="center"/>
    </xf>
    <xf numFmtId="0" fontId="35" fillId="62" borderId="24" xfId="0" applyFont="1" applyFill="1" applyBorder="1" applyAlignment="1">
      <alignment/>
    </xf>
    <xf numFmtId="0" fontId="61" fillId="62" borderId="0" xfId="0" applyFont="1" applyFill="1" applyBorder="1" applyAlignment="1">
      <alignment horizontal="center"/>
    </xf>
    <xf numFmtId="0" fontId="35" fillId="62" borderId="0" xfId="0" applyFont="1" applyFill="1" applyBorder="1" applyAlignment="1">
      <alignment/>
    </xf>
    <xf numFmtId="0" fontId="36" fillId="62" borderId="24" xfId="0" applyFont="1" applyFill="1" applyBorder="1" applyAlignment="1">
      <alignment vertical="center"/>
    </xf>
    <xf numFmtId="0" fontId="37" fillId="62" borderId="0" xfId="0" applyFont="1" applyFill="1" applyBorder="1" applyAlignment="1">
      <alignment horizontal="center"/>
    </xf>
    <xf numFmtId="0" fontId="35" fillId="62" borderId="25" xfId="0" applyFont="1" applyFill="1" applyBorder="1" applyAlignment="1">
      <alignment/>
    </xf>
    <xf numFmtId="0" fontId="35" fillId="62" borderId="38" xfId="0" applyFont="1" applyFill="1" applyBorder="1" applyAlignment="1">
      <alignment/>
    </xf>
    <xf numFmtId="0" fontId="36" fillId="62" borderId="56" xfId="0" applyFont="1" applyFill="1" applyBorder="1" applyAlignment="1">
      <alignment horizontal="center" vertical="top"/>
    </xf>
    <xf numFmtId="0" fontId="37" fillId="62" borderId="0" xfId="0" applyFont="1" applyFill="1" applyBorder="1" applyAlignment="1">
      <alignment horizontal="center" vertical="center"/>
    </xf>
    <xf numFmtId="0" fontId="61" fillId="62" borderId="38" xfId="0" applyFont="1" applyFill="1" applyBorder="1" applyAlignment="1">
      <alignment/>
    </xf>
    <xf numFmtId="164" fontId="40" fillId="40" borderId="28" xfId="15" applyNumberFormat="1" applyFont="1" applyFill="1" applyBorder="1" applyAlignment="1">
      <alignment horizontal="center"/>
    </xf>
    <xf numFmtId="0" fontId="0" fillId="62" borderId="56" xfId="0" applyFill="1" applyBorder="1" applyAlignment="1">
      <alignment horizontal="left" indent="1"/>
    </xf>
    <xf numFmtId="0" fontId="0" fillId="62" borderId="56" xfId="0" applyFill="1" applyBorder="1"/>
    <xf numFmtId="0" fontId="6" fillId="62" borderId="56" xfId="0" applyFont="1" applyFill="1" applyBorder="1" applyAlignment="1">
      <alignment horizontal="center"/>
    </xf>
    <xf numFmtId="0" fontId="0" fillId="62" borderId="57" xfId="0" applyFill="1" applyBorder="1"/>
    <xf numFmtId="0" fontId="3" fillId="62" borderId="0" xfId="0" applyFont="1" applyFill="1" applyBorder="1" applyAlignment="1">
      <alignment/>
    </xf>
    <xf numFmtId="0" fontId="3" fillId="62" borderId="0" xfId="0" applyFont="1" applyFill="1" applyBorder="1" applyAlignment="1">
      <alignment horizontal="center"/>
    </xf>
    <xf numFmtId="0" fontId="0" fillId="62" borderId="36" xfId="0" applyFill="1" applyBorder="1"/>
    <xf numFmtId="0" fontId="0" fillId="62" borderId="0" xfId="0" applyFill="1" applyBorder="1" applyAlignment="1">
      <alignment horizontal="left" vertical="center" wrapText="1" indent="1"/>
    </xf>
    <xf numFmtId="0" fontId="0" fillId="62" borderId="0" xfId="0" applyFont="1" applyFill="1" applyBorder="1" applyAlignment="1">
      <alignment horizontal="center" vertical="center" wrapText="1"/>
    </xf>
    <xf numFmtId="0" fontId="0" fillId="62" borderId="36" xfId="0" applyFill="1" applyBorder="1" applyAlignment="1">
      <alignment horizontal="center" vertical="center" wrapText="1"/>
    </xf>
    <xf numFmtId="0" fontId="0" fillId="62" borderId="0" xfId="0" applyFill="1" applyBorder="1" applyAlignment="1">
      <alignment horizontal="left" indent="1"/>
    </xf>
    <xf numFmtId="0" fontId="0" fillId="62" borderId="38" xfId="0" applyFill="1" applyBorder="1" applyAlignment="1">
      <alignment horizontal="left" indent="1"/>
    </xf>
    <xf numFmtId="0" fontId="0" fillId="62" borderId="38" xfId="0" applyFill="1" applyBorder="1"/>
    <xf numFmtId="0" fontId="0" fillId="62" borderId="38" xfId="0" applyFill="1" applyBorder="1"/>
    <xf numFmtId="0" fontId="0" fillId="62" borderId="39" xfId="0" applyFill="1" applyBorder="1"/>
    <xf numFmtId="0" fontId="2" fillId="62" borderId="59" xfId="0" applyFont="1" applyFill="1" applyBorder="1" applyAlignment="1">
      <alignment horizontal="centerContinuous"/>
    </xf>
    <xf numFmtId="0" fontId="2" fillId="62" borderId="43" xfId="0" applyFont="1" applyFill="1" applyBorder="1" applyAlignment="1">
      <alignment horizontal="centerContinuous"/>
    </xf>
    <xf numFmtId="0" fontId="2" fillId="62" borderId="44" xfId="0" applyFont="1" applyFill="1" applyBorder="1" applyAlignment="1">
      <alignment horizontal="centerContinuous"/>
    </xf>
    <xf numFmtId="0" fontId="2" fillId="58" borderId="0" xfId="0" applyFont="1" applyFill="1" applyBorder="1" applyAlignment="1">
      <alignment horizontal="center"/>
    </xf>
    <xf numFmtId="0" fontId="0" fillId="58" borderId="0" xfId="0" applyFont="1" applyFill="1" applyAlignment="1">
      <alignment horizontal="left" indent="1"/>
    </xf>
    <xf numFmtId="0" fontId="0" fillId="62" borderId="23" xfId="0" applyFill="1" applyBorder="1"/>
    <xf numFmtId="0" fontId="3" fillId="62" borderId="24" xfId="0" applyFont="1" applyFill="1" applyBorder="1" applyAlignment="1">
      <alignment horizontal="center"/>
    </xf>
    <xf numFmtId="0" fontId="0" fillId="62" borderId="24" xfId="0" applyFont="1" applyFill="1" applyBorder="1" applyAlignment="1">
      <alignment horizontal="center" vertical="center" wrapText="1"/>
    </xf>
    <xf numFmtId="3" fontId="0" fillId="62" borderId="24" xfId="0" applyNumberFormat="1" applyFont="1" applyFill="1" applyBorder="1" applyAlignment="1">
      <alignment horizontal="center" vertical="center" wrapText="1"/>
    </xf>
    <xf numFmtId="3" fontId="0" fillId="62" borderId="24" xfId="0" applyNumberFormat="1" applyFill="1" applyBorder="1"/>
    <xf numFmtId="0" fontId="0" fillId="62" borderId="25" xfId="0" applyFill="1" applyBorder="1"/>
    <xf numFmtId="3" fontId="0" fillId="62" borderId="0" xfId="0" applyNumberFormat="1" applyFont="1" applyFill="1" applyBorder="1" applyAlignment="1">
      <alignment horizontal="center" vertical="center" wrapText="1"/>
    </xf>
    <xf numFmtId="3" fontId="0" fillId="62" borderId="0" xfId="0" applyNumberFormat="1" applyFill="1" applyBorder="1" applyAlignment="1">
      <alignment horizontal="center" vertical="center" wrapText="1"/>
    </xf>
    <xf numFmtId="3" fontId="0" fillId="62" borderId="0" xfId="0" applyNumberFormat="1" applyFill="1" applyBorder="1"/>
    <xf numFmtId="0" fontId="0" fillId="62" borderId="23" xfId="0" applyFont="1" applyFill="1" applyBorder="1"/>
    <xf numFmtId="0" fontId="0" fillId="62" borderId="56" xfId="0" applyFill="1" applyBorder="1" applyAlignment="1">
      <alignment horizontal="center"/>
    </xf>
    <xf numFmtId="0" fontId="0" fillId="62" borderId="56" xfId="0" applyFont="1" applyFill="1" applyBorder="1"/>
    <xf numFmtId="0" fontId="3" fillId="62" borderId="24" xfId="0" applyFont="1" applyFill="1" applyBorder="1" applyAlignment="1">
      <alignment/>
    </xf>
    <xf numFmtId="0" fontId="3" fillId="62" borderId="36" xfId="0" applyFont="1" applyFill="1" applyBorder="1" applyAlignment="1">
      <alignment horizontal="center"/>
    </xf>
    <xf numFmtId="0" fontId="0" fillId="62" borderId="24" xfId="0" applyFill="1" applyBorder="1" applyAlignment="1">
      <alignment horizontal="center" vertical="center" wrapText="1"/>
    </xf>
    <xf numFmtId="0" fontId="0" fillId="62" borderId="0" xfId="0" applyFill="1" applyBorder="1" applyAlignment="1">
      <alignment horizontal="center" vertical="center" wrapText="1"/>
    </xf>
    <xf numFmtId="0" fontId="0" fillId="62" borderId="36" xfId="0" applyFont="1" applyFill="1" applyBorder="1" applyAlignment="1">
      <alignment horizontal="center" vertical="center" wrapText="1"/>
    </xf>
    <xf numFmtId="3" fontId="0" fillId="62" borderId="36" xfId="0" applyNumberFormat="1" applyFont="1" applyFill="1" applyBorder="1" applyAlignment="1">
      <alignment horizontal="center" vertical="center" wrapText="1"/>
    </xf>
    <xf numFmtId="37" fontId="6" fillId="62" borderId="24" xfId="18" applyNumberFormat="1" applyFont="1" applyFill="1" applyBorder="1"/>
    <xf numFmtId="3" fontId="0" fillId="62" borderId="36" xfId="0" applyNumberFormat="1" applyFill="1" applyBorder="1"/>
    <xf numFmtId="0" fontId="0" fillId="62" borderId="38" xfId="0" applyFill="1" applyBorder="1" applyAlignment="1">
      <alignment horizontal="center"/>
    </xf>
    <xf numFmtId="0" fontId="0" fillId="62" borderId="57" xfId="0" applyFont="1" applyFill="1" applyBorder="1"/>
    <xf numFmtId="0" fontId="0" fillId="62" borderId="24" xfId="0" applyFill="1" applyBorder="1"/>
    <xf numFmtId="37" fontId="6" fillId="62" borderId="36" xfId="18" applyNumberFormat="1" applyFont="1" applyFill="1" applyBorder="1"/>
    <xf numFmtId="37" fontId="0" fillId="40" borderId="28" xfId="18" applyNumberFormat="1" applyFont="1" applyFill="1" applyBorder="1"/>
    <xf numFmtId="164" fontId="0" fillId="40" borderId="28" xfId="0" applyNumberFormat="1" applyFont="1" applyFill="1" applyBorder="1" applyAlignment="1">
      <alignment horizontal="center"/>
    </xf>
    <xf numFmtId="3" fontId="0" fillId="40" borderId="28" xfId="0" applyNumberFormat="1" applyFill="1" applyBorder="1"/>
    <xf numFmtId="3" fontId="0" fillId="40" borderId="48" xfId="0" applyNumberFormat="1" applyFill="1" applyBorder="1"/>
    <xf numFmtId="164" fontId="2" fillId="40" borderId="58" xfId="0" applyNumberFormat="1" applyFont="1" applyFill="1" applyBorder="1" applyAlignment="1">
      <alignment horizontal="center"/>
    </xf>
    <xf numFmtId="3" fontId="0" fillId="40" borderId="60" xfId="0" applyNumberFormat="1" applyFill="1" applyBorder="1"/>
    <xf numFmtId="164" fontId="0" fillId="40" borderId="28" xfId="15" applyNumberFormat="1" applyFont="1" applyFill="1" applyBorder="1" applyAlignment="1">
      <alignment horizontal="center"/>
    </xf>
    <xf numFmtId="3" fontId="0" fillId="40" borderId="28" xfId="0" applyNumberFormat="1" applyFont="1" applyFill="1" applyBorder="1"/>
    <xf numFmtId="165" fontId="0" fillId="40" borderId="61" xfId="18" applyNumberFormat="1" applyFont="1" applyFill="1" applyBorder="1" applyAlignment="1">
      <alignment horizontal="center" vertical="center" wrapText="1"/>
    </xf>
    <xf numFmtId="165" fontId="0" fillId="40" borderId="62" xfId="18" applyNumberFormat="1" applyFont="1" applyFill="1" applyBorder="1" applyAlignment="1">
      <alignment horizontal="center" vertical="center" wrapText="1"/>
    </xf>
    <xf numFmtId="165" fontId="0" fillId="40" borderId="63" xfId="18" applyNumberFormat="1" applyFont="1" applyFill="1" applyBorder="1" applyAlignment="1">
      <alignment horizontal="center" vertical="center" wrapText="1"/>
    </xf>
    <xf numFmtId="168" fontId="0" fillId="40" borderId="58" xfId="0" applyNumberFormat="1" applyFont="1" applyFill="1" applyBorder="1" applyAlignment="1">
      <alignment horizontal="center"/>
    </xf>
    <xf numFmtId="0" fontId="0" fillId="62" borderId="25" xfId="0" applyFill="1" applyBorder="1"/>
    <xf numFmtId="0" fontId="0" fillId="62" borderId="39" xfId="0" applyFill="1" applyBorder="1"/>
    <xf numFmtId="165" fontId="0" fillId="40" borderId="28" xfId="18" applyNumberFormat="1" applyFont="1" applyFill="1" applyBorder="1" applyAlignment="1">
      <alignment horizontal="center" vertical="center" wrapText="1"/>
    </xf>
    <xf numFmtId="164" fontId="0" fillId="40" borderId="28" xfId="15" applyNumberFormat="1" applyFont="1" applyFill="1" applyBorder="1" applyAlignment="1">
      <alignment/>
    </xf>
    <xf numFmtId="0" fontId="0" fillId="62" borderId="56" xfId="0" applyFont="1" applyFill="1" applyBorder="1" applyAlignment="1">
      <alignment horizontal="left" indent="1"/>
    </xf>
    <xf numFmtId="0" fontId="0" fillId="62" borderId="24" xfId="0" applyFont="1" applyFill="1" applyBorder="1"/>
    <xf numFmtId="0" fontId="0" fillId="62" borderId="0" xfId="0" applyFont="1" applyFill="1" applyBorder="1" applyAlignment="1">
      <alignment horizontal="left" vertical="center" wrapText="1" indent="1"/>
    </xf>
    <xf numFmtId="37" fontId="0" fillId="62" borderId="36" xfId="18" applyNumberFormat="1" applyFont="1" applyFill="1" applyBorder="1"/>
    <xf numFmtId="0" fontId="0" fillId="62" borderId="25" xfId="0" applyFont="1" applyFill="1" applyBorder="1"/>
    <xf numFmtId="0" fontId="0" fillId="62" borderId="38" xfId="0" applyFont="1" applyFill="1" applyBorder="1" applyAlignment="1">
      <alignment horizontal="left" indent="1"/>
    </xf>
    <xf numFmtId="0" fontId="0" fillId="62" borderId="38" xfId="0" applyFont="1" applyFill="1" applyBorder="1"/>
    <xf numFmtId="0" fontId="0" fillId="62" borderId="39" xfId="0" applyFont="1" applyFill="1" applyBorder="1"/>
    <xf numFmtId="0" fontId="0" fillId="62" borderId="56" xfId="0" applyFont="1" applyFill="1" applyBorder="1" applyAlignment="1">
      <alignment horizontal="center"/>
    </xf>
    <xf numFmtId="37" fontId="0" fillId="62" borderId="24" xfId="18" applyNumberFormat="1" applyFont="1" applyFill="1" applyBorder="1"/>
    <xf numFmtId="3" fontId="0" fillId="62" borderId="36" xfId="0" applyNumberFormat="1" applyFont="1" applyFill="1" applyBorder="1"/>
    <xf numFmtId="0" fontId="0" fillId="62" borderId="38" xfId="0" applyFont="1" applyFill="1" applyBorder="1" applyAlignment="1">
      <alignment horizontal="center"/>
    </xf>
    <xf numFmtId="0" fontId="0" fillId="62" borderId="36" xfId="0" applyFont="1" applyFill="1" applyBorder="1"/>
    <xf numFmtId="9" fontId="0" fillId="62" borderId="0" xfId="15" applyFont="1" applyFill="1" applyBorder="1" applyAlignment="1">
      <alignment horizontal="center" vertical="center" wrapText="1"/>
    </xf>
    <xf numFmtId="3" fontId="0" fillId="62" borderId="24" xfId="0" applyNumberFormat="1" applyFont="1" applyFill="1" applyBorder="1"/>
    <xf numFmtId="165" fontId="0" fillId="40" borderId="61" xfId="18" applyNumberFormat="1" applyFont="1" applyFill="1" applyBorder="1" applyAlignment="1">
      <alignment horizontal="center" vertical="center" wrapText="1"/>
    </xf>
    <xf numFmtId="165" fontId="0" fillId="40" borderId="62" xfId="18" applyNumberFormat="1" applyFont="1" applyFill="1" applyBorder="1" applyAlignment="1">
      <alignment horizontal="center" vertical="center" wrapText="1"/>
    </xf>
    <xf numFmtId="165" fontId="0" fillId="40" borderId="63" xfId="18" applyNumberFormat="1" applyFont="1" applyFill="1" applyBorder="1" applyAlignment="1">
      <alignment horizontal="center" vertical="center" wrapText="1"/>
    </xf>
    <xf numFmtId="3" fontId="0" fillId="40" borderId="48" xfId="0" applyNumberFormat="1" applyFont="1" applyFill="1" applyBorder="1"/>
    <xf numFmtId="3" fontId="0" fillId="40" borderId="60" xfId="0" applyNumberFormat="1" applyFont="1" applyFill="1" applyBorder="1"/>
    <xf numFmtId="165" fontId="0" fillId="40" borderId="28" xfId="18" applyNumberFormat="1" applyFont="1" applyFill="1" applyBorder="1" applyAlignment="1">
      <alignment horizontal="center" vertical="center" wrapText="1"/>
    </xf>
    <xf numFmtId="164" fontId="0" fillId="40" borderId="28" xfId="15" applyNumberFormat="1" applyFont="1" applyFill="1" applyBorder="1"/>
    <xf numFmtId="1" fontId="0" fillId="40" borderId="58" xfId="0" applyNumberFormat="1" applyFont="1" applyFill="1" applyBorder="1" applyAlignment="1">
      <alignment horizontal="center"/>
    </xf>
    <xf numFmtId="0" fontId="76" fillId="60" borderId="33" xfId="264" applyFont="1" applyFill="1" applyBorder="1" applyAlignment="1">
      <alignment horizontal="center"/>
      <protection/>
    </xf>
    <xf numFmtId="165" fontId="74" fillId="61" borderId="29" xfId="265" applyNumberFormat="1" applyFont="1" applyFill="1" applyBorder="1"/>
    <xf numFmtId="165" fontId="74" fillId="61" borderId="33" xfId="265" applyNumberFormat="1" applyFont="1" applyFill="1" applyBorder="1"/>
    <xf numFmtId="165" fontId="74" fillId="61" borderId="29" xfId="265" applyNumberFormat="1" applyFont="1" applyFill="1" applyBorder="1"/>
    <xf numFmtId="165" fontId="76" fillId="60" borderId="41" xfId="264" applyNumberFormat="1" applyFont="1" applyFill="1" applyBorder="1">
      <alignment/>
      <protection/>
    </xf>
    <xf numFmtId="165" fontId="76" fillId="60" borderId="28" xfId="264" applyNumberFormat="1" applyFont="1" applyFill="1" applyBorder="1">
      <alignment/>
      <protection/>
    </xf>
    <xf numFmtId="165" fontId="75" fillId="60" borderId="41" xfId="264" applyNumberFormat="1" applyFont="1" applyFill="1" applyBorder="1" applyAlignment="1">
      <alignment vertical="center"/>
      <protection/>
    </xf>
    <xf numFmtId="165" fontId="74" fillId="60" borderId="28" xfId="264" applyNumberFormat="1" applyFont="1" applyFill="1" applyBorder="1">
      <alignment/>
      <protection/>
    </xf>
    <xf numFmtId="165" fontId="75" fillId="60" borderId="42" xfId="264" applyNumberFormat="1" applyFont="1" applyFill="1" applyBorder="1" applyAlignment="1">
      <alignment vertical="center"/>
      <protection/>
    </xf>
    <xf numFmtId="165" fontId="74" fillId="60" borderId="34" xfId="264" applyNumberFormat="1" applyFont="1" applyFill="1" applyBorder="1">
      <alignment/>
      <protection/>
    </xf>
    <xf numFmtId="0" fontId="73" fillId="60" borderId="41" xfId="264" applyFont="1" applyFill="1" applyBorder="1" applyAlignment="1">
      <alignment horizontal="center" vertical="center"/>
      <protection/>
    </xf>
    <xf numFmtId="165" fontId="74" fillId="36" borderId="42" xfId="265" applyNumberFormat="1" applyFont="1" applyFill="1" applyBorder="1"/>
    <xf numFmtId="165" fontId="74" fillId="61" borderId="42" xfId="265" applyNumberFormat="1" applyFont="1" applyFill="1" applyBorder="1"/>
    <xf numFmtId="165" fontId="74" fillId="61" borderId="34" xfId="265" applyNumberFormat="1" applyFont="1" applyFill="1" applyBorder="1"/>
    <xf numFmtId="170" fontId="74" fillId="61" borderId="42" xfId="265" applyNumberFormat="1" applyFont="1" applyFill="1" applyBorder="1"/>
    <xf numFmtId="170" fontId="74" fillId="61" borderId="34" xfId="265" applyNumberFormat="1" applyFont="1" applyFill="1" applyBorder="1"/>
    <xf numFmtId="170" fontId="74" fillId="61" borderId="29" xfId="265" applyNumberFormat="1" applyFont="1" applyFill="1" applyBorder="1"/>
    <xf numFmtId="0" fontId="74" fillId="38" borderId="42" xfId="264" applyFont="1" applyFill="1" applyBorder="1" applyAlignment="1">
      <alignment horizontal="centerContinuous"/>
      <protection/>
    </xf>
    <xf numFmtId="9" fontId="75" fillId="36" borderId="34" xfId="266" applyFont="1" applyFill="1" applyBorder="1" applyAlignment="1">
      <alignment horizontal="center" vertical="center"/>
    </xf>
    <xf numFmtId="9" fontId="75" fillId="36" borderId="29" xfId="266" applyFont="1" applyFill="1" applyBorder="1" applyAlignment="1">
      <alignment horizontal="center" vertical="center"/>
    </xf>
    <xf numFmtId="165" fontId="76" fillId="38" borderId="41" xfId="264" applyNumberFormat="1" applyFont="1" applyFill="1" applyBorder="1">
      <alignment/>
      <protection/>
    </xf>
    <xf numFmtId="165" fontId="76" fillId="38" borderId="28" xfId="264" applyNumberFormat="1" applyFont="1" applyFill="1" applyBorder="1">
      <alignment/>
      <protection/>
    </xf>
    <xf numFmtId="0" fontId="73" fillId="38" borderId="28" xfId="264" applyFont="1" applyFill="1" applyBorder="1" applyAlignment="1">
      <alignment horizontal="center" vertical="center"/>
      <protection/>
    </xf>
    <xf numFmtId="165" fontId="74" fillId="36" borderId="28" xfId="265" applyNumberFormat="1" applyFont="1" applyFill="1" applyBorder="1"/>
    <xf numFmtId="0" fontId="73" fillId="60" borderId="64" xfId="264" applyFont="1" applyFill="1" applyBorder="1" applyAlignment="1">
      <alignment horizontal="center" vertical="center"/>
      <protection/>
    </xf>
    <xf numFmtId="9" fontId="75" fillId="61" borderId="60" xfId="266" applyNumberFormat="1" applyFont="1" applyFill="1" applyBorder="1" applyAlignment="1">
      <alignment horizontal="center" vertical="center"/>
    </xf>
    <xf numFmtId="9" fontId="75" fillId="61" borderId="60" xfId="266" applyFont="1" applyFill="1" applyBorder="1" applyAlignment="1">
      <alignment horizontal="center" vertical="center"/>
    </xf>
    <xf numFmtId="9" fontId="75" fillId="61" borderId="50" xfId="266" applyFont="1" applyFill="1" applyBorder="1" applyAlignment="1">
      <alignment horizontal="center" vertical="center"/>
    </xf>
    <xf numFmtId="0" fontId="73" fillId="60" borderId="52" xfId="264" applyFont="1" applyFill="1" applyBorder="1" applyAlignment="1">
      <alignment horizontal="centerContinuous" vertical="center"/>
      <protection/>
    </xf>
    <xf numFmtId="0" fontId="75" fillId="60" borderId="52" xfId="264" applyFont="1" applyFill="1" applyBorder="1" applyAlignment="1">
      <alignment horizontal="centerContinuous" vertical="center"/>
      <protection/>
    </xf>
    <xf numFmtId="0" fontId="73" fillId="38" borderId="33" xfId="264" applyFont="1" applyFill="1" applyBorder="1" applyAlignment="1">
      <alignment horizontal="center" vertical="center"/>
      <protection/>
    </xf>
    <xf numFmtId="0" fontId="75" fillId="38" borderId="41" xfId="264" applyFont="1" applyFill="1" applyBorder="1" applyAlignment="1">
      <alignment vertical="center"/>
      <protection/>
    </xf>
    <xf numFmtId="0" fontId="74" fillId="38" borderId="28" xfId="264" applyFont="1" applyFill="1" applyBorder="1">
      <alignment/>
      <protection/>
    </xf>
    <xf numFmtId="165" fontId="75" fillId="38" borderId="41" xfId="264" applyNumberFormat="1" applyFont="1" applyFill="1" applyBorder="1" applyAlignment="1">
      <alignment vertical="center"/>
      <protection/>
    </xf>
    <xf numFmtId="165" fontId="74" fillId="38" borderId="28" xfId="264" applyNumberFormat="1" applyFont="1" applyFill="1" applyBorder="1">
      <alignment/>
      <protection/>
    </xf>
    <xf numFmtId="165" fontId="75" fillId="38" borderId="42" xfId="264" applyNumberFormat="1" applyFont="1" applyFill="1" applyBorder="1" applyAlignment="1">
      <alignment vertical="center"/>
      <protection/>
    </xf>
    <xf numFmtId="165" fontId="74" fillId="38" borderId="34" xfId="264" applyNumberFormat="1" applyFont="1" applyFill="1" applyBorder="1">
      <alignment/>
      <protection/>
    </xf>
    <xf numFmtId="165" fontId="74" fillId="36" borderId="33" xfId="265" applyNumberFormat="1" applyFont="1" applyFill="1" applyBorder="1"/>
    <xf numFmtId="165" fontId="74" fillId="36" borderId="34" xfId="265" applyNumberFormat="1" applyFont="1" applyFill="1" applyBorder="1"/>
    <xf numFmtId="165" fontId="74" fillId="36" borderId="29" xfId="265" applyNumberFormat="1" applyFont="1" applyFill="1" applyBorder="1"/>
    <xf numFmtId="165" fontId="75" fillId="36" borderId="45" xfId="264" applyNumberFormat="1" applyFont="1" applyFill="1" applyBorder="1" applyAlignment="1">
      <alignment horizontal="center" vertical="center"/>
      <protection/>
    </xf>
    <xf numFmtId="0" fontId="89" fillId="38" borderId="27" xfId="264" applyFont="1" applyFill="1" applyBorder="1" applyAlignment="1">
      <alignment horizontal="centerContinuous" vertical="center"/>
      <protection/>
    </xf>
    <xf numFmtId="0" fontId="89" fillId="38" borderId="61" xfId="264" applyFont="1" applyFill="1" applyBorder="1" applyAlignment="1">
      <alignment horizontal="centerContinuous" vertical="center"/>
      <protection/>
    </xf>
    <xf numFmtId="165" fontId="76" fillId="38" borderId="41" xfId="264" applyNumberFormat="1" applyFont="1" applyFill="1" applyBorder="1">
      <alignment/>
      <protection/>
    </xf>
    <xf numFmtId="0" fontId="73" fillId="38" borderId="33" xfId="264" applyFont="1" applyFill="1" applyBorder="1" applyAlignment="1">
      <alignment horizontal="center" vertical="center"/>
      <protection/>
    </xf>
    <xf numFmtId="0" fontId="75" fillId="38" borderId="41" xfId="264" applyFont="1" applyFill="1" applyBorder="1" applyAlignment="1">
      <alignment vertical="center"/>
      <protection/>
    </xf>
    <xf numFmtId="165" fontId="75" fillId="38" borderId="41" xfId="264" applyNumberFormat="1" applyFont="1" applyFill="1" applyBorder="1" applyAlignment="1">
      <alignment vertical="center"/>
      <protection/>
    </xf>
    <xf numFmtId="165" fontId="75" fillId="38" borderId="42" xfId="264" applyNumberFormat="1" applyFont="1" applyFill="1" applyBorder="1" applyAlignment="1">
      <alignment vertical="center"/>
      <protection/>
    </xf>
    <xf numFmtId="165" fontId="74" fillId="38" borderId="34" xfId="264" applyNumberFormat="1" applyFont="1" applyFill="1" applyBorder="1">
      <alignment/>
      <protection/>
    </xf>
    <xf numFmtId="165" fontId="74" fillId="36" borderId="33" xfId="265" applyNumberFormat="1" applyFont="1" applyFill="1" applyBorder="1"/>
    <xf numFmtId="165" fontId="74" fillId="36" borderId="34" xfId="265" applyNumberFormat="1" applyFont="1" applyFill="1" applyBorder="1"/>
    <xf numFmtId="165" fontId="74" fillId="36" borderId="29" xfId="265" applyNumberFormat="1" applyFont="1" applyFill="1" applyBorder="1"/>
    <xf numFmtId="170" fontId="74" fillId="36" borderId="42" xfId="265" applyNumberFormat="1" applyFont="1" applyFill="1" applyBorder="1"/>
    <xf numFmtId="170" fontId="74" fillId="36" borderId="34" xfId="265" applyNumberFormat="1" applyFont="1" applyFill="1" applyBorder="1"/>
    <xf numFmtId="170" fontId="74" fillId="36" borderId="29" xfId="265" applyNumberFormat="1" applyFont="1" applyFill="1" applyBorder="1"/>
    <xf numFmtId="0" fontId="73" fillId="38" borderId="41" xfId="264" applyFont="1" applyFill="1" applyBorder="1" applyAlignment="1">
      <alignment horizontal="center" vertical="center"/>
      <protection/>
    </xf>
    <xf numFmtId="0" fontId="90" fillId="63" borderId="30" xfId="264" applyFont="1" applyFill="1" applyBorder="1" applyAlignment="1">
      <alignment horizontal="centerContinuous"/>
      <protection/>
    </xf>
    <xf numFmtId="0" fontId="90" fillId="63" borderId="31" xfId="264" applyFont="1" applyFill="1" applyBorder="1" applyAlignment="1">
      <alignment horizontal="centerContinuous"/>
      <protection/>
    </xf>
    <xf numFmtId="0" fontId="90" fillId="63" borderId="32" xfId="264" applyFont="1" applyFill="1" applyBorder="1" applyAlignment="1">
      <alignment horizontal="centerContinuous"/>
      <protection/>
    </xf>
    <xf numFmtId="0" fontId="82" fillId="63" borderId="30" xfId="264" applyFont="1" applyFill="1" applyBorder="1" applyAlignment="1">
      <alignment horizontal="centerContinuous" vertical="center"/>
      <protection/>
    </xf>
    <xf numFmtId="0" fontId="82" fillId="63" borderId="31" xfId="264" applyFont="1" applyFill="1" applyBorder="1" applyAlignment="1">
      <alignment horizontal="centerContinuous" vertical="center"/>
      <protection/>
    </xf>
    <xf numFmtId="0" fontId="82" fillId="63" borderId="32" xfId="264" applyFont="1" applyFill="1" applyBorder="1" applyAlignment="1">
      <alignment horizontal="centerContinuous" vertical="center"/>
      <protection/>
    </xf>
    <xf numFmtId="0" fontId="76" fillId="49" borderId="41" xfId="264" applyFont="1" applyFill="1" applyBorder="1" applyAlignment="1">
      <alignment horizontal="center"/>
      <protection/>
    </xf>
    <xf numFmtId="0" fontId="76" fillId="49" borderId="41" xfId="264" applyFont="1" applyFill="1" applyBorder="1">
      <alignment/>
      <protection/>
    </xf>
    <xf numFmtId="0" fontId="76" fillId="49" borderId="42" xfId="264" applyFont="1" applyFill="1" applyBorder="1">
      <alignment/>
      <protection/>
    </xf>
    <xf numFmtId="0" fontId="76" fillId="49" borderId="28" xfId="264" applyFont="1" applyFill="1" applyBorder="1" applyAlignment="1">
      <alignment horizontal="center"/>
      <protection/>
    </xf>
    <xf numFmtId="0" fontId="76" fillId="49" borderId="33" xfId="264" applyFont="1" applyFill="1" applyBorder="1" applyAlignment="1">
      <alignment horizontal="center"/>
      <protection/>
    </xf>
    <xf numFmtId="0" fontId="36" fillId="50" borderId="65" xfId="264" applyFont="1" applyFill="1" applyBorder="1" applyAlignment="1">
      <alignment horizontal="center" vertical="center"/>
      <protection/>
    </xf>
    <xf numFmtId="0" fontId="36" fillId="50" borderId="66" xfId="264" applyFont="1" applyFill="1" applyBorder="1" applyAlignment="1">
      <alignment horizontal="center" vertical="center"/>
      <protection/>
    </xf>
    <xf numFmtId="0" fontId="36" fillId="50" borderId="50" xfId="264" applyFont="1" applyFill="1" applyBorder="1" applyAlignment="1">
      <alignment horizontal="center" vertical="center"/>
      <protection/>
    </xf>
    <xf numFmtId="0" fontId="76" fillId="50" borderId="41" xfId="264" applyFont="1" applyFill="1" applyBorder="1" applyAlignment="1">
      <alignment horizontal="center" vertical="center"/>
      <protection/>
    </xf>
    <xf numFmtId="165" fontId="29" fillId="36" borderId="28" xfId="265" applyNumberFormat="1" applyFont="1" applyFill="1" applyBorder="1"/>
    <xf numFmtId="165" fontId="29" fillId="36" borderId="33" xfId="265" applyNumberFormat="1" applyFont="1" applyFill="1" applyBorder="1"/>
    <xf numFmtId="9" fontId="86" fillId="36" borderId="28" xfId="266" applyFont="1" applyFill="1" applyBorder="1" applyAlignment="1">
      <alignment vertical="top"/>
    </xf>
    <xf numFmtId="9" fontId="86" fillId="36" borderId="33" xfId="266" applyFont="1" applyFill="1" applyBorder="1" applyAlignment="1">
      <alignment vertical="top"/>
    </xf>
    <xf numFmtId="0" fontId="86" fillId="64" borderId="0" xfId="264" applyFont="1" applyFill="1">
      <alignment/>
      <protection/>
    </xf>
    <xf numFmtId="0" fontId="86" fillId="38" borderId="41" xfId="264" applyFont="1" applyFill="1" applyBorder="1">
      <alignment/>
      <protection/>
    </xf>
    <xf numFmtId="0" fontId="86" fillId="38" borderId="28" xfId="264" applyFont="1" applyFill="1" applyBorder="1">
      <alignment/>
      <protection/>
    </xf>
    <xf numFmtId="0" fontId="86" fillId="38" borderId="33" xfId="264" applyFont="1" applyFill="1" applyBorder="1">
      <alignment/>
      <protection/>
    </xf>
    <xf numFmtId="0" fontId="30" fillId="38" borderId="59" xfId="264" applyFont="1" applyFill="1" applyBorder="1" applyAlignment="1">
      <alignment/>
      <protection/>
    </xf>
    <xf numFmtId="0" fontId="30" fillId="38" borderId="43" xfId="264" applyFont="1" applyFill="1" applyBorder="1" applyAlignment="1">
      <alignment/>
      <protection/>
    </xf>
    <xf numFmtId="0" fontId="86" fillId="64" borderId="0" xfId="264" applyFont="1" applyFill="1" applyBorder="1">
      <alignment/>
      <protection/>
    </xf>
    <xf numFmtId="0" fontId="86" fillId="38" borderId="41" xfId="264" applyFont="1" applyFill="1" applyBorder="1">
      <alignment/>
      <protection/>
    </xf>
    <xf numFmtId="165" fontId="86" fillId="64" borderId="0" xfId="264" applyNumberFormat="1" applyFont="1" applyFill="1">
      <alignment/>
      <protection/>
    </xf>
    <xf numFmtId="0" fontId="86" fillId="64" borderId="0" xfId="264" applyFont="1" applyFill="1" applyBorder="1" applyAlignment="1">
      <alignment vertical="top"/>
      <protection/>
    </xf>
    <xf numFmtId="0" fontId="86" fillId="64" borderId="0" xfId="264" applyFont="1" applyFill="1" applyAlignment="1">
      <alignment vertical="top"/>
      <protection/>
    </xf>
    <xf numFmtId="0" fontId="86" fillId="64" borderId="2" xfId="23" applyFont="1" applyFill="1"/>
    <xf numFmtId="0" fontId="92" fillId="63" borderId="23" xfId="264" applyFont="1" applyFill="1" applyBorder="1">
      <alignment/>
      <protection/>
    </xf>
    <xf numFmtId="0" fontId="91" fillId="63" borderId="56" xfId="264" applyFont="1" applyFill="1" applyBorder="1">
      <alignment/>
      <protection/>
    </xf>
    <xf numFmtId="0" fontId="92" fillId="63" borderId="56" xfId="264" applyFont="1" applyFill="1" applyBorder="1">
      <alignment/>
      <protection/>
    </xf>
    <xf numFmtId="0" fontId="92" fillId="63" borderId="57" xfId="264" applyFont="1" applyFill="1" applyBorder="1">
      <alignment/>
      <protection/>
    </xf>
    <xf numFmtId="0" fontId="86" fillId="36" borderId="33" xfId="264" applyFont="1" applyFill="1" applyBorder="1">
      <alignment/>
      <protection/>
    </xf>
    <xf numFmtId="9" fontId="86" fillId="36" borderId="33" xfId="266" applyFont="1" applyFill="1" applyBorder="1"/>
    <xf numFmtId="9" fontId="86" fillId="36" borderId="29" xfId="266" applyFont="1" applyFill="1" applyBorder="1"/>
    <xf numFmtId="0" fontId="86" fillId="36" borderId="28" xfId="264" applyFont="1" applyFill="1" applyBorder="1">
      <alignment/>
      <protection/>
    </xf>
    <xf numFmtId="9" fontId="86" fillId="36" borderId="28" xfId="266" applyFont="1" applyFill="1" applyBorder="1"/>
    <xf numFmtId="3" fontId="86" fillId="36" borderId="28" xfId="265" applyNumberFormat="1" applyFont="1" applyFill="1" applyBorder="1" applyAlignment="1" applyProtection="1">
      <alignment horizontal="right" vertical="center" wrapText="1"/>
      <protection/>
    </xf>
    <xf numFmtId="3" fontId="86" fillId="36" borderId="28" xfId="264" applyNumberFormat="1" applyFont="1" applyFill="1" applyBorder="1">
      <alignment/>
      <protection/>
    </xf>
    <xf numFmtId="0" fontId="86" fillId="38" borderId="41" xfId="269" applyFont="1" applyFill="1" applyBorder="1" applyAlignment="1" applyProtection="1">
      <alignment horizontal="left"/>
      <protection/>
    </xf>
    <xf numFmtId="3" fontId="86" fillId="36" borderId="33" xfId="264" applyNumberFormat="1" applyFont="1" applyFill="1" applyBorder="1">
      <alignment/>
      <protection/>
    </xf>
    <xf numFmtId="0" fontId="86" fillId="38" borderId="42" xfId="269" applyFont="1" applyFill="1" applyBorder="1" applyAlignment="1" applyProtection="1">
      <alignment horizontal="left"/>
      <protection/>
    </xf>
    <xf numFmtId="3" fontId="86" fillId="36" borderId="34" xfId="265" applyNumberFormat="1" applyFont="1" applyFill="1" applyBorder="1" applyAlignment="1" applyProtection="1">
      <alignment horizontal="right" vertical="center" wrapText="1"/>
      <protection/>
    </xf>
    <xf numFmtId="3" fontId="86" fillId="36" borderId="34" xfId="264" applyNumberFormat="1" applyFont="1" applyFill="1" applyBorder="1">
      <alignment/>
      <protection/>
    </xf>
    <xf numFmtId="3" fontId="86" fillId="36" borderId="29" xfId="264" applyNumberFormat="1" applyFont="1" applyFill="1" applyBorder="1">
      <alignment/>
      <protection/>
    </xf>
    <xf numFmtId="0" fontId="75" fillId="38" borderId="42" xfId="264" applyFont="1" applyFill="1" applyBorder="1" applyAlignment="1">
      <alignment vertical="center"/>
      <protection/>
    </xf>
    <xf numFmtId="0" fontId="74" fillId="38" borderId="34" xfId="264" applyFont="1" applyFill="1" applyBorder="1">
      <alignment/>
      <protection/>
    </xf>
    <xf numFmtId="0" fontId="75" fillId="64" borderId="60" xfId="264" applyFont="1" applyFill="1" applyBorder="1" applyAlignment="1">
      <alignment horizontal="center" vertical="center"/>
      <protection/>
    </xf>
    <xf numFmtId="165" fontId="75" fillId="64" borderId="60" xfId="264" applyNumberFormat="1" applyFont="1" applyFill="1" applyBorder="1" applyAlignment="1">
      <alignment horizontal="center" vertical="center" wrapText="1"/>
      <protection/>
    </xf>
    <xf numFmtId="165" fontId="75" fillId="64" borderId="67" xfId="264" applyNumberFormat="1" applyFont="1" applyFill="1" applyBorder="1" applyAlignment="1">
      <alignment horizontal="center" vertical="center" wrapText="1"/>
      <protection/>
    </xf>
    <xf numFmtId="0" fontId="84" fillId="36" borderId="58" xfId="72" applyFont="1" applyFill="1" applyBorder="1" applyAlignment="1">
      <alignment horizontal="center" vertical="center"/>
      <protection/>
    </xf>
    <xf numFmtId="0" fontId="84" fillId="36" borderId="58" xfId="72" applyFont="1" applyFill="1" applyBorder="1" applyAlignment="1">
      <alignment horizontal="center"/>
      <protection/>
    </xf>
    <xf numFmtId="0" fontId="84" fillId="36" borderId="58" xfId="74" applyFont="1" applyFill="1" applyBorder="1" applyAlignment="1">
      <alignment horizontal="center" vertical="center"/>
    </xf>
    <xf numFmtId="0" fontId="2" fillId="36" borderId="58" xfId="74" applyFont="1" applyFill="1" applyBorder="1" applyAlignment="1">
      <alignment horizontal="center" vertical="center"/>
    </xf>
    <xf numFmtId="0" fontId="0" fillId="54" borderId="56" xfId="0" applyFill="1" applyBorder="1" applyAlignment="1">
      <alignment horizontal="left" indent="1"/>
    </xf>
    <xf numFmtId="0" fontId="0" fillId="54" borderId="56" xfId="0" applyFill="1" applyBorder="1"/>
    <xf numFmtId="0" fontId="6" fillId="54" borderId="56" xfId="0" applyFont="1" applyFill="1" applyBorder="1" applyAlignment="1">
      <alignment horizontal="center"/>
    </xf>
    <xf numFmtId="0" fontId="0" fillId="54" borderId="57" xfId="0" applyFill="1" applyBorder="1"/>
    <xf numFmtId="0" fontId="3" fillId="54" borderId="0" xfId="0" applyFont="1" applyFill="1" applyBorder="1" applyAlignment="1">
      <alignment horizontal="left"/>
    </xf>
    <xf numFmtId="0" fontId="3" fillId="54" borderId="0" xfId="0" applyFont="1" applyFill="1" applyBorder="1" applyAlignment="1">
      <alignment/>
    </xf>
    <xf numFmtId="0" fontId="3" fillId="54" borderId="0" xfId="0" applyFont="1" applyFill="1" applyBorder="1" applyAlignment="1">
      <alignment horizontal="center"/>
    </xf>
    <xf numFmtId="0" fontId="0" fillId="54" borderId="36" xfId="0" applyFill="1" applyBorder="1"/>
    <xf numFmtId="0" fontId="0" fillId="54" borderId="0" xfId="0" applyFill="1" applyBorder="1" applyAlignment="1">
      <alignment horizontal="left" vertical="center" wrapText="1" indent="1"/>
    </xf>
    <xf numFmtId="0" fontId="0" fillId="54" borderId="0" xfId="0" applyFont="1" applyFill="1" applyBorder="1" applyAlignment="1">
      <alignment horizontal="center" vertical="center" wrapText="1"/>
    </xf>
    <xf numFmtId="0" fontId="0" fillId="54" borderId="36" xfId="0" applyFill="1" applyBorder="1" applyAlignment="1">
      <alignment horizontal="center" vertical="center" wrapText="1"/>
    </xf>
    <xf numFmtId="0" fontId="0" fillId="54" borderId="0" xfId="0" applyFill="1" applyBorder="1" applyAlignment="1">
      <alignment horizontal="left" indent="1"/>
    </xf>
    <xf numFmtId="0" fontId="0" fillId="54" borderId="38" xfId="0" applyFill="1" applyBorder="1" applyAlignment="1">
      <alignment horizontal="left" indent="1"/>
    </xf>
    <xf numFmtId="0" fontId="0" fillId="54" borderId="38" xfId="0" applyFill="1" applyBorder="1"/>
    <xf numFmtId="0" fontId="0" fillId="54" borderId="38" xfId="0" applyFill="1" applyBorder="1"/>
    <xf numFmtId="0" fontId="0" fillId="54" borderId="39" xfId="0" applyFill="1" applyBorder="1"/>
    <xf numFmtId="9" fontId="0" fillId="40" borderId="28" xfId="15" applyFont="1" applyFill="1" applyBorder="1"/>
    <xf numFmtId="0" fontId="82" fillId="63" borderId="45" xfId="264" applyFont="1" applyFill="1" applyBorder="1" applyAlignment="1">
      <alignment horizontal="centerContinuous" vertical="center"/>
      <protection/>
    </xf>
    <xf numFmtId="0" fontId="83" fillId="63" borderId="46" xfId="264" applyFont="1" applyFill="1" applyBorder="1" applyAlignment="1">
      <alignment horizontal="centerContinuous" vertical="center"/>
      <protection/>
    </xf>
    <xf numFmtId="0" fontId="83" fillId="63" borderId="40" xfId="264" applyFont="1" applyFill="1" applyBorder="1" applyAlignment="1">
      <alignment horizontal="centerContinuous" vertical="center"/>
      <protection/>
    </xf>
    <xf numFmtId="0" fontId="73" fillId="38" borderId="47" xfId="264" applyFont="1" applyFill="1" applyBorder="1" applyAlignment="1">
      <alignment horizontal="center" vertical="center"/>
      <protection/>
    </xf>
    <xf numFmtId="0" fontId="73" fillId="38" borderId="48" xfId="264" applyFont="1" applyFill="1" applyBorder="1" applyAlignment="1">
      <alignment horizontal="center" vertical="center"/>
      <protection/>
    </xf>
    <xf numFmtId="0" fontId="75" fillId="38" borderId="41" xfId="264" applyFont="1" applyFill="1" applyBorder="1" applyAlignment="1">
      <alignment horizontal="center" vertical="center"/>
      <protection/>
    </xf>
    <xf numFmtId="0" fontId="75" fillId="38" borderId="28" xfId="264" applyFont="1" applyFill="1" applyBorder="1" applyAlignment="1">
      <alignment horizontal="center" vertical="center"/>
      <protection/>
    </xf>
    <xf numFmtId="0" fontId="73" fillId="38" borderId="49" xfId="264" applyFont="1" applyFill="1" applyBorder="1" applyAlignment="1">
      <alignment vertical="center"/>
      <protection/>
    </xf>
    <xf numFmtId="0" fontId="73" fillId="38" borderId="50" xfId="264" applyFont="1" applyFill="1" applyBorder="1" applyAlignment="1">
      <alignment vertical="center"/>
      <protection/>
    </xf>
    <xf numFmtId="0" fontId="73" fillId="38" borderId="51" xfId="264" applyFont="1" applyFill="1" applyBorder="1" applyAlignment="1">
      <alignment horizontal="center" vertical="center"/>
      <protection/>
    </xf>
    <xf numFmtId="0" fontId="73" fillId="38" borderId="50" xfId="264" applyFont="1" applyFill="1" applyBorder="1" applyAlignment="1">
      <alignment horizontal="right" vertical="center"/>
      <protection/>
    </xf>
    <xf numFmtId="0" fontId="75" fillId="38" borderId="27" xfId="264" applyFont="1" applyFill="1" applyBorder="1" applyAlignment="1">
      <alignment horizontal="center" vertical="center"/>
      <protection/>
    </xf>
    <xf numFmtId="0" fontId="75" fillId="38" borderId="52" xfId="264" applyFont="1" applyFill="1" applyBorder="1" applyAlignment="1">
      <alignment horizontal="center" vertical="center"/>
      <protection/>
    </xf>
    <xf numFmtId="0" fontId="75" fillId="38" borderId="53" xfId="264" applyFont="1" applyFill="1" applyBorder="1" applyAlignment="1">
      <alignment horizontal="center" vertical="center"/>
      <protection/>
    </xf>
    <xf numFmtId="0" fontId="75" fillId="38" borderId="54" xfId="264" applyFont="1" applyFill="1" applyBorder="1" applyAlignment="1">
      <alignment horizontal="center" vertical="center"/>
      <protection/>
    </xf>
    <xf numFmtId="0" fontId="73" fillId="38" borderId="52" xfId="264" applyFont="1" applyFill="1" applyBorder="1" applyAlignment="1">
      <alignment horizontal="right" vertical="center"/>
      <protection/>
    </xf>
    <xf numFmtId="0" fontId="73" fillId="38" borderId="42" xfId="264" applyFont="1" applyFill="1" applyBorder="1" applyAlignment="1">
      <alignment vertical="center"/>
      <protection/>
    </xf>
    <xf numFmtId="0" fontId="73" fillId="38" borderId="34" xfId="264" applyFont="1" applyFill="1" applyBorder="1" applyAlignment="1">
      <alignment horizontal="right" vertical="center"/>
      <protection/>
    </xf>
    <xf numFmtId="0" fontId="73" fillId="38" borderId="27" xfId="264" applyFont="1" applyFill="1" applyBorder="1" applyAlignment="1">
      <alignment horizontal="centerContinuous" vertical="center"/>
      <protection/>
    </xf>
    <xf numFmtId="0" fontId="73" fillId="38" borderId="52" xfId="264" applyFont="1" applyFill="1" applyBorder="1" applyAlignment="1">
      <alignment horizontal="centerContinuous" vertical="center"/>
      <protection/>
    </xf>
    <xf numFmtId="0" fontId="75" fillId="38" borderId="42" xfId="264" applyFont="1" applyFill="1" applyBorder="1" applyAlignment="1">
      <alignment horizontal="center" vertical="center"/>
      <protection/>
    </xf>
    <xf numFmtId="0" fontId="75" fillId="38" borderId="34" xfId="264" applyFont="1" applyFill="1" applyBorder="1" applyAlignment="1">
      <alignment horizontal="center" vertical="center"/>
      <protection/>
    </xf>
    <xf numFmtId="0" fontId="73" fillId="38" borderId="52" xfId="264" applyFont="1" applyFill="1" applyBorder="1" applyAlignment="1">
      <alignment horizontal="center" vertical="center"/>
      <protection/>
    </xf>
    <xf numFmtId="0" fontId="73" fillId="38" borderId="26" xfId="264" applyFont="1" applyFill="1" applyBorder="1" applyAlignment="1">
      <alignment horizontal="center" vertical="center"/>
      <protection/>
    </xf>
    <xf numFmtId="0" fontId="75" fillId="38" borderId="26" xfId="264" applyFont="1" applyFill="1" applyBorder="1" applyAlignment="1">
      <alignment horizontal="centerContinuous" vertical="center"/>
      <protection/>
    </xf>
    <xf numFmtId="0" fontId="75" fillId="38" borderId="33" xfId="264" applyFont="1" applyFill="1" applyBorder="1" applyAlignment="1">
      <alignment horizontal="center" vertical="center"/>
      <protection/>
    </xf>
    <xf numFmtId="0" fontId="75" fillId="38" borderId="29" xfId="264" applyFont="1" applyFill="1" applyBorder="1" applyAlignment="1">
      <alignment horizontal="center" vertical="center"/>
      <protection/>
    </xf>
    <xf numFmtId="165" fontId="75" fillId="36" borderId="28" xfId="265" applyNumberFormat="1" applyFont="1" applyFill="1" applyBorder="1" applyAlignment="1">
      <alignment horizontal="right" vertical="center"/>
    </xf>
    <xf numFmtId="165" fontId="75" fillId="36" borderId="33" xfId="265" applyNumberFormat="1" applyFont="1" applyFill="1" applyBorder="1" applyAlignment="1">
      <alignment horizontal="right" vertical="center"/>
    </xf>
    <xf numFmtId="165" fontId="73" fillId="36" borderId="34" xfId="265" applyNumberFormat="1" applyFont="1" applyFill="1" applyBorder="1" applyAlignment="1">
      <alignment horizontal="right" vertical="center"/>
    </xf>
    <xf numFmtId="165" fontId="73" fillId="36" borderId="29" xfId="265" applyNumberFormat="1" applyFont="1" applyFill="1" applyBorder="1" applyAlignment="1">
      <alignment horizontal="right" vertical="center"/>
    </xf>
    <xf numFmtId="165" fontId="75" fillId="36" borderId="52" xfId="265" applyNumberFormat="1" applyFont="1" applyFill="1" applyBorder="1" applyAlignment="1">
      <alignment horizontal="right" vertical="center"/>
    </xf>
    <xf numFmtId="165" fontId="75" fillId="36" borderId="26" xfId="265" applyNumberFormat="1" applyFont="1" applyFill="1" applyBorder="1" applyAlignment="1">
      <alignment horizontal="right" vertical="center"/>
    </xf>
    <xf numFmtId="165" fontId="75" fillId="36" borderId="34" xfId="265" applyNumberFormat="1" applyFont="1" applyFill="1" applyBorder="1" applyAlignment="1">
      <alignment horizontal="right" vertical="center"/>
    </xf>
    <xf numFmtId="165" fontId="75" fillId="36" borderId="29" xfId="265" applyNumberFormat="1" applyFont="1" applyFill="1" applyBorder="1" applyAlignment="1">
      <alignment horizontal="right" vertical="center"/>
    </xf>
    <xf numFmtId="165" fontId="73" fillId="36" borderId="52" xfId="265" applyNumberFormat="1" applyFont="1" applyFill="1" applyBorder="1" applyAlignment="1">
      <alignment horizontal="right" vertical="center"/>
    </xf>
    <xf numFmtId="165" fontId="73" fillId="36" borderId="26" xfId="265" applyNumberFormat="1" applyFont="1" applyFill="1" applyBorder="1" applyAlignment="1">
      <alignment horizontal="right" vertical="center"/>
    </xf>
    <xf numFmtId="165" fontId="75" fillId="36" borderId="28" xfId="265" applyNumberFormat="1" applyFont="1" applyFill="1" applyBorder="1" applyAlignment="1">
      <alignment horizontal="center" vertical="center"/>
    </xf>
    <xf numFmtId="165" fontId="75" fillId="36" borderId="33" xfId="265" applyNumberFormat="1" applyFont="1" applyFill="1" applyBorder="1" applyAlignment="1">
      <alignment horizontal="center" vertical="center"/>
    </xf>
    <xf numFmtId="165" fontId="73" fillId="36" borderId="34" xfId="265" applyNumberFormat="1" applyFont="1" applyFill="1" applyBorder="1" applyAlignment="1">
      <alignment horizontal="center" vertical="center"/>
    </xf>
    <xf numFmtId="165" fontId="73" fillId="36" borderId="29" xfId="265" applyNumberFormat="1" applyFont="1" applyFill="1" applyBorder="1" applyAlignment="1">
      <alignment horizontal="center" vertical="center"/>
    </xf>
    <xf numFmtId="165" fontId="75" fillId="36" borderId="54" xfId="265" applyNumberFormat="1" applyFont="1" applyFill="1" applyBorder="1" applyAlignment="1">
      <alignment horizontal="right" vertical="center"/>
    </xf>
    <xf numFmtId="165" fontId="75" fillId="36" borderId="68" xfId="265" applyNumberFormat="1" applyFont="1" applyFill="1" applyBorder="1" applyAlignment="1">
      <alignment horizontal="right" vertical="center"/>
    </xf>
    <xf numFmtId="9" fontId="75" fillId="36" borderId="28" xfId="266" applyFont="1" applyFill="1" applyBorder="1" applyAlignment="1">
      <alignment horizontal="center" vertical="center"/>
    </xf>
    <xf numFmtId="9" fontId="75" fillId="36" borderId="33" xfId="266" applyFont="1" applyFill="1" applyBorder="1" applyAlignment="1">
      <alignment horizontal="center" vertical="center"/>
    </xf>
    <xf numFmtId="9" fontId="75" fillId="36" borderId="34" xfId="266" applyFont="1" applyFill="1" applyBorder="1" applyAlignment="1">
      <alignment horizontal="center" vertical="center"/>
    </xf>
    <xf numFmtId="9" fontId="75" fillId="36" borderId="29" xfId="266" applyFont="1" applyFill="1" applyBorder="1" applyAlignment="1">
      <alignment horizontal="center" vertical="center"/>
    </xf>
    <xf numFmtId="0" fontId="87" fillId="38" borderId="58" xfId="264" applyFont="1" applyFill="1" applyBorder="1" applyAlignment="1">
      <alignment horizontal="center" vertical="center"/>
      <protection/>
    </xf>
    <xf numFmtId="0" fontId="1" fillId="38" borderId="23" xfId="72" applyFont="1" applyFill="1" applyBorder="1">
      <alignment/>
      <protection/>
    </xf>
    <xf numFmtId="0" fontId="1" fillId="38" borderId="56" xfId="72" applyFont="1" applyFill="1" applyBorder="1" applyAlignment="1">
      <alignment horizontal="center"/>
      <protection/>
    </xf>
    <xf numFmtId="0" fontId="1" fillId="38" borderId="56" xfId="72" applyFont="1" applyFill="1" applyBorder="1">
      <alignment/>
      <protection/>
    </xf>
    <xf numFmtId="0" fontId="1" fillId="38" borderId="57" xfId="72" applyFont="1" applyFill="1" applyBorder="1">
      <alignment/>
      <protection/>
    </xf>
    <xf numFmtId="0" fontId="1" fillId="38" borderId="24" xfId="72" applyFont="1" applyFill="1" applyBorder="1">
      <alignment/>
      <protection/>
    </xf>
    <xf numFmtId="0" fontId="46" fillId="38" borderId="0" xfId="72" applyFont="1" applyFill="1" applyBorder="1" applyAlignment="1">
      <alignment horizontal="center"/>
      <protection/>
    </xf>
    <xf numFmtId="0" fontId="1" fillId="38" borderId="36" xfId="72" applyFont="1" applyFill="1" applyBorder="1">
      <alignment/>
      <protection/>
    </xf>
    <xf numFmtId="0" fontId="1" fillId="38" borderId="0" xfId="72" applyFont="1" applyFill="1" applyBorder="1" applyAlignment="1">
      <alignment horizontal="center"/>
      <protection/>
    </xf>
    <xf numFmtId="0" fontId="44" fillId="38" borderId="0" xfId="72" applyFont="1" applyFill="1" applyBorder="1" applyAlignment="1">
      <alignment horizontal="center"/>
      <protection/>
    </xf>
    <xf numFmtId="0" fontId="4" fillId="38" borderId="0" xfId="72" applyFont="1" applyFill="1" applyBorder="1" applyAlignment="1">
      <alignment horizontal="center" vertical="center"/>
      <protection/>
    </xf>
    <xf numFmtId="0" fontId="1" fillId="38" borderId="25" xfId="72" applyFont="1" applyFill="1" applyBorder="1">
      <alignment/>
      <protection/>
    </xf>
    <xf numFmtId="0" fontId="1" fillId="38" borderId="38" xfId="72" applyFont="1" applyFill="1" applyBorder="1" applyAlignment="1">
      <alignment horizontal="center"/>
      <protection/>
    </xf>
    <xf numFmtId="0" fontId="1" fillId="38" borderId="38" xfId="72" applyFont="1" applyFill="1" applyBorder="1">
      <alignment/>
      <protection/>
    </xf>
    <xf numFmtId="0" fontId="1" fillId="38" borderId="39" xfId="72" applyFont="1" applyFill="1" applyBorder="1">
      <alignment/>
      <protection/>
    </xf>
    <xf numFmtId="0" fontId="34" fillId="36" borderId="69" xfId="72" applyFont="1" applyFill="1" applyBorder="1" applyAlignment="1">
      <alignment horizontal="left" vertical="center" indent="1"/>
      <protection/>
    </xf>
    <xf numFmtId="0" fontId="34" fillId="36" borderId="35" xfId="72" applyFont="1" applyFill="1" applyBorder="1" applyAlignment="1">
      <alignment horizontal="left" vertical="center" indent="1"/>
      <protection/>
    </xf>
    <xf numFmtId="0" fontId="34" fillId="36" borderId="66" xfId="72" applyFont="1" applyFill="1" applyBorder="1" applyAlignment="1">
      <alignment vertical="center" wrapText="1"/>
      <protection/>
    </xf>
    <xf numFmtId="0" fontId="34" fillId="36" borderId="70" xfId="72" applyFont="1" applyFill="1" applyBorder="1" applyAlignment="1">
      <alignment horizontal="left" vertical="center" indent="1"/>
      <protection/>
    </xf>
    <xf numFmtId="0" fontId="34" fillId="36" borderId="71" xfId="72" applyFont="1" applyFill="1" applyBorder="1" applyAlignment="1">
      <alignment vertical="center" wrapText="1"/>
      <protection/>
    </xf>
    <xf numFmtId="0" fontId="34" fillId="36" borderId="67" xfId="72" applyFont="1" applyFill="1" applyBorder="1" applyAlignment="1">
      <alignment vertical="center"/>
      <protection/>
    </xf>
    <xf numFmtId="0" fontId="1" fillId="0" borderId="0" xfId="264" applyAlignment="1">
      <alignment wrapText="1"/>
      <protection/>
    </xf>
    <xf numFmtId="0" fontId="75" fillId="64" borderId="67" xfId="264" applyFont="1" applyFill="1" applyBorder="1" applyAlignment="1">
      <alignment horizontal="center" vertical="center"/>
      <protection/>
    </xf>
    <xf numFmtId="165" fontId="75" fillId="64" borderId="50" xfId="264" applyNumberFormat="1" applyFont="1" applyFill="1" applyBorder="1" applyAlignment="1">
      <alignment horizontal="center" vertical="center" wrapText="1"/>
      <protection/>
    </xf>
    <xf numFmtId="0" fontId="75" fillId="64" borderId="60" xfId="264" applyFont="1" applyFill="1" applyBorder="1" applyAlignment="1">
      <alignment horizontal="center" vertical="center" wrapText="1"/>
      <protection/>
    </xf>
    <xf numFmtId="0" fontId="1" fillId="0" borderId="0" xfId="264" applyFont="1" applyAlignment="1">
      <alignment horizontal="centerContinuous" vertical="center"/>
      <protection/>
    </xf>
    <xf numFmtId="0" fontId="1" fillId="0" borderId="0" xfId="264" applyFont="1">
      <alignment/>
      <protection/>
    </xf>
    <xf numFmtId="0" fontId="83" fillId="59" borderId="27" xfId="264" applyFont="1" applyFill="1" applyBorder="1" applyAlignment="1">
      <alignment horizontal="centerContinuous" vertical="center"/>
      <protection/>
    </xf>
    <xf numFmtId="0" fontId="76" fillId="50" borderId="59" xfId="264" applyFont="1" applyFill="1" applyBorder="1">
      <alignment/>
      <protection/>
    </xf>
    <xf numFmtId="0" fontId="78" fillId="50" borderId="43" xfId="264" applyFont="1" applyFill="1" applyBorder="1">
      <alignment/>
      <protection/>
    </xf>
    <xf numFmtId="0" fontId="76" fillId="50" borderId="43" xfId="264" applyFont="1" applyFill="1" applyBorder="1">
      <alignment/>
      <protection/>
    </xf>
    <xf numFmtId="0" fontId="76" fillId="50" borderId="44" xfId="264" applyFont="1" applyFill="1" applyBorder="1">
      <alignment/>
      <protection/>
    </xf>
    <xf numFmtId="0" fontId="76" fillId="50" borderId="49" xfId="264" applyFont="1" applyFill="1" applyBorder="1" applyAlignment="1">
      <alignment horizontal="center" vertical="center"/>
      <protection/>
    </xf>
    <xf numFmtId="165" fontId="74" fillId="48" borderId="0" xfId="265" applyNumberFormat="1" applyFont="1" applyFill="1" applyBorder="1" applyAlignment="1">
      <alignment horizontal="center"/>
    </xf>
    <xf numFmtId="165" fontId="74" fillId="48" borderId="36" xfId="265" applyNumberFormat="1" applyFont="1" applyFill="1" applyBorder="1" applyAlignment="1">
      <alignment horizontal="center"/>
    </xf>
    <xf numFmtId="165" fontId="74" fillId="48" borderId="72" xfId="265" applyNumberFormat="1" applyFont="1" applyFill="1" applyBorder="1" applyAlignment="1">
      <alignment horizontal="center"/>
    </xf>
    <xf numFmtId="165" fontId="74" fillId="48" borderId="73" xfId="265" applyNumberFormat="1" applyFont="1" applyFill="1" applyBorder="1" applyAlignment="1">
      <alignment horizontal="center"/>
    </xf>
    <xf numFmtId="0" fontId="74" fillId="64" borderId="0" xfId="264" applyFont="1" applyFill="1" applyBorder="1" applyAlignment="1">
      <alignment horizontal="center"/>
      <protection/>
    </xf>
    <xf numFmtId="0" fontId="45" fillId="50" borderId="41" xfId="264" applyFont="1" applyFill="1" applyBorder="1">
      <alignment/>
      <protection/>
    </xf>
    <xf numFmtId="16" fontId="45" fillId="50" borderId="41" xfId="264" applyNumberFormat="1" applyFont="1" applyFill="1" applyBorder="1">
      <alignment/>
      <protection/>
    </xf>
    <xf numFmtId="0" fontId="45" fillId="50" borderId="42" xfId="264" applyFont="1" applyFill="1" applyBorder="1">
      <alignment/>
      <protection/>
    </xf>
    <xf numFmtId="0" fontId="84" fillId="50" borderId="41" xfId="264" applyFont="1" applyFill="1" applyBorder="1">
      <alignment/>
      <protection/>
    </xf>
    <xf numFmtId="0" fontId="84" fillId="50" borderId="27" xfId="264" applyFont="1" applyFill="1" applyBorder="1">
      <alignment/>
      <protection/>
    </xf>
    <xf numFmtId="165" fontId="84" fillId="50" borderId="42" xfId="18" applyNumberFormat="1" applyFont="1" applyFill="1" applyBorder="1"/>
    <xf numFmtId="0" fontId="84" fillId="50" borderId="28" xfId="264" applyFont="1" applyFill="1" applyBorder="1">
      <alignment/>
      <protection/>
    </xf>
    <xf numFmtId="0" fontId="84" fillId="50" borderId="28" xfId="264" applyFont="1" applyFill="1" applyBorder="1" applyAlignment="1">
      <alignment horizontal="center"/>
      <protection/>
    </xf>
    <xf numFmtId="0" fontId="84" fillId="50" borderId="33" xfId="264" applyFont="1" applyFill="1" applyBorder="1" applyAlignment="1">
      <alignment horizontal="center"/>
      <protection/>
    </xf>
    <xf numFmtId="0" fontId="84" fillId="50" borderId="33" xfId="264" applyFont="1" applyFill="1" applyBorder="1" applyAlignment="1">
      <alignment horizontal="center"/>
      <protection/>
    </xf>
    <xf numFmtId="0" fontId="84" fillId="50" borderId="41" xfId="264" applyFont="1" applyFill="1" applyBorder="1">
      <alignment/>
      <protection/>
    </xf>
    <xf numFmtId="165" fontId="0" fillId="65" borderId="28" xfId="18" applyNumberFormat="1" applyFont="1" applyFill="1" applyBorder="1" applyAlignment="1">
      <alignment vertical="top"/>
    </xf>
    <xf numFmtId="165" fontId="0" fillId="65" borderId="33" xfId="18" applyNumberFormat="1" applyFont="1" applyFill="1" applyBorder="1" applyAlignment="1">
      <alignment vertical="top"/>
    </xf>
    <xf numFmtId="165" fontId="2" fillId="65" borderId="34" xfId="18" applyNumberFormat="1" applyFont="1" applyFill="1" applyBorder="1" applyAlignment="1">
      <alignment vertical="top"/>
    </xf>
    <xf numFmtId="165" fontId="2" fillId="65" borderId="29" xfId="18" applyNumberFormat="1" applyFont="1" applyFill="1" applyBorder="1" applyAlignment="1">
      <alignment vertical="top"/>
    </xf>
    <xf numFmtId="9" fontId="0" fillId="65" borderId="28" xfId="266" applyFont="1" applyFill="1" applyBorder="1" applyAlignment="1">
      <alignment vertical="top"/>
    </xf>
    <xf numFmtId="9" fontId="0" fillId="65" borderId="33" xfId="266" applyFont="1" applyFill="1" applyBorder="1" applyAlignment="1">
      <alignment vertical="top"/>
    </xf>
    <xf numFmtId="9" fontId="0" fillId="65" borderId="34" xfId="266" applyFont="1" applyFill="1" applyBorder="1" applyAlignment="1">
      <alignment vertical="top"/>
    </xf>
    <xf numFmtId="9" fontId="0" fillId="65" borderId="29" xfId="266" applyFont="1" applyFill="1" applyBorder="1" applyAlignment="1">
      <alignment vertical="top"/>
    </xf>
    <xf numFmtId="9" fontId="0" fillId="65" borderId="33" xfId="266" applyFont="1" applyFill="1" applyBorder="1" applyAlignment="1">
      <alignment vertical="top"/>
    </xf>
    <xf numFmtId="9" fontId="0" fillId="65" borderId="34" xfId="266" applyFont="1" applyFill="1" applyBorder="1" applyAlignment="1">
      <alignment vertical="top"/>
    </xf>
    <xf numFmtId="9" fontId="0" fillId="65" borderId="29" xfId="266" applyFont="1" applyFill="1" applyBorder="1" applyAlignment="1">
      <alignment vertical="top"/>
    </xf>
    <xf numFmtId="165" fontId="0" fillId="65" borderId="34" xfId="18" applyNumberFormat="1" applyFont="1" applyFill="1" applyBorder="1" applyAlignment="1">
      <alignment vertical="top"/>
    </xf>
    <xf numFmtId="165" fontId="0" fillId="65" borderId="29" xfId="18" applyNumberFormat="1" applyFont="1" applyFill="1" applyBorder="1" applyAlignment="1">
      <alignment vertical="top"/>
    </xf>
    <xf numFmtId="165" fontId="0" fillId="65" borderId="28" xfId="265" applyNumberFormat="1" applyFont="1" applyFill="1" applyBorder="1" applyAlignment="1">
      <alignment vertical="top"/>
    </xf>
    <xf numFmtId="165" fontId="0" fillId="65" borderId="33" xfId="265" applyNumberFormat="1" applyFont="1" applyFill="1" applyBorder="1" applyAlignment="1">
      <alignment vertical="top"/>
    </xf>
    <xf numFmtId="165" fontId="84" fillId="65" borderId="34" xfId="265" applyNumberFormat="1" applyFont="1" applyFill="1" applyBorder="1" applyAlignment="1">
      <alignment vertical="top"/>
    </xf>
    <xf numFmtId="165" fontId="84" fillId="65" borderId="29" xfId="265" applyNumberFormat="1" applyFont="1" applyFill="1" applyBorder="1" applyAlignment="1">
      <alignment vertical="top"/>
    </xf>
    <xf numFmtId="9" fontId="84" fillId="65" borderId="34" xfId="266" applyFont="1" applyFill="1" applyBorder="1" applyAlignment="1">
      <alignment vertical="top"/>
    </xf>
    <xf numFmtId="9" fontId="84" fillId="65" borderId="29" xfId="266" applyFont="1" applyFill="1" applyBorder="1" applyAlignment="1">
      <alignment vertical="top"/>
    </xf>
    <xf numFmtId="0" fontId="30" fillId="38" borderId="42" xfId="264" applyFont="1" applyFill="1" applyBorder="1">
      <alignment/>
      <protection/>
    </xf>
    <xf numFmtId="165" fontId="93" fillId="36" borderId="34" xfId="265" applyNumberFormat="1" applyFont="1" applyFill="1" applyBorder="1"/>
    <xf numFmtId="165" fontId="93" fillId="36" borderId="29" xfId="265" applyNumberFormat="1" applyFont="1" applyFill="1" applyBorder="1"/>
    <xf numFmtId="0" fontId="30" fillId="38" borderId="42" xfId="264" applyFont="1" applyFill="1" applyBorder="1">
      <alignment/>
      <protection/>
    </xf>
    <xf numFmtId="9" fontId="30" fillId="36" borderId="34" xfId="266" applyFont="1" applyFill="1" applyBorder="1" applyAlignment="1">
      <alignment vertical="top"/>
    </xf>
    <xf numFmtId="9" fontId="30" fillId="36" borderId="29" xfId="266" applyFont="1" applyFill="1" applyBorder="1" applyAlignment="1">
      <alignment vertical="top"/>
    </xf>
    <xf numFmtId="0" fontId="86" fillId="38" borderId="28" xfId="264" applyFont="1" applyFill="1" applyBorder="1" applyAlignment="1">
      <alignment horizontal="center"/>
      <protection/>
    </xf>
    <xf numFmtId="0" fontId="86" fillId="38" borderId="33" xfId="264" applyFont="1" applyFill="1" applyBorder="1" applyAlignment="1">
      <alignment horizontal="center"/>
      <protection/>
    </xf>
    <xf numFmtId="0" fontId="86" fillId="38" borderId="74" xfId="264" applyFont="1" applyFill="1" applyBorder="1">
      <alignment/>
      <protection/>
    </xf>
    <xf numFmtId="16" fontId="86" fillId="38" borderId="74" xfId="264" applyNumberFormat="1" applyFont="1" applyFill="1" applyBorder="1">
      <alignment/>
      <protection/>
    </xf>
    <xf numFmtId="0" fontId="86" fillId="38" borderId="25" xfId="264" applyFont="1" applyFill="1" applyBorder="1">
      <alignment/>
      <protection/>
    </xf>
    <xf numFmtId="165" fontId="86" fillId="36" borderId="28" xfId="265" applyNumberFormat="1" applyFont="1" applyFill="1" applyBorder="1" applyAlignment="1">
      <alignment vertical="top"/>
    </xf>
    <xf numFmtId="0" fontId="86" fillId="37" borderId="27" xfId="264" applyFont="1" applyFill="1" applyBorder="1" applyAlignment="1">
      <alignment horizontal="center" vertical="top" wrapText="1"/>
      <protection/>
    </xf>
    <xf numFmtId="16" fontId="86" fillId="37" borderId="52" xfId="264" applyNumberFormat="1" applyFont="1" applyFill="1" applyBorder="1" applyAlignment="1">
      <alignment horizontal="center" vertical="top" wrapText="1"/>
      <protection/>
    </xf>
    <xf numFmtId="0" fontId="86" fillId="37" borderId="52" xfId="264" applyFont="1" applyFill="1" applyBorder="1" applyAlignment="1">
      <alignment horizontal="center" vertical="top" wrapText="1"/>
      <protection/>
    </xf>
    <xf numFmtId="0" fontId="86" fillId="37" borderId="26" xfId="264" applyFont="1" applyFill="1" applyBorder="1" applyAlignment="1">
      <alignment horizontal="center" vertical="top" wrapText="1"/>
      <protection/>
    </xf>
    <xf numFmtId="165" fontId="86" fillId="36" borderId="41" xfId="265" applyNumberFormat="1" applyFont="1" applyFill="1" applyBorder="1" applyAlignment="1">
      <alignment vertical="top"/>
    </xf>
    <xf numFmtId="165" fontId="86" fillId="36" borderId="33" xfId="265" applyNumberFormat="1" applyFont="1" applyFill="1" applyBorder="1" applyAlignment="1">
      <alignment vertical="top"/>
    </xf>
    <xf numFmtId="165" fontId="86" fillId="36" borderId="42" xfId="265" applyNumberFormat="1" applyFont="1" applyFill="1" applyBorder="1" applyAlignment="1">
      <alignment vertical="top"/>
    </xf>
    <xf numFmtId="165" fontId="86" fillId="36" borderId="34" xfId="265" applyNumberFormat="1" applyFont="1" applyFill="1" applyBorder="1" applyAlignment="1">
      <alignment vertical="top"/>
    </xf>
    <xf numFmtId="165" fontId="86" fillId="36" borderId="29" xfId="265" applyNumberFormat="1" applyFont="1" applyFill="1" applyBorder="1" applyAlignment="1">
      <alignment vertical="top"/>
    </xf>
    <xf numFmtId="0" fontId="86" fillId="38" borderId="75" xfId="264" applyFont="1" applyFill="1" applyBorder="1">
      <alignment/>
      <protection/>
    </xf>
    <xf numFmtId="0" fontId="86" fillId="38" borderId="58" xfId="264" applyFont="1" applyFill="1" applyBorder="1">
      <alignment/>
      <protection/>
    </xf>
    <xf numFmtId="0" fontId="30" fillId="38" borderId="44" xfId="264" applyFont="1" applyFill="1" applyBorder="1" applyAlignment="1">
      <alignment/>
      <protection/>
    </xf>
    <xf numFmtId="0" fontId="86" fillId="38" borderId="49" xfId="264" applyFont="1" applyFill="1" applyBorder="1">
      <alignment/>
      <protection/>
    </xf>
    <xf numFmtId="165" fontId="75" fillId="36" borderId="42" xfId="18" applyNumberFormat="1" applyFont="1" applyFill="1" applyBorder="1" applyAlignment="1">
      <alignment vertical="center"/>
    </xf>
    <xf numFmtId="165" fontId="74" fillId="36" borderId="34" xfId="18" applyNumberFormat="1" applyFont="1" applyFill="1" applyBorder="1"/>
    <xf numFmtId="165" fontId="74" fillId="36" borderId="29" xfId="18" applyNumberFormat="1" applyFont="1" applyFill="1" applyBorder="1"/>
    <xf numFmtId="0" fontId="35" fillId="62" borderId="0" xfId="0" applyFont="1" applyFill="1" applyBorder="1" applyAlignment="1">
      <alignment horizontal="left" vertical="top"/>
    </xf>
    <xf numFmtId="0" fontId="35" fillId="62" borderId="0" xfId="0" applyFont="1" applyFill="1" applyBorder="1" applyAlignment="1">
      <alignment horizontal="left" vertical="top" wrapText="1"/>
    </xf>
    <xf numFmtId="43" fontId="35" fillId="62" borderId="0" xfId="23" applyNumberFormat="1" applyFont="1" applyFill="1" applyBorder="1" applyAlignment="1">
      <alignment horizontal="left" vertical="center" wrapText="1" indent="1"/>
    </xf>
    <xf numFmtId="0" fontId="94" fillId="47" borderId="45" xfId="264" applyFont="1" applyFill="1" applyBorder="1" applyAlignment="1">
      <alignment horizontal="center"/>
      <protection/>
    </xf>
    <xf numFmtId="0" fontId="94" fillId="47" borderId="46" xfId="264" applyFont="1" applyFill="1" applyBorder="1" applyAlignment="1">
      <alignment horizontal="center" vertical="center"/>
      <protection/>
    </xf>
    <xf numFmtId="0" fontId="94" fillId="47" borderId="46" xfId="264" applyFont="1" applyFill="1" applyBorder="1" applyAlignment="1">
      <alignment horizontal="center"/>
      <protection/>
    </xf>
    <xf numFmtId="0" fontId="94" fillId="47" borderId="46" xfId="264" applyFont="1" applyFill="1" applyBorder="1" applyAlignment="1">
      <alignment horizontal="center" wrapText="1"/>
      <protection/>
    </xf>
    <xf numFmtId="0" fontId="94" fillId="47" borderId="40" xfId="264" applyFont="1" applyFill="1" applyBorder="1" applyAlignment="1">
      <alignment horizontal="center" vertical="center"/>
      <protection/>
    </xf>
    <xf numFmtId="0" fontId="90" fillId="47" borderId="76" xfId="264" applyFont="1" applyFill="1" applyBorder="1" applyAlignment="1">
      <alignment horizontal="center"/>
      <protection/>
    </xf>
    <xf numFmtId="0" fontId="75" fillId="66" borderId="61" xfId="264" applyFont="1" applyFill="1" applyBorder="1" applyAlignment="1">
      <alignment horizontal="center" vertical="center"/>
      <protection/>
    </xf>
    <xf numFmtId="0" fontId="74" fillId="0" borderId="41" xfId="264" applyFont="1" applyBorder="1" applyAlignment="1">
      <alignment wrapText="1"/>
      <protection/>
    </xf>
    <xf numFmtId="0" fontId="74" fillId="0" borderId="42" xfId="264" applyFont="1" applyBorder="1" applyAlignment="1">
      <alignment wrapText="1"/>
      <protection/>
    </xf>
    <xf numFmtId="0" fontId="79" fillId="64" borderId="64" xfId="264" applyFont="1" applyFill="1" applyBorder="1" applyAlignment="1">
      <alignment horizontal="center" vertical="center"/>
      <protection/>
    </xf>
    <xf numFmtId="0" fontId="79" fillId="64" borderId="64" xfId="264" applyFont="1" applyFill="1" applyBorder="1" applyAlignment="1">
      <alignment horizontal="center" vertical="center" wrapText="1"/>
      <protection/>
    </xf>
    <xf numFmtId="0" fontId="79" fillId="64" borderId="71" xfId="264" applyFont="1" applyFill="1" applyBorder="1" applyAlignment="1">
      <alignment horizontal="center" vertical="center"/>
      <protection/>
    </xf>
    <xf numFmtId="0" fontId="75" fillId="50" borderId="58" xfId="264" applyFont="1" applyFill="1" applyBorder="1" applyAlignment="1">
      <alignment horizontal="center" vertical="center" wrapText="1"/>
      <protection/>
    </xf>
    <xf numFmtId="0" fontId="74" fillId="0" borderId="77" xfId="264" applyFont="1" applyBorder="1" applyAlignment="1">
      <alignment horizontal="center" vertical="center" wrapText="1"/>
      <protection/>
    </xf>
    <xf numFmtId="0" fontId="74" fillId="0" borderId="28" xfId="264" applyFont="1" applyBorder="1" applyAlignment="1">
      <alignment vertical="center" wrapText="1"/>
      <protection/>
    </xf>
    <xf numFmtId="0" fontId="74" fillId="0" borderId="33" xfId="264" applyFont="1" applyBorder="1" applyAlignment="1">
      <alignment vertical="center" wrapText="1"/>
      <protection/>
    </xf>
    <xf numFmtId="0" fontId="74" fillId="0" borderId="54" xfId="264" applyFont="1" applyBorder="1" applyAlignment="1">
      <alignment vertical="center" wrapText="1"/>
      <protection/>
    </xf>
    <xf numFmtId="0" fontId="74" fillId="0" borderId="68" xfId="264" applyFont="1" applyBorder="1" applyAlignment="1">
      <alignment vertical="center" wrapText="1"/>
      <protection/>
    </xf>
    <xf numFmtId="0" fontId="74" fillId="0" borderId="33" xfId="264" applyFont="1" applyBorder="1" applyAlignment="1">
      <alignment vertical="center" wrapText="1"/>
      <protection/>
    </xf>
    <xf numFmtId="0" fontId="74" fillId="0" borderId="34" xfId="264" applyFont="1" applyBorder="1" applyAlignment="1">
      <alignment vertical="center" wrapText="1"/>
      <protection/>
    </xf>
    <xf numFmtId="0" fontId="74" fillId="0" borderId="29" xfId="264" applyFont="1" applyBorder="1" applyAlignment="1">
      <alignment vertical="center" wrapText="1"/>
      <protection/>
    </xf>
    <xf numFmtId="0" fontId="1" fillId="0" borderId="28" xfId="264" applyBorder="1" applyAlignment="1">
      <alignment vertical="center" wrapText="1"/>
      <protection/>
    </xf>
    <xf numFmtId="0" fontId="74" fillId="0" borderId="54" xfId="264" applyFont="1" applyBorder="1" applyAlignment="1">
      <alignment vertical="center"/>
      <protection/>
    </xf>
    <xf numFmtId="0" fontId="74" fillId="0" borderId="46" xfId="264" applyFont="1" applyBorder="1" applyAlignment="1">
      <alignment vertical="center" wrapText="1"/>
      <protection/>
    </xf>
    <xf numFmtId="0" fontId="74" fillId="0" borderId="40" xfId="264" applyFont="1" applyBorder="1" applyAlignment="1">
      <alignment vertical="center" wrapText="1"/>
      <protection/>
    </xf>
    <xf numFmtId="0" fontId="95" fillId="0" borderId="0" xfId="0" applyFont="1" applyAlignment="1">
      <alignment/>
    </xf>
    <xf numFmtId="0" fontId="74" fillId="67" borderId="58" xfId="264" applyFont="1" applyFill="1" applyBorder="1" applyAlignment="1">
      <alignment horizontal="center" vertical="center"/>
      <protection/>
    </xf>
    <xf numFmtId="0" fontId="75" fillId="50" borderId="78" xfId="264" applyFont="1" applyFill="1" applyBorder="1" applyAlignment="1">
      <alignment horizontal="center" vertical="center" wrapText="1"/>
      <protection/>
    </xf>
    <xf numFmtId="0" fontId="74" fillId="0" borderId="66" xfId="264" applyFont="1" applyBorder="1" applyAlignment="1">
      <alignment horizontal="center" vertical="center" wrapText="1"/>
      <protection/>
    </xf>
    <xf numFmtId="0" fontId="74" fillId="0" borderId="79" xfId="264" applyFont="1" applyBorder="1" applyAlignment="1">
      <alignment vertical="center" wrapText="1"/>
      <protection/>
    </xf>
    <xf numFmtId="0" fontId="74" fillId="0" borderId="80" xfId="264" applyFont="1" applyBorder="1" applyAlignment="1">
      <alignment vertical="center" wrapText="1"/>
      <protection/>
    </xf>
    <xf numFmtId="165" fontId="74" fillId="36" borderId="48" xfId="265" applyNumberFormat="1" applyFont="1" applyFill="1" applyBorder="1"/>
    <xf numFmtId="165" fontId="74" fillId="36" borderId="51" xfId="265" applyNumberFormat="1" applyFont="1" applyFill="1" applyBorder="1"/>
    <xf numFmtId="165" fontId="76" fillId="38" borderId="42" xfId="264" applyNumberFormat="1" applyFont="1" applyFill="1" applyBorder="1">
      <alignment/>
      <protection/>
    </xf>
    <xf numFmtId="165" fontId="74" fillId="36" borderId="71" xfId="265" applyNumberFormat="1" applyFont="1" applyFill="1" applyBorder="1"/>
    <xf numFmtId="165" fontId="74" fillId="36" borderId="60" xfId="265" applyNumberFormat="1" applyFont="1" applyFill="1" applyBorder="1"/>
    <xf numFmtId="165" fontId="74" fillId="36" borderId="50" xfId="265" applyNumberFormat="1" applyFont="1" applyFill="1" applyBorder="1"/>
    <xf numFmtId="0" fontId="75" fillId="38" borderId="61" xfId="264" applyFont="1" applyFill="1" applyBorder="1" applyAlignment="1">
      <alignment vertical="center"/>
      <protection/>
    </xf>
    <xf numFmtId="0" fontId="75" fillId="38" borderId="62" xfId="264" applyFont="1" applyFill="1" applyBorder="1" applyAlignment="1">
      <alignment vertical="center"/>
      <protection/>
    </xf>
    <xf numFmtId="0" fontId="75" fillId="38" borderId="63" xfId="264" applyFont="1" applyFill="1" applyBorder="1" applyAlignment="1">
      <alignment vertical="center"/>
      <protection/>
    </xf>
    <xf numFmtId="165" fontId="1" fillId="48" borderId="28" xfId="264" applyNumberFormat="1" applyFill="1" applyBorder="1">
      <alignment/>
      <protection/>
    </xf>
    <xf numFmtId="0" fontId="1" fillId="50" borderId="27" xfId="264" applyFill="1" applyBorder="1">
      <alignment/>
      <protection/>
    </xf>
    <xf numFmtId="0" fontId="36" fillId="50" borderId="52" xfId="264" applyFont="1" applyFill="1" applyBorder="1" applyAlignment="1">
      <alignment horizontal="center" vertical="center"/>
      <protection/>
    </xf>
    <xf numFmtId="0" fontId="36" fillId="50" borderId="26" xfId="264" applyFont="1" applyFill="1" applyBorder="1" applyAlignment="1">
      <alignment horizontal="center" vertical="center"/>
      <protection/>
    </xf>
    <xf numFmtId="9" fontId="1" fillId="48" borderId="33" xfId="15" applyFont="1" applyFill="1" applyBorder="1"/>
    <xf numFmtId="0" fontId="76" fillId="50" borderId="42" xfId="264" applyFont="1" applyFill="1" applyBorder="1" applyAlignment="1">
      <alignment horizontal="center" vertical="center"/>
      <protection/>
    </xf>
    <xf numFmtId="165" fontId="1" fillId="48" borderId="34" xfId="264" applyNumberFormat="1" applyFill="1" applyBorder="1">
      <alignment/>
      <protection/>
    </xf>
    <xf numFmtId="9" fontId="1" fillId="48" borderId="29" xfId="15" applyFont="1" applyFill="1" applyBorder="1"/>
    <xf numFmtId="0" fontId="32" fillId="36" borderId="63" xfId="72" applyFont="1" applyFill="1" applyBorder="1" applyAlignment="1">
      <alignment horizontal="center" vertical="center"/>
      <protection/>
    </xf>
    <xf numFmtId="0" fontId="96" fillId="36" borderId="81" xfId="0" applyFont="1" applyFill="1" applyBorder="1" applyAlignment="1">
      <alignment horizontal="center"/>
    </xf>
    <xf numFmtId="0" fontId="74" fillId="67" borderId="63" xfId="264" applyFont="1" applyFill="1" applyBorder="1" applyAlignment="1">
      <alignment horizontal="center" vertical="center"/>
      <protection/>
    </xf>
    <xf numFmtId="9" fontId="86" fillId="36" borderId="34" xfId="266" applyFont="1" applyFill="1" applyBorder="1"/>
    <xf numFmtId="0" fontId="77" fillId="0" borderId="0" xfId="264" applyFont="1" applyBorder="1" applyAlignment="1">
      <alignment horizontal="center" vertical="center"/>
      <protection/>
    </xf>
    <xf numFmtId="43" fontId="1" fillId="0" borderId="0" xfId="264" applyNumberFormat="1">
      <alignment/>
      <protection/>
    </xf>
    <xf numFmtId="170" fontId="74" fillId="36" borderId="28" xfId="265" applyNumberFormat="1" applyFont="1" applyFill="1" applyBorder="1"/>
    <xf numFmtId="170" fontId="74" fillId="36" borderId="33" xfId="265" applyNumberFormat="1" applyFont="1" applyFill="1" applyBorder="1"/>
    <xf numFmtId="165" fontId="74" fillId="61" borderId="28" xfId="265" applyNumberFormat="1" applyFont="1" applyFill="1" applyBorder="1"/>
    <xf numFmtId="9" fontId="74" fillId="61" borderId="28" xfId="15" applyFont="1" applyFill="1" applyBorder="1"/>
    <xf numFmtId="165" fontId="76" fillId="60" borderId="59" xfId="264" applyNumberFormat="1" applyFont="1" applyFill="1" applyBorder="1">
      <alignment/>
      <protection/>
    </xf>
    <xf numFmtId="165" fontId="74" fillId="61" borderId="27" xfId="265" applyNumberFormat="1" applyFont="1" applyFill="1" applyBorder="1"/>
    <xf numFmtId="165" fontId="74" fillId="61" borderId="41" xfId="265" applyNumberFormat="1" applyFont="1" applyFill="1" applyBorder="1"/>
    <xf numFmtId="9" fontId="74" fillId="61" borderId="42" xfId="15" applyFont="1" applyFill="1" applyBorder="1"/>
    <xf numFmtId="9" fontId="74" fillId="61" borderId="34" xfId="15" applyFont="1" applyFill="1" applyBorder="1"/>
    <xf numFmtId="9" fontId="74" fillId="61" borderId="29" xfId="15" applyFont="1" applyFill="1" applyBorder="1"/>
    <xf numFmtId="0" fontId="73" fillId="59" borderId="28" xfId="264" applyFont="1" applyFill="1" applyBorder="1" applyAlignment="1">
      <alignment horizontal="center" vertical="center"/>
      <protection/>
    </xf>
    <xf numFmtId="43" fontId="74" fillId="61" borderId="28" xfId="265" applyNumberFormat="1" applyFont="1" applyFill="1" applyBorder="1"/>
    <xf numFmtId="43" fontId="74" fillId="61" borderId="33" xfId="265" applyNumberFormat="1" applyFont="1" applyFill="1" applyBorder="1"/>
    <xf numFmtId="165" fontId="74" fillId="59" borderId="41" xfId="264" applyNumberFormat="1" applyFont="1" applyFill="1" applyBorder="1" applyAlignment="1">
      <alignment horizontal="centerContinuous"/>
      <protection/>
    </xf>
    <xf numFmtId="9" fontId="74" fillId="61" borderId="33" xfId="15" applyFont="1" applyFill="1" applyBorder="1"/>
    <xf numFmtId="0" fontId="74" fillId="59" borderId="42" xfId="264" applyFont="1" applyFill="1" applyBorder="1" applyAlignment="1">
      <alignment horizontal="centerContinuous"/>
      <protection/>
    </xf>
    <xf numFmtId="0" fontId="73" fillId="38" borderId="28" xfId="264" applyFont="1" applyFill="1" applyBorder="1" applyAlignment="1">
      <alignment horizontal="center" vertical="center"/>
      <protection/>
    </xf>
    <xf numFmtId="43" fontId="74" fillId="36" borderId="28" xfId="265" applyNumberFormat="1" applyFont="1" applyFill="1" applyBorder="1"/>
    <xf numFmtId="43" fontId="74" fillId="36" borderId="33" xfId="265" applyNumberFormat="1" applyFont="1" applyFill="1" applyBorder="1"/>
    <xf numFmtId="43" fontId="74" fillId="36" borderId="34" xfId="265" applyNumberFormat="1" applyFont="1" applyFill="1" applyBorder="1"/>
    <xf numFmtId="43" fontId="74" fillId="36" borderId="29" xfId="265" applyNumberFormat="1" applyFont="1" applyFill="1" applyBorder="1"/>
    <xf numFmtId="0" fontId="76" fillId="60" borderId="41" xfId="264" applyFont="1" applyFill="1" applyBorder="1" applyAlignment="1">
      <alignment horizontal="center"/>
      <protection/>
    </xf>
    <xf numFmtId="0" fontId="76" fillId="60" borderId="28" xfId="264" applyFont="1" applyFill="1" applyBorder="1" applyAlignment="1">
      <alignment horizontal="center"/>
      <protection/>
    </xf>
    <xf numFmtId="165" fontId="76" fillId="61" borderId="33" xfId="265" applyNumberFormat="1" applyFont="1" applyFill="1" applyBorder="1"/>
    <xf numFmtId="165" fontId="76" fillId="60" borderId="41" xfId="264" applyNumberFormat="1" applyFont="1" applyFill="1" applyBorder="1">
      <alignment/>
      <protection/>
    </xf>
    <xf numFmtId="165" fontId="76" fillId="60" borderId="42" xfId="264" applyNumberFormat="1" applyFont="1" applyFill="1" applyBorder="1">
      <alignment/>
      <protection/>
    </xf>
    <xf numFmtId="43" fontId="74" fillId="36" borderId="42" xfId="265" applyNumberFormat="1" applyFont="1" applyFill="1" applyBorder="1"/>
    <xf numFmtId="0" fontId="74" fillId="38" borderId="45" xfId="264" applyFont="1" applyFill="1" applyBorder="1">
      <alignment/>
      <protection/>
    </xf>
    <xf numFmtId="165" fontId="74" fillId="36" borderId="46" xfId="265" applyNumberFormat="1" applyFont="1" applyFill="1" applyBorder="1"/>
    <xf numFmtId="165" fontId="74" fillId="36" borderId="40" xfId="265" applyNumberFormat="1" applyFont="1" applyFill="1" applyBorder="1"/>
    <xf numFmtId="0" fontId="73" fillId="38" borderId="27" xfId="264" applyFont="1" applyFill="1" applyBorder="1" applyAlignment="1">
      <alignment horizontal="center" vertical="center"/>
      <protection/>
    </xf>
    <xf numFmtId="0" fontId="74" fillId="38" borderId="28" xfId="264" applyFont="1" applyFill="1" applyBorder="1">
      <alignment/>
      <protection/>
    </xf>
    <xf numFmtId="9" fontId="74" fillId="36" borderId="28" xfId="15" applyFont="1" applyFill="1" applyBorder="1"/>
    <xf numFmtId="9" fontId="74" fillId="36" borderId="33" xfId="15" applyFont="1" applyFill="1" applyBorder="1"/>
    <xf numFmtId="165" fontId="74" fillId="38" borderId="28" xfId="264" applyNumberFormat="1" applyFont="1" applyFill="1" applyBorder="1">
      <alignment/>
      <protection/>
    </xf>
    <xf numFmtId="165" fontId="74" fillId="36" borderId="28" xfId="265" applyNumberFormat="1" applyFont="1" applyFill="1" applyBorder="1"/>
    <xf numFmtId="0" fontId="84" fillId="50" borderId="52" xfId="264" applyFont="1" applyFill="1" applyBorder="1" applyAlignment="1">
      <alignment horizontal="center"/>
      <protection/>
    </xf>
    <xf numFmtId="0" fontId="84" fillId="50" borderId="26" xfId="264" applyFont="1" applyFill="1" applyBorder="1" applyAlignment="1">
      <alignment horizontal="center"/>
      <protection/>
    </xf>
    <xf numFmtId="165" fontId="86" fillId="36" borderId="28" xfId="265" applyNumberFormat="1" applyFont="1" applyFill="1" applyBorder="1" applyAlignment="1">
      <alignment vertical="top"/>
    </xf>
    <xf numFmtId="16" fontId="86" fillId="38" borderId="41" xfId="264" applyNumberFormat="1" applyFont="1" applyFill="1" applyBorder="1">
      <alignment/>
      <protection/>
    </xf>
    <xf numFmtId="9" fontId="86" fillId="36" borderId="28" xfId="15" applyFont="1" applyFill="1" applyBorder="1" applyAlignment="1">
      <alignment vertical="top"/>
    </xf>
    <xf numFmtId="9" fontId="86" fillId="36" borderId="33" xfId="15" applyFont="1" applyFill="1" applyBorder="1" applyAlignment="1">
      <alignment vertical="top"/>
    </xf>
    <xf numFmtId="3" fontId="97" fillId="0" borderId="0" xfId="272" applyNumberFormat="1" applyFont="1" applyAlignment="1">
      <alignment horizontal="left"/>
      <protection/>
    </xf>
    <xf numFmtId="3" fontId="1" fillId="0" borderId="0" xfId="272" applyNumberFormat="1" applyAlignment="1">
      <alignment horizontal="left"/>
      <protection/>
    </xf>
    <xf numFmtId="3" fontId="1" fillId="0" borderId="0" xfId="272" applyNumberFormat="1" applyFill="1" applyBorder="1" applyAlignment="1">
      <alignment horizontal="left"/>
      <protection/>
    </xf>
    <xf numFmtId="9" fontId="0" fillId="0" borderId="0" xfId="274" applyFont="1" applyFill="1" applyBorder="1" applyAlignment="1">
      <alignment horizontal="left"/>
    </xf>
    <xf numFmtId="3" fontId="1" fillId="0" borderId="0" xfId="272" applyNumberFormat="1" applyFont="1" applyFill="1" applyBorder="1" applyAlignment="1">
      <alignment horizontal="left"/>
      <protection/>
    </xf>
    <xf numFmtId="3" fontId="0" fillId="0" borderId="0" xfId="274" applyNumberFormat="1" applyFont="1" applyFill="1" applyBorder="1" applyAlignment="1">
      <alignment horizontal="left" wrapText="1"/>
    </xf>
    <xf numFmtId="9" fontId="1" fillId="0" borderId="0" xfId="274" applyFont="1" applyFill="1" applyBorder="1" applyAlignment="1">
      <alignment horizontal="left"/>
    </xf>
    <xf numFmtId="1" fontId="1" fillId="0" borderId="0" xfId="272" applyNumberFormat="1" applyFont="1" applyFill="1" applyBorder="1" applyAlignment="1">
      <alignment horizontal="left"/>
      <protection/>
    </xf>
    <xf numFmtId="168" fontId="1" fillId="0" borderId="0" xfId="272" applyNumberFormat="1" applyFont="1" applyFill="1" applyBorder="1" applyAlignment="1">
      <alignment horizontal="left"/>
      <protection/>
    </xf>
    <xf numFmtId="1" fontId="1" fillId="0" borderId="0" xfId="272" applyNumberFormat="1" applyFont="1" applyFill="1" applyBorder="1" applyAlignment="1">
      <alignment horizontal="center"/>
      <protection/>
    </xf>
    <xf numFmtId="9" fontId="0" fillId="0" borderId="0" xfId="274" applyFont="1" applyAlignment="1">
      <alignment horizontal="left"/>
    </xf>
    <xf numFmtId="3" fontId="44" fillId="0" borderId="0" xfId="272" applyNumberFormat="1" applyFont="1" applyAlignment="1">
      <alignment horizontal="left"/>
      <protection/>
    </xf>
    <xf numFmtId="0" fontId="86" fillId="38" borderId="74" xfId="264" applyFont="1" applyFill="1" applyBorder="1">
      <alignment/>
      <protection/>
    </xf>
    <xf numFmtId="16" fontId="86" fillId="38" borderId="74" xfId="264" applyNumberFormat="1" applyFont="1" applyFill="1" applyBorder="1">
      <alignment/>
      <protection/>
    </xf>
    <xf numFmtId="0" fontId="86" fillId="38" borderId="42" xfId="264" applyFont="1" applyFill="1" applyBorder="1">
      <alignment/>
      <protection/>
    </xf>
    <xf numFmtId="0" fontId="30" fillId="38" borderId="27" xfId="264" applyFont="1" applyFill="1" applyBorder="1">
      <alignment/>
      <protection/>
    </xf>
    <xf numFmtId="0" fontId="30" fillId="37" borderId="52" xfId="264" applyFont="1" applyFill="1" applyBorder="1" applyAlignment="1">
      <alignment horizontal="center" vertical="top" wrapText="1"/>
      <protection/>
    </xf>
    <xf numFmtId="0" fontId="30" fillId="37" borderId="26" xfId="264" applyFont="1" applyFill="1" applyBorder="1" applyAlignment="1">
      <alignment horizontal="center" vertical="top" wrapText="1"/>
      <protection/>
    </xf>
    <xf numFmtId="1" fontId="30" fillId="37" borderId="52" xfId="264" applyNumberFormat="1" applyFont="1" applyFill="1" applyBorder="1" applyAlignment="1">
      <alignment horizontal="center" vertical="top" wrapText="1"/>
      <protection/>
    </xf>
    <xf numFmtId="9" fontId="86" fillId="36" borderId="34" xfId="15" applyFont="1" applyFill="1" applyBorder="1" applyAlignment="1">
      <alignment vertical="top"/>
    </xf>
    <xf numFmtId="9" fontId="86" fillId="36" borderId="29" xfId="15" applyFont="1" applyFill="1" applyBorder="1" applyAlignment="1">
      <alignment vertical="top"/>
    </xf>
    <xf numFmtId="1" fontId="86" fillId="38" borderId="41" xfId="264" applyNumberFormat="1" applyFont="1" applyFill="1" applyBorder="1">
      <alignment/>
      <protection/>
    </xf>
    <xf numFmtId="43" fontId="86" fillId="36" borderId="28" xfId="265" applyNumberFormat="1" applyFont="1" applyFill="1" applyBorder="1" applyAlignment="1">
      <alignment vertical="top"/>
    </xf>
    <xf numFmtId="43" fontId="86" fillId="36" borderId="33" xfId="265" applyNumberFormat="1" applyFont="1" applyFill="1" applyBorder="1" applyAlignment="1">
      <alignment vertical="top"/>
    </xf>
    <xf numFmtId="1" fontId="86" fillId="38" borderId="42" xfId="264" applyNumberFormat="1" applyFont="1" applyFill="1" applyBorder="1">
      <alignment/>
      <protection/>
    </xf>
    <xf numFmtId="43" fontId="86" fillId="36" borderId="34" xfId="265" applyNumberFormat="1" applyFont="1" applyFill="1" applyBorder="1" applyAlignment="1">
      <alignment vertical="top"/>
    </xf>
    <xf numFmtId="43" fontId="86" fillId="36" borderId="29" xfId="265" applyNumberFormat="1" applyFont="1" applyFill="1" applyBorder="1" applyAlignment="1">
      <alignment vertical="top"/>
    </xf>
    <xf numFmtId="0" fontId="98" fillId="0" borderId="58" xfId="0" applyFont="1" applyBorder="1" applyAlignment="1">
      <alignment vertical="top"/>
    </xf>
    <xf numFmtId="0" fontId="99" fillId="0" borderId="44" xfId="0" applyFont="1" applyBorder="1" applyAlignment="1">
      <alignment horizontal="right" vertical="center"/>
    </xf>
    <xf numFmtId="0" fontId="99" fillId="0" borderId="44" xfId="0" applyFont="1" applyBorder="1" applyAlignment="1">
      <alignment vertical="center"/>
    </xf>
    <xf numFmtId="0" fontId="100" fillId="0" borderId="82" xfId="0" applyFont="1" applyBorder="1" applyAlignment="1">
      <alignment vertical="center"/>
    </xf>
    <xf numFmtId="3" fontId="101" fillId="0" borderId="39" xfId="0" applyNumberFormat="1" applyFont="1" applyBorder="1" applyAlignment="1">
      <alignment horizontal="right" vertical="center"/>
    </xf>
    <xf numFmtId="0" fontId="102" fillId="0" borderId="82" xfId="0" applyFont="1" applyBorder="1" applyAlignment="1">
      <alignment vertical="center"/>
    </xf>
    <xf numFmtId="3" fontId="99" fillId="0" borderId="39" xfId="0" applyNumberFormat="1" applyFont="1" applyBorder="1" applyAlignment="1">
      <alignment horizontal="right" vertical="center"/>
    </xf>
    <xf numFmtId="0" fontId="103" fillId="68" borderId="83" xfId="0" applyFont="1" applyFill="1" applyBorder="1" applyAlignment="1">
      <alignment vertical="top"/>
    </xf>
    <xf numFmtId="0" fontId="103" fillId="68" borderId="6" xfId="0" applyFont="1" applyFill="1" applyBorder="1" applyAlignment="1">
      <alignment vertical="top"/>
    </xf>
    <xf numFmtId="0" fontId="103" fillId="68" borderId="60" xfId="0" applyFont="1" applyFill="1" applyBorder="1" applyAlignment="1">
      <alignment vertical="top"/>
    </xf>
    <xf numFmtId="0" fontId="0" fillId="0" borderId="28" xfId="0" applyBorder="1" applyAlignment="1">
      <alignment horizontal="left"/>
    </xf>
    <xf numFmtId="0" fontId="0" fillId="0" borderId="83" xfId="0" applyFill="1" applyBorder="1"/>
    <xf numFmtId="0" fontId="0" fillId="0" borderId="6" xfId="0" applyBorder="1"/>
    <xf numFmtId="0" fontId="0" fillId="0" borderId="60" xfId="0" applyBorder="1"/>
    <xf numFmtId="0" fontId="0" fillId="0" borderId="83" xfId="0" applyBorder="1"/>
    <xf numFmtId="0" fontId="0" fillId="0" borderId="83" xfId="0" applyFill="1" applyBorder="1" applyAlignment="1">
      <alignment horizontal="center"/>
    </xf>
    <xf numFmtId="0" fontId="0" fillId="0" borderId="6" xfId="0" applyBorder="1" applyAlignment="1">
      <alignment horizontal="center"/>
    </xf>
    <xf numFmtId="0" fontId="0" fillId="0" borderId="60" xfId="0" applyBorder="1" applyAlignment="1">
      <alignment horizontal="center"/>
    </xf>
    <xf numFmtId="0" fontId="0" fillId="0" borderId="83" xfId="0" applyFill="1" applyBorder="1" applyAlignment="1">
      <alignment/>
    </xf>
    <xf numFmtId="0" fontId="0" fillId="0" borderId="6" xfId="0" applyBorder="1" applyAlignment="1">
      <alignment/>
    </xf>
    <xf numFmtId="0" fontId="0" fillId="0" borderId="60" xfId="0" applyBorder="1" applyAlignment="1">
      <alignment/>
    </xf>
    <xf numFmtId="9" fontId="104" fillId="40" borderId="28" xfId="15" applyFont="1" applyFill="1" applyBorder="1" applyAlignment="1">
      <alignment horizontal="center"/>
    </xf>
    <xf numFmtId="165" fontId="0" fillId="40" borderId="81" xfId="18" applyNumberFormat="1" applyFont="1" applyFill="1" applyBorder="1" applyAlignment="1">
      <alignment horizontal="center" vertical="center" wrapText="1"/>
    </xf>
    <xf numFmtId="165" fontId="0" fillId="40" borderId="81" xfId="18" applyNumberFormat="1" applyFont="1" applyFill="1" applyBorder="1" applyAlignment="1">
      <alignment horizontal="center" vertical="center" wrapText="1"/>
    </xf>
    <xf numFmtId="0" fontId="73" fillId="50" borderId="76" xfId="264" applyFont="1" applyFill="1" applyBorder="1" applyAlignment="1">
      <alignment horizontal="center" vertical="center" wrapText="1"/>
      <protection/>
    </xf>
    <xf numFmtId="0" fontId="73" fillId="50" borderId="78" xfId="264" applyFont="1" applyFill="1" applyBorder="1" applyAlignment="1">
      <alignment horizontal="center" vertical="center" wrapText="1"/>
      <protection/>
    </xf>
    <xf numFmtId="0" fontId="76" fillId="67" borderId="61" xfId="264" applyFont="1" applyFill="1" applyBorder="1" applyAlignment="1">
      <alignment horizontal="center" vertical="center"/>
      <protection/>
    </xf>
    <xf numFmtId="0" fontId="76" fillId="67" borderId="62" xfId="264" applyFont="1" applyFill="1" applyBorder="1" applyAlignment="1">
      <alignment horizontal="center" vertical="center"/>
      <protection/>
    </xf>
    <xf numFmtId="0" fontId="76" fillId="67" borderId="84" xfId="264" applyFont="1" applyFill="1" applyBorder="1" applyAlignment="1">
      <alignment horizontal="center" vertical="center"/>
      <protection/>
    </xf>
    <xf numFmtId="0" fontId="76" fillId="67" borderId="61" xfId="264" applyFont="1" applyFill="1" applyBorder="1" applyAlignment="1">
      <alignment horizontal="center" vertical="center" wrapText="1"/>
      <protection/>
    </xf>
    <xf numFmtId="0" fontId="76" fillId="67" borderId="62" xfId="264" applyFont="1" applyFill="1" applyBorder="1" applyAlignment="1">
      <alignment horizontal="center" vertical="center" wrapText="1"/>
      <protection/>
    </xf>
    <xf numFmtId="0" fontId="76" fillId="67" borderId="63" xfId="264" applyFont="1" applyFill="1" applyBorder="1" applyAlignment="1">
      <alignment horizontal="center" vertical="center" wrapText="1"/>
      <protection/>
    </xf>
    <xf numFmtId="0" fontId="76" fillId="67" borderId="81" xfId="264" applyFont="1" applyFill="1" applyBorder="1" applyAlignment="1">
      <alignment horizontal="center" vertical="center" wrapText="1"/>
      <protection/>
    </xf>
    <xf numFmtId="0" fontId="76" fillId="67" borderId="84" xfId="264" applyFont="1" applyFill="1" applyBorder="1" applyAlignment="1">
      <alignment horizontal="center" vertical="center" wrapText="1"/>
      <protection/>
    </xf>
    <xf numFmtId="0" fontId="79" fillId="0" borderId="85" xfId="264" applyFont="1" applyBorder="1" applyAlignment="1">
      <alignment horizontal="left" vertical="center" wrapText="1"/>
      <protection/>
    </xf>
    <xf numFmtId="0" fontId="79" fillId="0" borderId="31" xfId="264" applyFont="1" applyBorder="1" applyAlignment="1">
      <alignment horizontal="left" vertical="center" wrapText="1"/>
      <protection/>
    </xf>
    <xf numFmtId="0" fontId="79" fillId="0" borderId="32" xfId="264" applyFont="1" applyBorder="1" applyAlignment="1">
      <alignment horizontal="left" vertical="center" wrapText="1"/>
      <protection/>
    </xf>
    <xf numFmtId="0" fontId="75" fillId="38" borderId="74" xfId="264" applyFont="1" applyFill="1" applyBorder="1" applyAlignment="1">
      <alignment horizontal="center" vertical="center"/>
      <protection/>
    </xf>
    <xf numFmtId="0" fontId="75" fillId="38" borderId="60" xfId="264" applyFont="1" applyFill="1" applyBorder="1" applyAlignment="1">
      <alignment horizontal="center" vertical="center"/>
      <protection/>
    </xf>
    <xf numFmtId="0" fontId="75" fillId="38" borderId="49" xfId="264" applyFont="1" applyFill="1" applyBorder="1" applyAlignment="1">
      <alignment horizontal="center" vertical="center"/>
      <protection/>
    </xf>
    <xf numFmtId="0" fontId="75" fillId="38" borderId="50" xfId="264" applyFont="1" applyFill="1" applyBorder="1" applyAlignment="1">
      <alignment horizontal="center" vertical="center"/>
      <protection/>
    </xf>
    <xf numFmtId="165" fontId="73" fillId="38" borderId="27" xfId="264" applyNumberFormat="1" applyFont="1" applyFill="1" applyBorder="1" applyAlignment="1">
      <alignment horizontal="center" vertical="center"/>
      <protection/>
    </xf>
    <xf numFmtId="165" fontId="73" fillId="38" borderId="52" xfId="264" applyNumberFormat="1" applyFont="1" applyFill="1" applyBorder="1" applyAlignment="1">
      <alignment horizontal="center" vertical="center"/>
      <protection/>
    </xf>
    <xf numFmtId="165" fontId="73" fillId="38" borderId="26" xfId="264" applyNumberFormat="1" applyFont="1" applyFill="1" applyBorder="1" applyAlignment="1">
      <alignment horizontal="center" vertical="center"/>
      <protection/>
    </xf>
    <xf numFmtId="165" fontId="73" fillId="38" borderId="30" xfId="264" applyNumberFormat="1" applyFont="1" applyFill="1" applyBorder="1" applyAlignment="1">
      <alignment horizontal="center" vertical="center"/>
      <protection/>
    </xf>
    <xf numFmtId="165" fontId="73" fillId="38" borderId="31" xfId="264" applyNumberFormat="1" applyFont="1" applyFill="1" applyBorder="1" applyAlignment="1">
      <alignment horizontal="center" vertical="center"/>
      <protection/>
    </xf>
    <xf numFmtId="165" fontId="73" fillId="38" borderId="32" xfId="264" applyNumberFormat="1" applyFont="1" applyFill="1" applyBorder="1" applyAlignment="1">
      <alignment horizontal="center" vertical="center"/>
      <protection/>
    </xf>
    <xf numFmtId="165" fontId="82" fillId="63" borderId="30" xfId="264" applyNumberFormat="1" applyFont="1" applyFill="1" applyBorder="1" applyAlignment="1">
      <alignment horizontal="center" vertical="center"/>
      <protection/>
    </xf>
    <xf numFmtId="165" fontId="82" fillId="63" borderId="31" xfId="264" applyNumberFormat="1" applyFont="1" applyFill="1" applyBorder="1" applyAlignment="1">
      <alignment horizontal="center" vertical="center"/>
      <protection/>
    </xf>
    <xf numFmtId="165" fontId="82" fillId="63" borderId="32" xfId="264" applyNumberFormat="1" applyFont="1" applyFill="1" applyBorder="1" applyAlignment="1">
      <alignment horizontal="center" vertical="center"/>
      <protection/>
    </xf>
    <xf numFmtId="165" fontId="76" fillId="38" borderId="74" xfId="264" applyNumberFormat="1" applyFont="1" applyFill="1" applyBorder="1" applyAlignment="1">
      <alignment horizontal="center"/>
      <protection/>
    </xf>
    <xf numFmtId="165" fontId="76" fillId="38" borderId="60" xfId="264" applyNumberFormat="1" applyFont="1" applyFill="1" applyBorder="1" applyAlignment="1">
      <alignment horizontal="center"/>
      <protection/>
    </xf>
    <xf numFmtId="0" fontId="74" fillId="60" borderId="74" xfId="264" applyFont="1" applyFill="1" applyBorder="1" applyAlignment="1">
      <alignment horizontal="right"/>
      <protection/>
    </xf>
    <xf numFmtId="0" fontId="74" fillId="60" borderId="60" xfId="264" applyFont="1" applyFill="1" applyBorder="1" applyAlignment="1">
      <alignment horizontal="right"/>
      <protection/>
    </xf>
    <xf numFmtId="0" fontId="77" fillId="0" borderId="28" xfId="264" applyFont="1" applyBorder="1" applyAlignment="1">
      <alignment horizontal="center" vertical="center"/>
      <protection/>
    </xf>
    <xf numFmtId="0" fontId="74" fillId="0" borderId="72" xfId="264" applyFont="1" applyBorder="1" applyAlignment="1">
      <alignment horizontal="center" vertical="center" wrapText="1"/>
      <protection/>
    </xf>
    <xf numFmtId="0" fontId="74" fillId="0" borderId="86" xfId="264" applyFont="1" applyBorder="1" applyAlignment="1">
      <alignment horizontal="center" vertical="center"/>
      <protection/>
    </xf>
    <xf numFmtId="0" fontId="76" fillId="60" borderId="74" xfId="264" applyFont="1" applyFill="1" applyBorder="1" applyAlignment="1">
      <alignment horizontal="center"/>
      <protection/>
    </xf>
    <xf numFmtId="0" fontId="76" fillId="60" borderId="60" xfId="264" applyFont="1" applyFill="1" applyBorder="1" applyAlignment="1">
      <alignment horizontal="center"/>
      <protection/>
    </xf>
    <xf numFmtId="0" fontId="74" fillId="60" borderId="49" xfId="264" applyFont="1" applyFill="1" applyBorder="1" applyAlignment="1">
      <alignment horizontal="center"/>
      <protection/>
    </xf>
    <xf numFmtId="0" fontId="74" fillId="60" borderId="50" xfId="264" applyFont="1" applyFill="1" applyBorder="1" applyAlignment="1">
      <alignment horizontal="center"/>
      <protection/>
    </xf>
    <xf numFmtId="0" fontId="76" fillId="60" borderId="59" xfId="264" applyFont="1" applyFill="1" applyBorder="1" applyAlignment="1">
      <alignment horizontal="center"/>
      <protection/>
    </xf>
    <xf numFmtId="0" fontId="76" fillId="60" borderId="43" xfId="264" applyFont="1" applyFill="1" applyBorder="1" applyAlignment="1">
      <alignment horizontal="center"/>
      <protection/>
    </xf>
    <xf numFmtId="0" fontId="76" fillId="60" borderId="44" xfId="264" applyFont="1" applyFill="1" applyBorder="1" applyAlignment="1">
      <alignment horizontal="center"/>
      <protection/>
    </xf>
    <xf numFmtId="0" fontId="74" fillId="60" borderId="59" xfId="264" applyFont="1" applyFill="1" applyBorder="1" applyAlignment="1">
      <alignment horizontal="right"/>
      <protection/>
    </xf>
    <xf numFmtId="0" fontId="74" fillId="60" borderId="77" xfId="264" applyFont="1" applyFill="1" applyBorder="1" applyAlignment="1">
      <alignment horizontal="right"/>
      <protection/>
    </xf>
    <xf numFmtId="0" fontId="74" fillId="60" borderId="49" xfId="264" applyFont="1" applyFill="1" applyBorder="1" applyAlignment="1">
      <alignment horizontal="right"/>
      <protection/>
    </xf>
    <xf numFmtId="0" fontId="74" fillId="60" borderId="50" xfId="264" applyFont="1" applyFill="1" applyBorder="1" applyAlignment="1">
      <alignment horizontal="right"/>
      <protection/>
    </xf>
    <xf numFmtId="0" fontId="74" fillId="60" borderId="30" xfId="264" applyFont="1" applyFill="1" applyBorder="1" applyAlignment="1">
      <alignment horizontal="right"/>
      <protection/>
    </xf>
    <xf numFmtId="0" fontId="74" fillId="60" borderId="64" xfId="264" applyFont="1" applyFill="1" applyBorder="1" applyAlignment="1">
      <alignment horizontal="right"/>
      <protection/>
    </xf>
    <xf numFmtId="0" fontId="74" fillId="60" borderId="50" xfId="264" applyFont="1" applyFill="1" applyBorder="1" applyAlignment="1">
      <alignment horizontal="right"/>
      <protection/>
    </xf>
    <xf numFmtId="0" fontId="74" fillId="0" borderId="85" xfId="264" applyFont="1" applyBorder="1" applyAlignment="1">
      <alignment horizontal="center"/>
      <protection/>
    </xf>
    <xf numFmtId="0" fontId="74" fillId="0" borderId="31" xfId="264" applyFont="1" applyBorder="1" applyAlignment="1">
      <alignment horizontal="center"/>
      <protection/>
    </xf>
    <xf numFmtId="0" fontId="74" fillId="0" borderId="32" xfId="264" applyFont="1" applyBorder="1" applyAlignment="1">
      <alignment horizontal="center"/>
      <protection/>
    </xf>
    <xf numFmtId="0" fontId="74" fillId="0" borderId="86" xfId="264" applyFont="1" applyBorder="1" applyAlignment="1">
      <alignment horizontal="center" vertical="center" wrapText="1"/>
      <protection/>
    </xf>
    <xf numFmtId="0" fontId="77" fillId="0" borderId="0" xfId="264" applyFont="1" applyBorder="1" applyAlignment="1">
      <alignment horizontal="center" vertical="center"/>
      <protection/>
    </xf>
    <xf numFmtId="0" fontId="77" fillId="0" borderId="0" xfId="264" applyFont="1" applyAlignment="1">
      <alignment horizontal="center" vertical="center"/>
      <protection/>
    </xf>
    <xf numFmtId="0" fontId="74" fillId="64" borderId="0" xfId="264" applyFont="1" applyFill="1" applyBorder="1" applyAlignment="1">
      <alignment horizontal="center"/>
      <protection/>
    </xf>
    <xf numFmtId="0" fontId="76" fillId="50" borderId="30" xfId="264" applyFont="1" applyFill="1" applyBorder="1" applyAlignment="1">
      <alignment horizontal="center"/>
      <protection/>
    </xf>
    <xf numFmtId="0" fontId="76" fillId="50" borderId="32" xfId="264" applyFont="1" applyFill="1" applyBorder="1" applyAlignment="1">
      <alignment horizontal="center"/>
      <protection/>
    </xf>
    <xf numFmtId="0" fontId="76" fillId="50" borderId="74" xfId="264" applyFont="1" applyFill="1" applyBorder="1" applyAlignment="1">
      <alignment horizontal="center"/>
      <protection/>
    </xf>
    <xf numFmtId="0" fontId="76" fillId="50" borderId="87" xfId="264" applyFont="1" applyFill="1" applyBorder="1" applyAlignment="1">
      <alignment horizontal="center"/>
      <protection/>
    </xf>
    <xf numFmtId="0" fontId="1" fillId="0" borderId="56" xfId="264" applyFont="1" applyBorder="1" applyAlignment="1">
      <alignment horizontal="left" wrapText="1"/>
      <protection/>
    </xf>
    <xf numFmtId="0" fontId="1" fillId="0" borderId="56" xfId="264" applyFont="1" applyBorder="1" applyAlignment="1">
      <alignment horizontal="left" wrapText="1"/>
      <protection/>
    </xf>
    <xf numFmtId="0" fontId="84" fillId="50" borderId="30" xfId="264" applyFont="1" applyFill="1" applyBorder="1" applyAlignment="1">
      <alignment horizontal="center"/>
      <protection/>
    </xf>
    <xf numFmtId="0" fontId="84" fillId="50" borderId="31" xfId="264" applyFont="1" applyFill="1" applyBorder="1" applyAlignment="1">
      <alignment horizontal="center"/>
      <protection/>
    </xf>
    <xf numFmtId="0" fontId="84" fillId="50" borderId="32" xfId="264" applyFont="1" applyFill="1" applyBorder="1" applyAlignment="1">
      <alignment horizontal="center"/>
      <protection/>
    </xf>
    <xf numFmtId="0" fontId="91" fillId="69" borderId="23" xfId="264" applyFont="1" applyFill="1" applyBorder="1" applyAlignment="1">
      <alignment horizontal="center" vertical="center" wrapText="1"/>
      <protection/>
    </xf>
    <xf numFmtId="0" fontId="91" fillId="69" borderId="56" xfId="264" applyFont="1" applyFill="1" applyBorder="1" applyAlignment="1">
      <alignment horizontal="center" vertical="center" wrapText="1"/>
      <protection/>
    </xf>
    <xf numFmtId="0" fontId="91" fillId="69" borderId="57" xfId="264" applyFont="1" applyFill="1" applyBorder="1" applyAlignment="1">
      <alignment horizontal="center" vertical="center" wrapText="1"/>
      <protection/>
    </xf>
    <xf numFmtId="0" fontId="86" fillId="38" borderId="59" xfId="264" applyFont="1" applyFill="1" applyBorder="1" applyAlignment="1">
      <alignment horizontal="center" vertical="top" wrapText="1"/>
      <protection/>
    </xf>
    <xf numFmtId="0" fontId="86" fillId="38" borderId="43" xfId="264" applyFont="1" applyFill="1" applyBorder="1" applyAlignment="1">
      <alignment horizontal="center" vertical="top" wrapText="1"/>
      <protection/>
    </xf>
    <xf numFmtId="0" fontId="86" fillId="38" borderId="44" xfId="264" applyFont="1" applyFill="1" applyBorder="1" applyAlignment="1">
      <alignment horizontal="center" vertical="top" wrapText="1"/>
      <protection/>
    </xf>
    <xf numFmtId="0" fontId="91" fillId="63" borderId="27" xfId="264" applyFont="1" applyFill="1" applyBorder="1" applyAlignment="1">
      <alignment horizontal="center"/>
      <protection/>
    </xf>
    <xf numFmtId="0" fontId="91" fillId="63" borderId="52" xfId="264" applyFont="1" applyFill="1" applyBorder="1" applyAlignment="1">
      <alignment horizontal="center"/>
      <protection/>
    </xf>
    <xf numFmtId="0" fontId="91" fillId="63" borderId="26" xfId="264" applyFont="1" applyFill="1" applyBorder="1" applyAlignment="1">
      <alignment horizontal="center"/>
      <protection/>
    </xf>
    <xf numFmtId="0" fontId="86" fillId="38" borderId="23" xfId="264" applyFont="1" applyFill="1" applyBorder="1" applyAlignment="1">
      <alignment horizontal="center" vertical="top"/>
      <protection/>
    </xf>
    <xf numFmtId="0" fontId="86" fillId="38" borderId="56" xfId="264" applyFont="1" applyFill="1" applyBorder="1" applyAlignment="1">
      <alignment horizontal="center" vertical="top"/>
      <protection/>
    </xf>
    <xf numFmtId="0" fontId="86" fillId="38" borderId="57" xfId="264" applyFont="1" applyFill="1" applyBorder="1" applyAlignment="1">
      <alignment horizontal="center" vertical="top"/>
      <protection/>
    </xf>
    <xf numFmtId="0" fontId="86" fillId="38" borderId="59" xfId="264" applyFont="1" applyFill="1" applyBorder="1" applyAlignment="1">
      <alignment horizontal="center" vertical="top"/>
      <protection/>
    </xf>
    <xf numFmtId="0" fontId="86" fillId="38" borderId="43" xfId="264" applyFont="1" applyFill="1" applyBorder="1" applyAlignment="1">
      <alignment horizontal="center" vertical="top"/>
      <protection/>
    </xf>
    <xf numFmtId="0" fontId="86" fillId="38" borderId="44" xfId="264" applyFont="1" applyFill="1" applyBorder="1" applyAlignment="1">
      <alignment horizontal="center" vertical="top"/>
      <protection/>
    </xf>
    <xf numFmtId="0" fontId="30" fillId="38" borderId="59" xfId="264" applyFont="1" applyFill="1" applyBorder="1" applyAlignment="1">
      <alignment horizontal="center"/>
      <protection/>
    </xf>
    <xf numFmtId="0" fontId="30" fillId="38" borderId="43" xfId="264" applyFont="1" applyFill="1" applyBorder="1" applyAlignment="1">
      <alignment horizontal="center"/>
      <protection/>
    </xf>
    <xf numFmtId="0" fontId="30" fillId="38" borderId="44" xfId="264" applyFont="1" applyFill="1" applyBorder="1" applyAlignment="1">
      <alignment horizontal="center"/>
      <protection/>
    </xf>
    <xf numFmtId="0" fontId="77" fillId="0" borderId="28" xfId="270" applyFont="1" applyBorder="1" applyAlignment="1">
      <alignment horizontal="center" vertical="center"/>
      <protection/>
    </xf>
    <xf numFmtId="0" fontId="77" fillId="0" borderId="69" xfId="270" applyFont="1" applyBorder="1" applyAlignment="1">
      <alignment horizontal="center" vertical="center"/>
      <protection/>
    </xf>
    <xf numFmtId="0" fontId="77" fillId="0" borderId="86" xfId="270" applyFont="1" applyBorder="1" applyAlignment="1">
      <alignment horizontal="center" vertical="center"/>
      <protection/>
    </xf>
    <xf numFmtId="0" fontId="77" fillId="0" borderId="67" xfId="270" applyFont="1" applyBorder="1" applyAlignment="1">
      <alignment horizontal="center" vertical="center"/>
      <protection/>
    </xf>
    <xf numFmtId="0" fontId="77" fillId="0" borderId="70" xfId="270" applyFont="1" applyBorder="1" applyAlignment="1">
      <alignment horizontal="center" vertical="center"/>
      <protection/>
    </xf>
    <xf numFmtId="0" fontId="77" fillId="0" borderId="88" xfId="270" applyFont="1" applyBorder="1" applyAlignment="1">
      <alignment horizontal="center" vertical="center"/>
      <protection/>
    </xf>
    <xf numFmtId="0" fontId="77" fillId="0" borderId="71" xfId="270" applyFont="1" applyBorder="1" applyAlignment="1">
      <alignment horizontal="center" vertical="center"/>
      <protection/>
    </xf>
    <xf numFmtId="0" fontId="77" fillId="0" borderId="0" xfId="270" applyFont="1" applyAlignment="1">
      <alignment horizontal="center" vertical="center"/>
      <protection/>
    </xf>
    <xf numFmtId="0" fontId="33" fillId="60" borderId="0" xfId="72" applyFont="1" applyFill="1" applyAlignment="1">
      <alignment horizontal="center" vertical="center"/>
      <protection/>
    </xf>
    <xf numFmtId="0" fontId="33" fillId="36" borderId="83" xfId="72" applyFont="1" applyFill="1" applyBorder="1" applyAlignment="1">
      <alignment horizontal="center" vertical="center"/>
      <protection/>
    </xf>
    <xf numFmtId="0" fontId="33" fillId="36" borderId="60" xfId="72" applyFont="1" applyFill="1" applyBorder="1" applyAlignment="1">
      <alignment horizontal="center" vertical="center"/>
      <protection/>
    </xf>
    <xf numFmtId="0" fontId="32" fillId="36" borderId="83" xfId="72" applyFont="1" applyFill="1" applyBorder="1" applyAlignment="1">
      <alignment horizontal="left" vertical="center" wrapText="1" indent="1"/>
      <protection/>
    </xf>
    <xf numFmtId="0" fontId="32" fillId="36" borderId="60" xfId="72" applyFont="1" applyFill="1" applyBorder="1" applyAlignment="1">
      <alignment horizontal="left" vertical="center" wrapText="1" indent="1"/>
      <protection/>
    </xf>
    <xf numFmtId="0" fontId="36" fillId="54" borderId="59" xfId="0" applyFont="1" applyFill="1" applyBorder="1" applyAlignment="1">
      <alignment horizontal="center"/>
    </xf>
    <xf numFmtId="0" fontId="36" fillId="54" borderId="43" xfId="0" applyFont="1" applyFill="1" applyBorder="1" applyAlignment="1">
      <alignment horizontal="center"/>
    </xf>
    <xf numFmtId="0" fontId="36" fillId="54" borderId="44" xfId="0" applyFont="1" applyFill="1" applyBorder="1" applyAlignment="1">
      <alignment horizontal="center"/>
    </xf>
    <xf numFmtId="0" fontId="36" fillId="62" borderId="59" xfId="74" applyFont="1" applyFill="1" applyBorder="1" applyAlignment="1">
      <alignment horizontal="center"/>
    </xf>
    <xf numFmtId="0" fontId="36" fillId="62" borderId="43" xfId="74" applyFont="1" applyFill="1" applyBorder="1" applyAlignment="1">
      <alignment horizontal="center"/>
    </xf>
    <xf numFmtId="0" fontId="36" fillId="62" borderId="44" xfId="74" applyFont="1" applyFill="1" applyBorder="1" applyAlignment="1">
      <alignment horizontal="center"/>
    </xf>
    <xf numFmtId="0" fontId="36" fillId="62" borderId="59" xfId="0" applyFont="1" applyFill="1" applyBorder="1" applyAlignment="1">
      <alignment horizontal="center"/>
    </xf>
    <xf numFmtId="0" fontId="36" fillId="62" borderId="44" xfId="0" applyFont="1" applyFill="1" applyBorder="1" applyAlignment="1">
      <alignment horizontal="center"/>
    </xf>
    <xf numFmtId="0" fontId="38" fillId="62" borderId="0" xfId="0" applyFont="1" applyFill="1" applyBorder="1" applyAlignment="1">
      <alignment horizontal="center" vertical="center"/>
    </xf>
    <xf numFmtId="0" fontId="36" fillId="62" borderId="43" xfId="0" applyFont="1" applyFill="1" applyBorder="1" applyAlignment="1">
      <alignment horizontal="center"/>
    </xf>
    <xf numFmtId="0" fontId="36" fillId="62" borderId="0" xfId="0" applyFont="1" applyFill="1" applyBorder="1" applyAlignment="1">
      <alignment horizontal="center" vertical="center"/>
    </xf>
    <xf numFmtId="0" fontId="3" fillId="62" borderId="0" xfId="0" applyFont="1" applyFill="1" applyBorder="1" applyAlignment="1">
      <alignment horizontal="center"/>
    </xf>
    <xf numFmtId="0" fontId="2" fillId="62" borderId="59" xfId="0" applyFont="1" applyFill="1" applyBorder="1" applyAlignment="1">
      <alignment horizontal="center"/>
    </xf>
    <xf numFmtId="0" fontId="2" fillId="62" borderId="43" xfId="0" applyFont="1" applyFill="1" applyBorder="1" applyAlignment="1">
      <alignment horizontal="center"/>
    </xf>
    <xf numFmtId="0" fontId="2" fillId="62" borderId="44" xfId="0" applyFont="1" applyFill="1" applyBorder="1" applyAlignment="1">
      <alignment horizontal="center"/>
    </xf>
    <xf numFmtId="0" fontId="2" fillId="54" borderId="59" xfId="0" applyFont="1" applyFill="1" applyBorder="1" applyAlignment="1">
      <alignment horizontal="center"/>
    </xf>
    <xf numFmtId="0" fontId="2" fillId="54" borderId="43" xfId="0" applyFont="1" applyFill="1" applyBorder="1" applyAlignment="1">
      <alignment horizontal="center"/>
    </xf>
    <xf numFmtId="0" fontId="2" fillId="54" borderId="44" xfId="0" applyFont="1" applyFill="1" applyBorder="1" applyAlignment="1">
      <alignment horizontal="center"/>
    </xf>
  </cellXfs>
  <cellStyles count="261">
    <cellStyle name="Normal" xfId="0"/>
    <cellStyle name="Percent" xfId="15"/>
    <cellStyle name="Currency" xfId="16"/>
    <cellStyle name="Currency [0]" xfId="17"/>
    <cellStyle name="Comma" xfId="18"/>
    <cellStyle name="Comma [0]" xfId="19"/>
    <cellStyle name="Check Cell" xfId="20"/>
    <cellStyle name="Data Field" xfId="21"/>
    <cellStyle name="Data Name" xfId="22"/>
    <cellStyle name="Input" xfId="23"/>
    <cellStyle name="Normal 2" xfId="24"/>
    <cellStyle name="Style 1" xfId="25"/>
    <cellStyle name="20% - Accent1 2" xfId="26"/>
    <cellStyle name="20% - Accent2 2" xfId="27"/>
    <cellStyle name="20% - Accent3 2" xfId="28"/>
    <cellStyle name="20% - Accent4 2" xfId="29"/>
    <cellStyle name="20% - Accent5 2" xfId="30"/>
    <cellStyle name="20% - Accent6 2" xfId="31"/>
    <cellStyle name="40% - Accent1 2" xfId="32"/>
    <cellStyle name="40% - Accent2 2" xfId="33"/>
    <cellStyle name="40% - Accent3 2" xfId="34"/>
    <cellStyle name="40% - Accent4 2" xfId="35"/>
    <cellStyle name="40% - Accent5 2" xfId="36"/>
    <cellStyle name="40% - Accent6 2" xfId="37"/>
    <cellStyle name="60% - Accent1 2" xfId="38"/>
    <cellStyle name="60% - Accent2 2" xfId="39"/>
    <cellStyle name="60% - Accent3 2" xfId="40"/>
    <cellStyle name="60% - Accent4 2" xfId="41"/>
    <cellStyle name="60% - Accent5 2" xfId="42"/>
    <cellStyle name="60% - Accent6 2" xfId="43"/>
    <cellStyle name="Accent1 2" xfId="44"/>
    <cellStyle name="Accent2 2" xfId="45"/>
    <cellStyle name="Accent3 2" xfId="46"/>
    <cellStyle name="Accent4 2" xfId="47"/>
    <cellStyle name="Accent5 2" xfId="48"/>
    <cellStyle name="Accent6 2" xfId="49"/>
    <cellStyle name="Bad 2" xfId="50"/>
    <cellStyle name="Calculation 2" xfId="51"/>
    <cellStyle name="Check Cell 2" xfId="52"/>
    <cellStyle name="Data Field 2" xfId="53"/>
    <cellStyle name="Date/Time" xfId="54"/>
    <cellStyle name="Explanatory Text 2" xfId="55"/>
    <cellStyle name="Good 2" xfId="56"/>
    <cellStyle name="Heading" xfId="57"/>
    <cellStyle name="Heading 1 2" xfId="58"/>
    <cellStyle name="Heading 2 2" xfId="59"/>
    <cellStyle name="Heading 3 2" xfId="60"/>
    <cellStyle name="Heading 4 2" xfId="61"/>
    <cellStyle name="Input 2" xfId="62"/>
    <cellStyle name="Linked Cell 2" xfId="63"/>
    <cellStyle name="Neutral 2" xfId="64"/>
    <cellStyle name="Note 2" xfId="65"/>
    <cellStyle name="Output 2" xfId="66"/>
    <cellStyle name="Title 2" xfId="67"/>
    <cellStyle name="Total 2" xfId="68"/>
    <cellStyle name="Warning Text 2" xfId="69"/>
    <cellStyle name="표준_ENERGY CONSUMP" xfId="70"/>
    <cellStyle name="常规_海外市场服务网站资料操作BOM" xfId="71"/>
    <cellStyle name="Normal 3" xfId="72"/>
    <cellStyle name="Normal 4" xfId="73"/>
    <cellStyle name="Hyperlink" xfId="74"/>
    <cellStyle name="Heading 1" xfId="75"/>
    <cellStyle name="Heading 2" xfId="76"/>
    <cellStyle name="Heading 3" xfId="77"/>
    <cellStyle name="Heading 4" xfId="78"/>
    <cellStyle name="Good" xfId="79"/>
    <cellStyle name="Bad" xfId="80"/>
    <cellStyle name="Neutral" xfId="81"/>
    <cellStyle name="Output" xfId="82"/>
    <cellStyle name="Calculation" xfId="83"/>
    <cellStyle name="Linked Cell" xfId="84"/>
    <cellStyle name="Warning Text" xfId="85"/>
    <cellStyle name="Explanatory Text" xfId="86"/>
    <cellStyle name="Total" xfId="87"/>
    <cellStyle name="Accent1" xfId="88"/>
    <cellStyle name="20% - Accent1" xfId="89"/>
    <cellStyle name="40% - Accent1" xfId="90"/>
    <cellStyle name="60% - Accent1" xfId="91"/>
    <cellStyle name="Accent2" xfId="92"/>
    <cellStyle name="20% - Accent2" xfId="93"/>
    <cellStyle name="40% - Accent2" xfId="94"/>
    <cellStyle name="60% - Accent2" xfId="95"/>
    <cellStyle name="Accent3" xfId="96"/>
    <cellStyle name="20% - Accent3" xfId="97"/>
    <cellStyle name="40% - Accent3" xfId="98"/>
    <cellStyle name="60% - Accent3" xfId="99"/>
    <cellStyle name="Accent4" xfId="100"/>
    <cellStyle name="20% - Accent4" xfId="101"/>
    <cellStyle name="40% - Accent4" xfId="102"/>
    <cellStyle name="60% - Accent4" xfId="103"/>
    <cellStyle name="Accent5" xfId="104"/>
    <cellStyle name="20% - Accent5" xfId="105"/>
    <cellStyle name="40% - Accent5" xfId="106"/>
    <cellStyle name="60% - Accent5" xfId="107"/>
    <cellStyle name="Accent6" xfId="108"/>
    <cellStyle name="20% - Accent6" xfId="109"/>
    <cellStyle name="40% - Accent6" xfId="110"/>
    <cellStyle name="60% - Accent6" xfId="111"/>
    <cellStyle name="Normal 5" xfId="112"/>
    <cellStyle name="Title 3" xfId="113"/>
    <cellStyle name="Note 3" xfId="114"/>
    <cellStyle name="Normal 6" xfId="115"/>
    <cellStyle name="Normal 7" xfId="116"/>
    <cellStyle name="Note 4" xfId="117"/>
    <cellStyle name="20% - Accent1 3" xfId="118"/>
    <cellStyle name="40% - Accent1 3" xfId="119"/>
    <cellStyle name="20% - Accent2 3" xfId="120"/>
    <cellStyle name="40% - Accent2 3" xfId="121"/>
    <cellStyle name="20% - Accent3 3" xfId="122"/>
    <cellStyle name="40% - Accent3 3" xfId="123"/>
    <cellStyle name="20% - Accent4 3" xfId="124"/>
    <cellStyle name="40% - Accent4 3" xfId="125"/>
    <cellStyle name="20% - Accent5 3" xfId="126"/>
    <cellStyle name="40% - Accent5 3" xfId="127"/>
    <cellStyle name="20% - Accent6 3" xfId="128"/>
    <cellStyle name="40% - Accent6 3" xfId="129"/>
    <cellStyle name="Normal 52" xfId="130"/>
    <cellStyle name="20% - Accent1 2 2" xfId="131"/>
    <cellStyle name="20% - Accent1 3 2" xfId="132"/>
    <cellStyle name="20% - Accent2 2 2" xfId="133"/>
    <cellStyle name="20% - Accent2 3 2" xfId="134"/>
    <cellStyle name="20% - Accent3 2 2" xfId="135"/>
    <cellStyle name="20% - Accent3 3 2" xfId="136"/>
    <cellStyle name="20% - Accent4 2 2" xfId="137"/>
    <cellStyle name="20% - Accent4 3 2" xfId="138"/>
    <cellStyle name="20% - Accent5 2 2" xfId="139"/>
    <cellStyle name="20% - Accent5 3 2" xfId="140"/>
    <cellStyle name="20% - Accent6 2 2" xfId="141"/>
    <cellStyle name="20% - Accent6 3 2" xfId="142"/>
    <cellStyle name="40% - Accent1 2 2" xfId="143"/>
    <cellStyle name="40% - Accent1 3 2" xfId="144"/>
    <cellStyle name="40% - Accent2 2 2" xfId="145"/>
    <cellStyle name="40% - Accent2 3 2" xfId="146"/>
    <cellStyle name="40% - Accent3 2 2" xfId="147"/>
    <cellStyle name="40% - Accent3 3 2" xfId="148"/>
    <cellStyle name="40% - Accent4 2 2" xfId="149"/>
    <cellStyle name="40% - Accent4 3 2" xfId="150"/>
    <cellStyle name="40% - Accent5 2 2" xfId="151"/>
    <cellStyle name="40% - Accent5 3 2" xfId="152"/>
    <cellStyle name="40% - Accent6 2 2" xfId="153"/>
    <cellStyle name="40% - Accent6 3 2" xfId="154"/>
    <cellStyle name="60% - Accent1 2 2" xfId="155"/>
    <cellStyle name="60% - Accent1 3" xfId="156"/>
    <cellStyle name="60% - Accent2 3" xfId="157"/>
    <cellStyle name="60% - Accent3 2 2" xfId="158"/>
    <cellStyle name="60% - Accent3 3" xfId="159"/>
    <cellStyle name="60% - Accent4 2 2" xfId="160"/>
    <cellStyle name="60% - Accent4 3" xfId="161"/>
    <cellStyle name="60% - Accent5 3" xfId="162"/>
    <cellStyle name="60% - Accent6 2 2" xfId="163"/>
    <cellStyle name="60% - Accent6 3" xfId="164"/>
    <cellStyle name="Accent1 2 2" xfId="165"/>
    <cellStyle name="Accent1 3" xfId="166"/>
    <cellStyle name="Accent2 3" xfId="167"/>
    <cellStyle name="Accent3 3" xfId="168"/>
    <cellStyle name="Accent4 2 2" xfId="169"/>
    <cellStyle name="Accent4 3" xfId="170"/>
    <cellStyle name="Accent5 3" xfId="171"/>
    <cellStyle name="Accent6 3" xfId="172"/>
    <cellStyle name="Bad 3" xfId="173"/>
    <cellStyle name="Calculation 2 2" xfId="174"/>
    <cellStyle name="Calculation 3" xfId="175"/>
    <cellStyle name="Check Cell 3" xfId="176"/>
    <cellStyle name="Comma 5" xfId="177"/>
    <cellStyle name="Comma 2" xfId="178"/>
    <cellStyle name="Comma 3" xfId="179"/>
    <cellStyle name="Currency 4" xfId="180"/>
    <cellStyle name="Currency 2" xfId="181"/>
    <cellStyle name="Currency 3" xfId="182"/>
    <cellStyle name="Explanatory Text 3" xfId="183"/>
    <cellStyle name="Good 3" xfId="184"/>
    <cellStyle name="Heading 1 2 2" xfId="185"/>
    <cellStyle name="Heading 1 3" xfId="186"/>
    <cellStyle name="Heading 2 4" xfId="187"/>
    <cellStyle name="Heading 2 2 2" xfId="188"/>
    <cellStyle name="Heading 2 3" xfId="189"/>
    <cellStyle name="Heading 3 2 2" xfId="190"/>
    <cellStyle name="Heading 3 3" xfId="191"/>
    <cellStyle name="Heading 4 2 2" xfId="192"/>
    <cellStyle name="Heading 4 3" xfId="193"/>
    <cellStyle name="Hyperlink 2" xfId="194"/>
    <cellStyle name="Input 3" xfId="195"/>
    <cellStyle name="Linked Cell 3" xfId="196"/>
    <cellStyle name="Neutral 3" xfId="197"/>
    <cellStyle name="Normal 10" xfId="198"/>
    <cellStyle name="Normal 11" xfId="199"/>
    <cellStyle name="Normal 12" xfId="200"/>
    <cellStyle name="Normal 13" xfId="201"/>
    <cellStyle name="Normal 14" xfId="202"/>
    <cellStyle name="Normal 15" xfId="203"/>
    <cellStyle name="Normal 16" xfId="204"/>
    <cellStyle name="Normal 17" xfId="205"/>
    <cellStyle name="Normal 18" xfId="206"/>
    <cellStyle name="Normal 19" xfId="207"/>
    <cellStyle name="Normal 2 2" xfId="208"/>
    <cellStyle name="Normal 20" xfId="209"/>
    <cellStyle name="Normal 21" xfId="210"/>
    <cellStyle name="Normal 22" xfId="211"/>
    <cellStyle name="Normal 23" xfId="212"/>
    <cellStyle name="Normal 24" xfId="213"/>
    <cellStyle name="Normal 25" xfId="214"/>
    <cellStyle name="Normal 26" xfId="215"/>
    <cellStyle name="Normal 27" xfId="216"/>
    <cellStyle name="Normal 28" xfId="217"/>
    <cellStyle name="Normal 29" xfId="218"/>
    <cellStyle name="Normal 3 2" xfId="219"/>
    <cellStyle name="Normal 30" xfId="220"/>
    <cellStyle name="Normal 31" xfId="221"/>
    <cellStyle name="Normal 32" xfId="222"/>
    <cellStyle name="Normal 33" xfId="223"/>
    <cellStyle name="Normal 34" xfId="224"/>
    <cellStyle name="Normal 35" xfId="225"/>
    <cellStyle name="Normal 36" xfId="226"/>
    <cellStyle name="Normal 37" xfId="227"/>
    <cellStyle name="Normal 38" xfId="228"/>
    <cellStyle name="Normal 39" xfId="229"/>
    <cellStyle name="Normal 4 2" xfId="230"/>
    <cellStyle name="Normal 40" xfId="231"/>
    <cellStyle name="Normal 41" xfId="232"/>
    <cellStyle name="Normal 42" xfId="233"/>
    <cellStyle name="Normal 43" xfId="234"/>
    <cellStyle name="Normal 44" xfId="235"/>
    <cellStyle name="Normal 45" xfId="236"/>
    <cellStyle name="Normal 46" xfId="237"/>
    <cellStyle name="Normal 5 2" xfId="238"/>
    <cellStyle name="Normal 6 2" xfId="239"/>
    <cellStyle name="Normal 7 2" xfId="240"/>
    <cellStyle name="Normal 8" xfId="241"/>
    <cellStyle name="Normal 9" xfId="242"/>
    <cellStyle name="Note 5" xfId="243"/>
    <cellStyle name="Note 2 2" xfId="244"/>
    <cellStyle name="Note 3 2" xfId="245"/>
    <cellStyle name="Output 2 2" xfId="246"/>
    <cellStyle name="Output 3" xfId="247"/>
    <cellStyle name="Percent 5" xfId="248"/>
    <cellStyle name="Percent 2" xfId="249"/>
    <cellStyle name="Percent 3" xfId="250"/>
    <cellStyle name="Percent 4" xfId="251"/>
    <cellStyle name="Title 2 2" xfId="252"/>
    <cellStyle name="Title 3 2" xfId="253"/>
    <cellStyle name="Total 2 2" xfId="254"/>
    <cellStyle name="Total 3" xfId="255"/>
    <cellStyle name="Warning Text 3" xfId="256"/>
    <cellStyle name="Normal 47" xfId="257"/>
    <cellStyle name="Comma 4" xfId="258"/>
    <cellStyle name="Normal 48" xfId="259"/>
    <cellStyle name="Normal 49" xfId="260"/>
    <cellStyle name="Normal 50" xfId="261"/>
    <cellStyle name="Style 28" xfId="262"/>
    <cellStyle name="Normal 51" xfId="263"/>
    <cellStyle name="Normal 53" xfId="264"/>
    <cellStyle name="Comma 6" xfId="265"/>
    <cellStyle name="Percent 6" xfId="266"/>
    <cellStyle name="Normal 3 3" xfId="267"/>
    <cellStyle name="Normal 2 3" xfId="268"/>
    <cellStyle name="Normal_Furn" xfId="269"/>
    <cellStyle name="Normal 2 2 2" xfId="270"/>
    <cellStyle name="Comma 2 2" xfId="271"/>
    <cellStyle name="Normal 54" xfId="272"/>
    <cellStyle name="Comma 7" xfId="273"/>
    <cellStyle name="Percent 7" xfId="274"/>
  </cellStyles>
  <dxfs count="15">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Sources of Total Market</a:t>
            </a:r>
            <a:r>
              <a:rPr lang="en-US" cap="none" sz="1400" b="0" i="0" u="none" baseline="0">
                <a:solidFill>
                  <a:schemeClr val="tx1">
                    <a:lumMod val="65000"/>
                    <a:lumOff val="35000"/>
                  </a:schemeClr>
                </a:solidFill>
                <a:latin typeface="+mn-lt"/>
                <a:ea typeface="Calibri"/>
                <a:cs typeface="Calibri"/>
              </a:rPr>
              <a:t> Savings (MWh)</a:t>
            </a:r>
          </a:p>
        </c:rich>
      </c:tx>
      <c:layout/>
      <c:overlay val="0"/>
      <c:spPr>
        <a:noFill/>
        <a:ln>
          <a:noFill/>
        </a:ln>
      </c:spPr>
    </c:title>
    <c:plotArea>
      <c:layout/>
      <c:areaChart>
        <c:grouping val="stacked"/>
        <c:varyColors val="0"/>
        <c:ser>
          <c:idx val="0"/>
          <c:order val="0"/>
          <c:tx>
            <c:strRef>
              <c:f>'Tables and Graphs'!$AE$4</c:f>
              <c:strCache>
                <c:ptCount val="1"/>
                <c:pt idx="0">
                  <c:v>Program Savings (MWh)</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Graphs'!$AF$3:$AJ$3</c:f>
              <c:numCache/>
            </c:numRef>
          </c:cat>
          <c:val>
            <c:numRef>
              <c:f>'Tables and Graphs'!$AF$4:$AJ$4</c:f>
              <c:numCache/>
            </c:numRef>
          </c:val>
        </c:ser>
        <c:ser>
          <c:idx val="1"/>
          <c:order val="1"/>
          <c:tx>
            <c:strRef>
              <c:f>'Tables and Graphs'!$AE$5</c:f>
              <c:strCache>
                <c:ptCount val="1"/>
                <c:pt idx="0">
                  <c:v> Momentum Savings (MWh) </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Graphs'!$AF$3:$AJ$3</c:f>
              <c:numCache/>
            </c:numRef>
          </c:cat>
          <c:val>
            <c:numRef>
              <c:f>'Tables and Graphs'!$AF$5:$AJ$5</c:f>
              <c:numCache/>
            </c:numRef>
          </c:val>
        </c:ser>
        <c:axId val="13017980"/>
        <c:axId val="50052957"/>
      </c:areaChart>
      <c:catAx>
        <c:axId val="1301798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052957"/>
        <c:crosses val="autoZero"/>
        <c:auto val="1"/>
        <c:lblOffset val="100"/>
        <c:noMultiLvlLbl val="0"/>
      </c:catAx>
      <c:valAx>
        <c:axId val="5005295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017980"/>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'Tables and Graphs'!$AE$14</c:f>
              <c:strCache>
                <c:ptCount val="1"/>
                <c:pt idx="0">
                  <c:v>Program Savings (aMW)</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multiLvlStrRef>
              <c:f>'Tables and Graphs'!$AF$2:$AJ$3</c:f>
              <c:multiLvlStrCache/>
            </c:multiLvlStrRef>
          </c:cat>
          <c:val>
            <c:numRef>
              <c:f>'Tables and Graphs'!$AF$14:$AJ$14</c:f>
              <c:numCache/>
            </c:numRef>
          </c:val>
        </c:ser>
        <c:ser>
          <c:idx val="1"/>
          <c:order val="1"/>
          <c:tx>
            <c:strRef>
              <c:f>'Tables and Graphs'!$AE$15</c:f>
              <c:strCache>
                <c:ptCount val="1"/>
                <c:pt idx="0">
                  <c:v>Momentum Savings (aMW)</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'Tables and Graphs'!$AF$2:$AJ$3</c:f>
              <c:multiLvlStrCache/>
            </c:multiLvlStrRef>
          </c:cat>
          <c:val>
            <c:numRef>
              <c:f>'Tables and Graphs'!$AF$15:$AJ$15</c:f>
              <c:numCache/>
            </c:numRef>
          </c:val>
        </c:ser>
        <c:overlap val="100"/>
        <c:axId val="55286038"/>
        <c:axId val="27812295"/>
      </c:barChart>
      <c:catAx>
        <c:axId val="552860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812295"/>
        <c:crosses val="autoZero"/>
        <c:auto val="1"/>
        <c:lblOffset val="100"/>
        <c:noMultiLvlLbl val="0"/>
      </c:catAx>
      <c:valAx>
        <c:axId val="2781229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Total Market</a:t>
                </a:r>
                <a:r>
                  <a:rPr lang="en-US" cap="none" sz="1000" b="0" i="0" u="none" baseline="0">
                    <a:solidFill>
                      <a:schemeClr val="tx1">
                        <a:lumMod val="65000"/>
                        <a:lumOff val="35000"/>
                      </a:schemeClr>
                    </a:solidFill>
                    <a:latin typeface="+mn-lt"/>
                    <a:ea typeface="Calibri"/>
                    <a:cs typeface="Calibri"/>
                  </a:rPr>
                  <a:t> Savings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28603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'Tables and Graphs'!$X$19</c:f>
              <c:strCache>
                <c:ptCount val="1"/>
                <c:pt idx="0">
                  <c:v>Low (10%)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Graphs'!$Y$19:$AC$19</c:f>
              <c:numCache/>
            </c:numRef>
          </c:val>
          <c:smooth val="0"/>
        </c:ser>
        <c:ser>
          <c:idx val="1"/>
          <c:order val="1"/>
          <c:tx>
            <c:strRef>
              <c:f>'Tables and Graphs'!$X$20</c:f>
              <c:strCache>
                <c:ptCount val="1"/>
                <c:pt idx="0">
                  <c:v>Mid (20%)</c:v>
                </c:pt>
              </c:strCache>
            </c:strRef>
          </c:tx>
          <c:spPr>
            <a:ln w="28575" cap="rnd">
              <a:solidFill>
                <a:schemeClr val="bg1">
                  <a:lumMod val="50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Graphs'!$Y$20:$AC$20</c:f>
              <c:numCache/>
            </c:numRef>
          </c:val>
          <c:smooth val="0"/>
        </c:ser>
        <c:ser>
          <c:idx val="2"/>
          <c:order val="2"/>
          <c:tx>
            <c:strRef>
              <c:f>'Tables and Graphs'!$X$21</c:f>
              <c:strCache>
                <c:ptCount val="1"/>
                <c:pt idx="0">
                  <c:v>High (30%)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Graphs'!$Y$21:$AC$21</c:f>
              <c:numCache/>
            </c:numRef>
          </c:val>
          <c:smooth val="0"/>
        </c:ser>
        <c:ser>
          <c:idx val="3"/>
          <c:order val="3"/>
          <c:tx>
            <c:strRef>
              <c:f>'Tables and Graphs'!$X$22</c:f>
              <c:strCache>
                <c:ptCount val="1"/>
                <c:pt idx="0">
                  <c:v>Base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Graphs'!$Y$22:$AC$22</c:f>
              <c:numCache/>
            </c:numRef>
          </c:val>
          <c:smooth val="0"/>
        </c:ser>
        <c:axId val="48984064"/>
        <c:axId val="38203393"/>
      </c:lineChart>
      <c:catAx>
        <c:axId val="489840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203393"/>
        <c:crosses val="autoZero"/>
        <c:auto val="1"/>
        <c:lblOffset val="100"/>
        <c:noMultiLvlLbl val="0"/>
      </c:catAx>
      <c:valAx>
        <c:axId val="382033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98406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Conversions</a:t>
            </a:r>
          </a:p>
        </c:rich>
      </c:tx>
      <c:layout/>
      <c:overlay val="0"/>
      <c:spPr>
        <a:noFill/>
        <a:ln>
          <a:noFill/>
        </a:ln>
      </c:spPr>
    </c:title>
    <c:plotArea>
      <c:layout/>
      <c:barChart>
        <c:barDir val="col"/>
        <c:grouping val="stacked"/>
        <c:varyColors val="0"/>
        <c:ser>
          <c:idx val="0"/>
          <c:order val="0"/>
          <c:tx>
            <c:strRef>
              <c:f>'Input and Scenario Summary'!$Q$29</c:f>
              <c:strCache>
                <c:ptCount val="1"/>
                <c:pt idx="0">
                  <c:v>Forced Air Furnace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Summary'!$R$29:$V$29</c:f>
              <c:numCache/>
            </c:numRef>
          </c:val>
        </c:ser>
        <c:ser>
          <c:idx val="1"/>
          <c:order val="1"/>
          <c:tx>
            <c:strRef>
              <c:f>'Input and Scenario Summary'!$Q$30</c:f>
              <c:strCache>
                <c:ptCount val="1"/>
                <c:pt idx="0">
                  <c:v>HSPF 7.7</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Summary'!$R$30:$V$30</c:f>
              <c:numCache/>
            </c:numRef>
          </c:val>
        </c:ser>
        <c:ser>
          <c:idx val="2"/>
          <c:order val="2"/>
          <c:tx>
            <c:strRef>
              <c:f>'Input and Scenario Summary'!$Q$31</c:f>
              <c:strCache>
                <c:ptCount val="1"/>
                <c:pt idx="0">
                  <c:v>HSPF 8.5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Summary'!$R$31:$V$31</c:f>
              <c:numCache/>
            </c:numRef>
          </c:val>
        </c:ser>
        <c:ser>
          <c:idx val="3"/>
          <c:order val="3"/>
          <c:tx>
            <c:strRef>
              <c:f>'Input and Scenario Summary'!$Q$32</c:f>
              <c:strCache>
                <c:ptCount val="1"/>
                <c:pt idx="0">
                  <c:v>HSPF 9.0</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Summary'!$R$32:$V$32</c:f>
              <c:numCache/>
            </c:numRef>
          </c:val>
        </c:ser>
        <c:ser>
          <c:idx val="4"/>
          <c:order val="4"/>
          <c:tx>
            <c:strRef>
              <c:f>'Input and Scenario Summary'!$Q$33</c:f>
              <c:strCache>
                <c:ptCount val="1"/>
                <c:pt idx="0">
                  <c:v>HSPF 9.5</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Summary'!$R$33:$V$33</c:f>
              <c:numCache/>
            </c:numRef>
          </c:val>
        </c:ser>
        <c:ser>
          <c:idx val="5"/>
          <c:order val="5"/>
          <c:tx>
            <c:strRef>
              <c:f>'Input and Scenario Summary'!$Q$34</c:f>
              <c:strCache>
                <c:ptCount val="1"/>
                <c:pt idx="0">
                  <c:v>HSPF 10.0</c:v>
                </c:pt>
              </c:strCache>
            </c:strRef>
          </c:tx>
          <c:spPr>
            <a:solidFill>
              <a:schemeClr val="accent6"/>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Summary'!$R$34:$V$34</c:f>
              <c:numCache/>
            </c:numRef>
          </c:val>
        </c:ser>
        <c:ser>
          <c:idx val="6"/>
          <c:order val="6"/>
          <c:tx>
            <c:strRef>
              <c:f>'Input and Scenario Summary'!$Q$35</c:f>
              <c:strCache>
                <c:ptCount val="1"/>
                <c:pt idx="0">
                  <c:v>HSPF 10.5</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Summary'!$R$35:$V$35</c:f>
              <c:numCache/>
            </c:numRef>
          </c:val>
        </c:ser>
        <c:ser>
          <c:idx val="7"/>
          <c:order val="7"/>
          <c:tx>
            <c:strRef>
              <c:f>'Input and Scenario Summary'!$Q$36</c:f>
              <c:strCache>
                <c:ptCount val="1"/>
                <c:pt idx="0">
                  <c:v>HSPF 11.5</c:v>
                </c:pt>
              </c:strCache>
            </c:strRef>
          </c:tx>
          <c:spPr>
            <a:solidFill>
              <a:schemeClr val="accent2">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Summary'!$R$36:$V$36</c:f>
              <c:numCache/>
            </c:numRef>
          </c:val>
        </c:ser>
        <c:overlap val="100"/>
        <c:axId val="8286218"/>
        <c:axId val="7467099"/>
      </c:barChart>
      <c:catAx>
        <c:axId val="828621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467099"/>
        <c:crosses val="autoZero"/>
        <c:auto val="1"/>
        <c:lblOffset val="100"/>
        <c:noMultiLvlLbl val="0"/>
      </c:catAx>
      <c:valAx>
        <c:axId val="7467099"/>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28621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a:t>
            </a:r>
            <a:r>
              <a:rPr lang="en-US" cap="none" sz="1400" b="0" i="0" u="none" baseline="0">
                <a:solidFill>
                  <a:schemeClr val="tx1">
                    <a:lumMod val="65000"/>
                    <a:lumOff val="35000"/>
                  </a:schemeClr>
                </a:solidFill>
                <a:latin typeface="+mn-lt"/>
                <a:ea typeface="Calibri"/>
                <a:cs typeface="Calibri"/>
              </a:rPr>
              <a:t> Mix - Upgrades</a:t>
            </a:r>
          </a:p>
        </c:rich>
      </c:tx>
      <c:layout/>
      <c:overlay val="0"/>
      <c:spPr>
        <a:noFill/>
        <a:ln>
          <a:noFill/>
        </a:ln>
      </c:spPr>
    </c:title>
    <c:plotArea>
      <c:layout/>
      <c:barChart>
        <c:barDir val="col"/>
        <c:grouping val="stacked"/>
        <c:varyColors val="0"/>
        <c:ser>
          <c:idx val="0"/>
          <c:order val="0"/>
          <c:tx>
            <c:strRef>
              <c:f>'Input and Scenario Summary'!$Q$52</c:f>
              <c:strCache>
                <c:ptCount val="1"/>
                <c:pt idx="0">
                  <c:v>HSPF 7.7</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Summary'!$R$52:$V$52</c:f>
              <c:numCache/>
            </c:numRef>
          </c:val>
        </c:ser>
        <c:ser>
          <c:idx val="1"/>
          <c:order val="1"/>
          <c:tx>
            <c:strRef>
              <c:f>'Input and Scenario Summary'!$Q$53</c:f>
              <c:strCache>
                <c:ptCount val="1"/>
                <c:pt idx="0">
                  <c:v>HSPF 8.5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Summary'!$R$53:$V$53</c:f>
              <c:numCache/>
            </c:numRef>
          </c:val>
        </c:ser>
        <c:ser>
          <c:idx val="2"/>
          <c:order val="2"/>
          <c:tx>
            <c:strRef>
              <c:f>'Input and Scenario Summary'!$Q$54</c:f>
              <c:strCache>
                <c:ptCount val="1"/>
                <c:pt idx="0">
                  <c:v>HSPF 9.0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Summary'!$R$54:$V$54</c:f>
              <c:numCache/>
            </c:numRef>
          </c:val>
        </c:ser>
        <c:ser>
          <c:idx val="3"/>
          <c:order val="3"/>
          <c:tx>
            <c:strRef>
              <c:f>'Input and Scenario Summary'!$Q$55</c:f>
              <c:strCache>
                <c:ptCount val="1"/>
                <c:pt idx="0">
                  <c:v>HSPF 9.5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Summary'!$R$55:$V$55</c:f>
              <c:numCache/>
            </c:numRef>
          </c:val>
        </c:ser>
        <c:ser>
          <c:idx val="4"/>
          <c:order val="4"/>
          <c:tx>
            <c:strRef>
              <c:f>'Input and Scenario Summary'!$Q$56</c:f>
              <c:strCache>
                <c:ptCount val="1"/>
                <c:pt idx="0">
                  <c:v>HSPF 10.0</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Summary'!$R$56:$V$56</c:f>
              <c:numCache/>
            </c:numRef>
          </c:val>
        </c:ser>
        <c:ser>
          <c:idx val="5"/>
          <c:order val="5"/>
          <c:tx>
            <c:strRef>
              <c:f>'Input and Scenario Summary'!$Q$57</c:f>
              <c:strCache>
                <c:ptCount val="1"/>
                <c:pt idx="0">
                  <c:v>HSPF 10.5</c:v>
                </c:pt>
              </c:strCache>
            </c:strRef>
          </c:tx>
          <c:spPr>
            <a:solidFill>
              <a:schemeClr val="accent6"/>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Summary'!$R$57:$V$57</c:f>
              <c:numCache/>
            </c:numRef>
          </c:val>
        </c:ser>
        <c:ser>
          <c:idx val="6"/>
          <c:order val="6"/>
          <c:tx>
            <c:strRef>
              <c:f>'Input and Scenario Summary'!$Q$58</c:f>
              <c:strCache>
                <c:ptCount val="1"/>
                <c:pt idx="0">
                  <c:v>HSPF 11.5</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Summary'!$R$58:$V$58</c:f>
              <c:numCache/>
            </c:numRef>
          </c:val>
        </c:ser>
        <c:overlap val="100"/>
        <c:axId val="95028"/>
        <c:axId val="855253"/>
      </c:barChart>
      <c:catAx>
        <c:axId val="9502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55253"/>
        <c:crosses val="autoZero"/>
        <c:auto val="1"/>
        <c:lblOffset val="100"/>
        <c:noMultiLvlLbl val="0"/>
      </c:catAx>
      <c:valAx>
        <c:axId val="855253"/>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502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ASHP Sales Comparison</a:t>
            </a:r>
          </a:p>
        </c:rich>
      </c:tx>
      <c:layout/>
      <c:overlay val="0"/>
      <c:spPr>
        <a:noFill/>
        <a:ln>
          <a:noFill/>
        </a:ln>
      </c:spPr>
    </c:title>
    <c:plotArea>
      <c:layout/>
      <c:lineChart>
        <c:grouping val="standard"/>
        <c:varyColors val="0"/>
        <c:ser>
          <c:idx val="0"/>
          <c:order val="0"/>
          <c:tx>
            <c:strRef>
              <c:f>'Input and Scenario Summary'!$H$51</c:f>
              <c:strCache>
                <c:ptCount val="1"/>
                <c:pt idx="0">
                  <c:v>Stock Turnover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'Air Source Heat Pump'!$BW$76:$BW$80</c:f>
              <c:numCache/>
            </c:numRef>
          </c:cat>
          <c:val>
            <c:numRef>
              <c:f>'Air Source Heat Pump'!$BX$76:$BX$80</c:f>
              <c:numCache/>
            </c:numRef>
          </c:val>
          <c:smooth val="0"/>
        </c:ser>
        <c:ser>
          <c:idx val="1"/>
          <c:order val="1"/>
          <c:tx>
            <c:strRef>
              <c:f>'Input and Scenario Summary'!$H$50</c:f>
              <c:strCache>
                <c:ptCount val="1"/>
                <c:pt idx="0">
                  <c:v>AHRI</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'Air Source Heat Pump'!$BW$76:$BW$80</c:f>
              <c:numCache/>
            </c:numRef>
          </c:cat>
          <c:val>
            <c:numRef>
              <c:f>'Air Source Heat Pump'!$BY$76:$BY$80</c:f>
              <c:numCache/>
            </c:numRef>
          </c:val>
          <c:smooth val="0"/>
        </c:ser>
        <c:axId val="7697278"/>
        <c:axId val="2166639"/>
      </c:lineChart>
      <c:catAx>
        <c:axId val="769727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66639"/>
        <c:crosses val="autoZero"/>
        <c:auto val="1"/>
        <c:lblOffset val="100"/>
        <c:noMultiLvlLbl val="0"/>
      </c:catAx>
      <c:valAx>
        <c:axId val="216663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ASHP Sales (Number of Units)</a:t>
                </a:r>
              </a:p>
            </c:rich>
          </c:tx>
          <c:layout>
            <c:manualLayout>
              <c:xMode val="edge"/>
              <c:yMode val="edge"/>
              <c:x val="0.0195"/>
              <c:y val="0.117"/>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69727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Conversions - HSPF&gt;9.0</a:t>
            </a:r>
          </a:p>
        </c:rich>
      </c:tx>
      <c:layout/>
      <c:overlay val="0"/>
      <c:spPr>
        <a:noFill/>
        <a:ln>
          <a:noFill/>
        </a:ln>
      </c:spPr>
    </c:title>
    <c:plotArea>
      <c:layout/>
      <c:barChart>
        <c:barDir val="col"/>
        <c:grouping val="stacked"/>
        <c:varyColors val="0"/>
        <c:ser>
          <c:idx val="0"/>
          <c:order val="0"/>
          <c:tx>
            <c:strRef>
              <c:f>'Input and Scenario Summary'!$Q$32</c:f>
              <c:strCache>
                <c:ptCount val="1"/>
                <c:pt idx="0">
                  <c:v>HSPF 9.0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Summary'!$R$32:$V$32</c:f>
              <c:numCache/>
            </c:numRef>
          </c:val>
        </c:ser>
        <c:ser>
          <c:idx val="1"/>
          <c:order val="1"/>
          <c:tx>
            <c:strRef>
              <c:f>'Input and Scenario Summary'!$Q$33</c:f>
              <c:strCache>
                <c:ptCount val="1"/>
                <c:pt idx="0">
                  <c:v>HSPF 9.5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Summary'!$R$33:$V$33</c:f>
              <c:numCache/>
            </c:numRef>
          </c:val>
        </c:ser>
        <c:ser>
          <c:idx val="2"/>
          <c:order val="2"/>
          <c:tx>
            <c:strRef>
              <c:f>'Input and Scenario Summary'!$Q$34</c:f>
              <c:strCache>
                <c:ptCount val="1"/>
                <c:pt idx="0">
                  <c:v>HSPF 10.0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Summary'!$R$34:$V$34</c:f>
              <c:numCache/>
            </c:numRef>
          </c:val>
        </c:ser>
        <c:ser>
          <c:idx val="3"/>
          <c:order val="3"/>
          <c:tx>
            <c:strRef>
              <c:f>'Input and Scenario Summary'!$Q$35</c:f>
              <c:strCache>
                <c:ptCount val="1"/>
                <c:pt idx="0">
                  <c:v>HSPF 10.5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Summary'!$R$35:$V$35</c:f>
              <c:numCache/>
            </c:numRef>
          </c:val>
        </c:ser>
        <c:ser>
          <c:idx val="4"/>
          <c:order val="4"/>
          <c:tx>
            <c:strRef>
              <c:f>'Input and Scenario Summary'!$Q$36</c:f>
              <c:strCache>
                <c:ptCount val="1"/>
                <c:pt idx="0">
                  <c:v>HSPF 11.5</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Summary'!$R$36:$V$36</c:f>
              <c:numCache/>
            </c:numRef>
          </c:val>
        </c:ser>
        <c:overlap val="100"/>
        <c:axId val="19499752"/>
        <c:axId val="41280041"/>
      </c:barChart>
      <c:catAx>
        <c:axId val="1949975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280041"/>
        <c:crosses val="autoZero"/>
        <c:auto val="1"/>
        <c:lblOffset val="100"/>
        <c:noMultiLvlLbl val="0"/>
      </c:catAx>
      <c:valAx>
        <c:axId val="4128004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49975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Upgrades - HSPF&gt;9.0</a:t>
            </a:r>
          </a:p>
        </c:rich>
      </c:tx>
      <c:layout/>
      <c:overlay val="0"/>
      <c:spPr>
        <a:noFill/>
        <a:ln>
          <a:noFill/>
        </a:ln>
      </c:spPr>
    </c:title>
    <c:plotArea>
      <c:layout/>
      <c:barChart>
        <c:barDir val="col"/>
        <c:grouping val="stacked"/>
        <c:varyColors val="0"/>
        <c:ser>
          <c:idx val="0"/>
          <c:order val="0"/>
          <c:tx>
            <c:strRef>
              <c:f>'Input and Scenario Summary'!$Q$54</c:f>
              <c:strCache>
                <c:ptCount val="1"/>
                <c:pt idx="0">
                  <c:v>HSPF 9.0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Summary'!$R$54:$V$54</c:f>
              <c:numCache/>
            </c:numRef>
          </c:val>
        </c:ser>
        <c:ser>
          <c:idx val="1"/>
          <c:order val="1"/>
          <c:tx>
            <c:strRef>
              <c:f>'Input and Scenario Summary'!$Q$55</c:f>
              <c:strCache>
                <c:ptCount val="1"/>
                <c:pt idx="0">
                  <c:v>HSPF 9.5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Summary'!$R$55:$V$55</c:f>
              <c:numCache/>
            </c:numRef>
          </c:val>
        </c:ser>
        <c:ser>
          <c:idx val="2"/>
          <c:order val="2"/>
          <c:tx>
            <c:strRef>
              <c:f>'Input and Scenario Summary'!$Q$56</c:f>
              <c:strCache>
                <c:ptCount val="1"/>
                <c:pt idx="0">
                  <c:v>HSPF 10.0</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Summary'!$R$56:$V$56</c:f>
              <c:numCache/>
            </c:numRef>
          </c:val>
        </c:ser>
        <c:ser>
          <c:idx val="3"/>
          <c:order val="3"/>
          <c:tx>
            <c:strRef>
              <c:f>'Input and Scenario Summary'!$Q$57</c:f>
              <c:strCache>
                <c:ptCount val="1"/>
                <c:pt idx="0">
                  <c:v>HSPF 10.5</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Summary'!$R$57:$V$57</c:f>
              <c:numCache/>
            </c:numRef>
          </c:val>
        </c:ser>
        <c:ser>
          <c:idx val="4"/>
          <c:order val="4"/>
          <c:tx>
            <c:strRef>
              <c:f>'Input and Scenario Summary'!$Q$58</c:f>
              <c:strCache>
                <c:ptCount val="1"/>
                <c:pt idx="0">
                  <c:v>HSPF 11.5</c:v>
                </c:pt>
              </c:strCache>
            </c:strRef>
          </c:tx>
          <c:spPr>
            <a:solidFill>
              <a:schemeClr val="tx2">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Summary'!$R$58:$V$58</c:f>
              <c:numCache/>
            </c:numRef>
          </c:val>
        </c:ser>
        <c:overlap val="100"/>
        <c:axId val="35976050"/>
        <c:axId val="55348995"/>
      </c:barChart>
      <c:catAx>
        <c:axId val="3597605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348995"/>
        <c:crosses val="autoZero"/>
        <c:auto val="1"/>
        <c:lblOffset val="100"/>
        <c:noMultiLvlLbl val="0"/>
      </c:catAx>
      <c:valAx>
        <c:axId val="5534899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97605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Total Units Shipped By Efficiency Level - BaseCase</a:t>
            </a:r>
          </a:p>
        </c:rich>
      </c:tx>
      <c:layout/>
      <c:overlay val="0"/>
      <c:spPr>
        <a:noFill/>
        <a:ln>
          <a:noFill/>
        </a:ln>
      </c:spPr>
    </c:title>
    <c:plotArea>
      <c:layout/>
      <c:barChart>
        <c:barDir val="col"/>
        <c:grouping val="stacked"/>
        <c:varyColors val="0"/>
        <c:ser>
          <c:idx val="0"/>
          <c:order val="0"/>
          <c:tx>
            <c:strRef>
              <c:f>'Market Size'!$S$53</c:f>
              <c:strCache>
                <c:ptCount val="1"/>
                <c:pt idx="0">
                  <c:v>Forced Air Furnace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Size'!$T$53:$X$53</c:f>
              <c:numCache/>
            </c:numRef>
          </c:val>
        </c:ser>
        <c:ser>
          <c:idx val="1"/>
          <c:order val="1"/>
          <c:tx>
            <c:strRef>
              <c:f>'Market Size'!$S$54</c:f>
              <c:strCache>
                <c:ptCount val="1"/>
                <c:pt idx="0">
                  <c:v>HSPF 7.7</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Size'!$T$54:$X$54</c:f>
              <c:numCache/>
            </c:numRef>
          </c:val>
        </c:ser>
        <c:ser>
          <c:idx val="2"/>
          <c:order val="2"/>
          <c:tx>
            <c:strRef>
              <c:f>'Market Size'!$S$55</c:f>
              <c:strCache>
                <c:ptCount val="1"/>
                <c:pt idx="0">
                  <c:v>HSPF 8.5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Size'!$T$55:$X$55</c:f>
              <c:numCache/>
            </c:numRef>
          </c:val>
        </c:ser>
        <c:ser>
          <c:idx val="3"/>
          <c:order val="3"/>
          <c:tx>
            <c:strRef>
              <c:f>'Market Size'!$S$56</c:f>
              <c:strCache>
                <c:ptCount val="1"/>
                <c:pt idx="0">
                  <c:v>HSPF 9.0</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Size'!$T$56:$X$56</c:f>
              <c:numCache/>
            </c:numRef>
          </c:val>
        </c:ser>
        <c:overlap val="100"/>
        <c:axId val="28378908"/>
        <c:axId val="54083581"/>
      </c:barChart>
      <c:catAx>
        <c:axId val="2837890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083581"/>
        <c:crosses val="autoZero"/>
        <c:auto val="1"/>
        <c:lblOffset val="100"/>
        <c:noMultiLvlLbl val="0"/>
      </c:catAx>
      <c:valAx>
        <c:axId val="5408358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HVAC Units Sold</a:t>
                </a:r>
              </a:p>
            </c:rich>
          </c:tx>
          <c:layout>
            <c:manualLayout>
              <c:xMode val="edge"/>
              <c:yMode val="edge"/>
              <c:x val="0.0195"/>
              <c:y val="0.218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37890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Total Units Shipped By Efficiency Level - Actual Case</a:t>
            </a:r>
          </a:p>
        </c:rich>
      </c:tx>
      <c:layout/>
      <c:overlay val="0"/>
      <c:spPr>
        <a:noFill/>
        <a:ln>
          <a:noFill/>
        </a:ln>
      </c:spPr>
    </c:title>
    <c:plotArea>
      <c:layout/>
      <c:areaChart>
        <c:grouping val="stacked"/>
        <c:varyColors val="0"/>
        <c:ser>
          <c:idx val="0"/>
          <c:order val="0"/>
          <c:tx>
            <c:strRef>
              <c:f>'Market Size'!$AA$53</c:f>
              <c:strCache>
                <c:ptCount val="1"/>
                <c:pt idx="0">
                  <c:v>Forced Air Furnace</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Size'!$AB$53:$AF$53</c:f>
              <c:numCache/>
            </c:numRef>
          </c:val>
        </c:ser>
        <c:ser>
          <c:idx val="1"/>
          <c:order val="1"/>
          <c:tx>
            <c:strRef>
              <c:f>'Market Size'!$AA$54</c:f>
              <c:strCache>
                <c:ptCount val="1"/>
                <c:pt idx="0">
                  <c:v>HSPF 7.7</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Size'!$AB$54:$AF$54</c:f>
              <c:numCache/>
            </c:numRef>
          </c:val>
        </c:ser>
        <c:ser>
          <c:idx val="2"/>
          <c:order val="2"/>
          <c:tx>
            <c:strRef>
              <c:f>'Market Size'!$AA$55</c:f>
              <c:strCache>
                <c:ptCount val="1"/>
                <c:pt idx="0">
                  <c:v>HSPF 8.5</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Size'!$AB$55:$AF$55</c:f>
              <c:numCache/>
            </c:numRef>
          </c:val>
        </c:ser>
        <c:ser>
          <c:idx val="3"/>
          <c:order val="3"/>
          <c:tx>
            <c:strRef>
              <c:f>'Market Size'!$AA$56</c:f>
              <c:strCache>
                <c:ptCount val="1"/>
                <c:pt idx="0">
                  <c:v>HSPF 9.0</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Size'!$AB$56:$AF$56</c:f>
              <c:numCache/>
            </c:numRef>
          </c:val>
        </c:ser>
        <c:ser>
          <c:idx val="4"/>
          <c:order val="4"/>
          <c:tx>
            <c:strRef>
              <c:f>'Market Size'!$AA$57</c:f>
              <c:strCache>
                <c:ptCount val="1"/>
                <c:pt idx="0">
                  <c:v>HSPF 9.5</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Size'!$AB$57:$AF$57</c:f>
              <c:numCache/>
            </c:numRef>
          </c:val>
        </c:ser>
        <c:ser>
          <c:idx val="5"/>
          <c:order val="5"/>
          <c:tx>
            <c:strRef>
              <c:f>'Market Size'!$AA$58</c:f>
              <c:strCache>
                <c:ptCount val="1"/>
                <c:pt idx="0">
                  <c:v>HSPF 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Size'!$AB$58:$AF$58</c:f>
              <c:numCache/>
            </c:numRef>
          </c:val>
        </c:ser>
        <c:ser>
          <c:idx val="6"/>
          <c:order val="6"/>
          <c:tx>
            <c:strRef>
              <c:f>'Market Size'!$AA$59</c:f>
              <c:strCache>
                <c:ptCount val="1"/>
                <c:pt idx="0">
                  <c:v>HSPF 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Size'!$AB$59:$AF$59</c:f>
              <c:numCache/>
            </c:numRef>
          </c:val>
        </c:ser>
        <c:ser>
          <c:idx val="7"/>
          <c:order val="7"/>
          <c:tx>
            <c:strRef>
              <c:f>'Market Size'!$AA$60</c:f>
              <c:strCache>
                <c:ptCount val="1"/>
                <c:pt idx="0">
                  <c:v>HSPF 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Size'!$AB$60:$AF$60</c:f>
              <c:numCache/>
            </c:numRef>
          </c:val>
        </c:ser>
        <c:axId val="16990182"/>
        <c:axId val="18693911"/>
      </c:areaChart>
      <c:catAx>
        <c:axId val="1699018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693911"/>
        <c:crosses val="autoZero"/>
        <c:auto val="1"/>
        <c:lblOffset val="100"/>
        <c:noMultiLvlLbl val="0"/>
      </c:catAx>
      <c:valAx>
        <c:axId val="1869391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HVAC Units Shipped</a:t>
                </a:r>
              </a:p>
            </c:rich>
          </c:tx>
          <c:layout>
            <c:manualLayout>
              <c:xMode val="edge"/>
              <c:yMode val="edge"/>
              <c:x val="0.01675"/>
              <c:y val="0.213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990182"/>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Baseline, Actual,</a:t>
            </a:r>
            <a:r>
              <a:rPr lang="en-US" cap="none" sz="1400" b="0" i="0" u="none" baseline="0">
                <a:solidFill>
                  <a:schemeClr val="tx1">
                    <a:lumMod val="65000"/>
                    <a:lumOff val="35000"/>
                  </a:schemeClr>
                </a:solidFill>
                <a:latin typeface="+mn-lt"/>
                <a:ea typeface="Calibri"/>
                <a:cs typeface="Calibri"/>
              </a:rPr>
              <a:t> Consumption, and Total Savings</a:t>
            </a:r>
          </a:p>
        </c:rich>
      </c:tx>
      <c:layout/>
      <c:overlay val="0"/>
      <c:spPr>
        <a:noFill/>
        <a:ln>
          <a:noFill/>
        </a:ln>
      </c:spPr>
    </c:title>
    <c:plotArea>
      <c:layout/>
      <c:barChart>
        <c:barDir val="col"/>
        <c:grouping val="clustered"/>
        <c:varyColors val="0"/>
        <c:ser>
          <c:idx val="0"/>
          <c:order val="0"/>
          <c:tx>
            <c:strRef>
              <c:f>'Total Market Consumption'!$AN$30</c:f>
              <c:strCache>
                <c:ptCount val="1"/>
                <c:pt idx="0">
                  <c:v>Base Market Consumption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Consumption'!$AP$30:$AT$30</c:f>
              <c:numCache/>
            </c:numRef>
          </c:val>
        </c:ser>
        <c:ser>
          <c:idx val="1"/>
          <c:order val="1"/>
          <c:tx>
            <c:strRef>
              <c:f>'Total Market Consumption'!$AN$31</c:f>
              <c:strCache>
                <c:ptCount val="1"/>
                <c:pt idx="0">
                  <c:v>Actual Market Consumption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Consumption'!$AP$31:$AT$31</c:f>
              <c:numCache/>
            </c:numRef>
          </c:val>
        </c:ser>
        <c:overlap val="-27"/>
        <c:gapWidth val="219"/>
        <c:axId val="34027472"/>
        <c:axId val="37811793"/>
      </c:barChart>
      <c:lineChart>
        <c:grouping val="standard"/>
        <c:varyColors val="0"/>
        <c:ser>
          <c:idx val="2"/>
          <c:order val="2"/>
          <c:tx>
            <c:strRef>
              <c:f>'Total Market Consumption'!$AO$35</c:f>
              <c:strCache>
                <c:ptCount val="1"/>
                <c:pt idx="0">
                  <c:v>Total Market Savings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'Total Market Consumption'!$AP$35:$AT$35</c:f>
              <c:numCache/>
            </c:numRef>
          </c:val>
          <c:smooth val="0"/>
        </c:ser>
        <c:axId val="4761818"/>
        <c:axId val="42856363"/>
      </c:lineChart>
      <c:catAx>
        <c:axId val="340274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811793"/>
        <c:crosses val="autoZero"/>
        <c:auto val="1"/>
        <c:lblOffset val="100"/>
        <c:noMultiLvlLbl val="0"/>
      </c:catAx>
      <c:valAx>
        <c:axId val="378117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Consumption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027472"/>
        <c:crosses val="autoZero"/>
        <c:crossBetween val="between"/>
        <c:dispUnits/>
      </c:valAx>
      <c:catAx>
        <c:axId val="4761818"/>
        <c:scaling>
          <c:orientation val="minMax"/>
        </c:scaling>
        <c:axPos val="b"/>
        <c:delete val="1"/>
        <c:majorTickMark val="out"/>
        <c:minorTickMark val="none"/>
        <c:tickLblPos val="nextTo"/>
        <c:crossAx val="42856363"/>
        <c:crosses val="autoZero"/>
        <c:auto val="1"/>
        <c:lblOffset val="100"/>
        <c:noMultiLvlLbl val="0"/>
      </c:catAx>
      <c:valAx>
        <c:axId val="4285636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Savings (MWh)</a:t>
                </a:r>
              </a:p>
            </c:rich>
          </c:tx>
          <c:layout/>
          <c:overlay val="0"/>
          <c:spPr>
            <a:noFill/>
            <a:ln>
              <a:noFill/>
            </a:ln>
          </c:spPr>
        </c:title>
        <c:delete val="0"/>
        <c:numFmt formatCode="_(* #,##0_);_(* \(#,##0\);_(* &quot;-&quot;??_);_(@_)"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61818"/>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Total Market Consumption (MWh)</a:t>
            </a:r>
          </a:p>
        </c:rich>
      </c:tx>
      <c:layout/>
      <c:overlay val="0"/>
      <c:spPr>
        <a:noFill/>
        <a:ln>
          <a:noFill/>
        </a:ln>
      </c:spPr>
    </c:title>
    <c:plotArea>
      <c:layout/>
      <c:lineChart>
        <c:grouping val="standard"/>
        <c:varyColors val="0"/>
        <c:ser>
          <c:idx val="0"/>
          <c:order val="0"/>
          <c:tx>
            <c:strRef>
              <c:f>'Tables and Graphs'!$AE$9</c:f>
              <c:strCache>
                <c:ptCount val="1"/>
                <c:pt idx="0">
                  <c:v>Base Market Consumption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Graphs'!$AF$8:$AJ$8</c:f>
              <c:numCache/>
            </c:numRef>
          </c:cat>
          <c:val>
            <c:numRef>
              <c:f>'Tables and Graphs'!$AF$9:$AJ$9</c:f>
              <c:numCache/>
            </c:numRef>
          </c:val>
          <c:smooth val="0"/>
        </c:ser>
        <c:ser>
          <c:idx val="1"/>
          <c:order val="1"/>
          <c:tx>
            <c:strRef>
              <c:f>'Tables and Graphs'!$AE$10</c:f>
              <c:strCache>
                <c:ptCount val="1"/>
                <c:pt idx="0">
                  <c:v> Actual Market Consumption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Graphs'!$AF$8:$AJ$8</c:f>
              <c:numCache/>
            </c:numRef>
          </c:cat>
          <c:val>
            <c:numRef>
              <c:f>'Tables and Graphs'!$AF$10:$AJ$10</c:f>
              <c:numCache/>
            </c:numRef>
          </c:val>
          <c:smooth val="0"/>
        </c:ser>
        <c:axId val="47823430"/>
        <c:axId val="27757687"/>
      </c:lineChart>
      <c:catAx>
        <c:axId val="478234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757687"/>
        <c:crosses val="autoZero"/>
        <c:auto val="1"/>
        <c:lblOffset val="100"/>
        <c:noMultiLvlLbl val="0"/>
      </c:catAx>
      <c:valAx>
        <c:axId val="2775768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82343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Actual Market Consumption by Year</a:t>
            </a:r>
          </a:p>
        </c:rich>
      </c:tx>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Savings'!$T$6:$X$6</c:f>
              <c:numCache/>
            </c:numRef>
          </c:cat>
          <c:val>
            <c:numRef>
              <c:f>'Total Market Savings'!$T$7:$X$7</c:f>
              <c:numCache/>
            </c:numRef>
          </c:val>
        </c:ser>
        <c:overlap val="-27"/>
        <c:gapWidth val="219"/>
        <c:axId val="50162948"/>
        <c:axId val="48813349"/>
      </c:barChart>
      <c:catAx>
        <c:axId val="501629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813349"/>
        <c:crosses val="autoZero"/>
        <c:auto val="1"/>
        <c:lblOffset val="100"/>
        <c:noMultiLvlLbl val="0"/>
      </c:catAx>
      <c:valAx>
        <c:axId val="48813349"/>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16294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Baseline Market Consumption by Year</a:t>
            </a:r>
          </a:p>
        </c:rich>
      </c:tx>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Consumption'!$AP$30:$AT$30</c:f>
              <c:numCache/>
            </c:numRef>
          </c:val>
        </c:ser>
        <c:overlap val="-27"/>
        <c:gapWidth val="219"/>
        <c:axId val="36666958"/>
        <c:axId val="61567167"/>
      </c:barChart>
      <c:catAx>
        <c:axId val="366669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567167"/>
        <c:crosses val="autoZero"/>
        <c:auto val="1"/>
        <c:lblOffset val="100"/>
        <c:noMultiLvlLbl val="0"/>
      </c:catAx>
      <c:valAx>
        <c:axId val="61567167"/>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66695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Baseline</a:t>
            </a:r>
            <a:r>
              <a:rPr lang="en-US" cap="none" sz="1400" b="0" i="0" u="none" baseline="0">
                <a:solidFill>
                  <a:schemeClr val="tx1">
                    <a:lumMod val="65000"/>
                    <a:lumOff val="35000"/>
                  </a:schemeClr>
                </a:solidFill>
                <a:latin typeface="+mn-lt"/>
                <a:ea typeface="Calibri"/>
                <a:cs typeface="Calibri"/>
              </a:rPr>
              <a:t> and </a:t>
            </a:r>
            <a:r>
              <a:rPr lang="en-US" cap="none" sz="1400" b="0" i="0" u="none" baseline="0">
                <a:solidFill>
                  <a:schemeClr val="tx1">
                    <a:lumMod val="65000"/>
                    <a:lumOff val="35000"/>
                  </a:schemeClr>
                </a:solidFill>
                <a:latin typeface="+mn-lt"/>
                <a:ea typeface="Calibri"/>
                <a:cs typeface="Calibri"/>
              </a:rPr>
              <a:t>Actual</a:t>
            </a:r>
            <a:r>
              <a:rPr lang="en-US" cap="none" sz="1400" b="0" i="0" u="none" baseline="0">
                <a:solidFill>
                  <a:schemeClr val="tx1">
                    <a:lumMod val="65000"/>
                    <a:lumOff val="35000"/>
                  </a:schemeClr>
                </a:solidFill>
                <a:latin typeface="+mn-lt"/>
                <a:ea typeface="Calibri"/>
                <a:cs typeface="Calibri"/>
              </a:rPr>
              <a:t> Consumption, and Total Market Savings</a:t>
            </a:r>
          </a:p>
        </c:rich>
      </c:tx>
      <c:layout/>
      <c:overlay val="0"/>
      <c:spPr>
        <a:noFill/>
        <a:ln>
          <a:noFill/>
        </a:ln>
      </c:spPr>
    </c:title>
    <c:plotArea>
      <c:layout/>
      <c:barChart>
        <c:barDir val="col"/>
        <c:grouping val="clustered"/>
        <c:varyColors val="0"/>
        <c:ser>
          <c:idx val="0"/>
          <c:order val="0"/>
          <c:tx>
            <c:strRef>
              <c:f>'Total Market Consumption'!$AN$30</c:f>
              <c:strCache>
                <c:ptCount val="1"/>
                <c:pt idx="0">
                  <c:v>Base Market Consumption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Consumption'!$AX$30:$BB$30</c:f>
              <c:numCache/>
            </c:numRef>
          </c:val>
        </c:ser>
        <c:ser>
          <c:idx val="1"/>
          <c:order val="1"/>
          <c:tx>
            <c:strRef>
              <c:f>'Total Market Consumption'!$AN$31</c:f>
              <c:strCache>
                <c:ptCount val="1"/>
                <c:pt idx="0">
                  <c:v>Actual Market Consumption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Consumption'!$AX$31:$BB$31</c:f>
              <c:numCache/>
            </c:numRef>
          </c:val>
        </c:ser>
        <c:overlap val="-27"/>
        <c:gapWidth val="219"/>
        <c:axId val="17233592"/>
        <c:axId val="20884601"/>
      </c:barChart>
      <c:lineChart>
        <c:grouping val="standard"/>
        <c:varyColors val="0"/>
        <c:ser>
          <c:idx val="2"/>
          <c:order val="2"/>
          <c:tx>
            <c:strRef>
              <c:f>'Total Market Consumption'!$AO$35</c:f>
              <c:strCache>
                <c:ptCount val="1"/>
                <c:pt idx="0">
                  <c:v>Total Market Savings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'Total Market Consumption'!$AX$35:$BB$35</c:f>
              <c:numCache/>
            </c:numRef>
          </c:val>
          <c:smooth val="0"/>
        </c:ser>
        <c:axId val="53743682"/>
        <c:axId val="13931091"/>
      </c:lineChart>
      <c:catAx>
        <c:axId val="172335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884601"/>
        <c:crosses val="autoZero"/>
        <c:auto val="1"/>
        <c:lblOffset val="100"/>
        <c:noMultiLvlLbl val="0"/>
      </c:catAx>
      <c:valAx>
        <c:axId val="2088460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Market</a:t>
                </a:r>
                <a:r>
                  <a:rPr lang="en-US" cap="none" sz="1000" b="0" i="0" u="none" baseline="0">
                    <a:solidFill>
                      <a:schemeClr val="tx1">
                        <a:lumMod val="65000"/>
                        <a:lumOff val="35000"/>
                      </a:schemeClr>
                    </a:solidFill>
                    <a:latin typeface="+mn-lt"/>
                    <a:ea typeface="Calibri"/>
                    <a:cs typeface="Calibri"/>
                  </a:rPr>
                  <a:t> Consumption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_);_(* \(#,##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233592"/>
        <c:crosses val="autoZero"/>
        <c:crossBetween val="between"/>
        <c:dispUnits/>
      </c:valAx>
      <c:catAx>
        <c:axId val="53743682"/>
        <c:scaling>
          <c:orientation val="minMax"/>
        </c:scaling>
        <c:axPos val="b"/>
        <c:delete val="1"/>
        <c:majorTickMark val="out"/>
        <c:minorTickMark val="none"/>
        <c:tickLblPos val="nextTo"/>
        <c:crossAx val="13931091"/>
        <c:crosses val="autoZero"/>
        <c:auto val="1"/>
        <c:lblOffset val="100"/>
        <c:noMultiLvlLbl val="0"/>
      </c:catAx>
      <c:valAx>
        <c:axId val="1393109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Savings (aMW)</a:t>
                </a:r>
              </a:p>
            </c:rich>
          </c:tx>
          <c:layout/>
          <c:overlay val="0"/>
          <c:spPr>
            <a:noFill/>
            <a:ln>
              <a:noFill/>
            </a:ln>
          </c:spPr>
        </c:title>
        <c:delete val="0"/>
        <c:numFmt formatCode="_(* #,##0_);_(* \(#,##0\);_(* &quot;-&quot;??_);_(@_)"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743682"/>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Total Market Savings</a:t>
            </a:r>
          </a:p>
        </c:rich>
      </c:tx>
      <c:layout/>
      <c:overlay val="0"/>
      <c:spPr>
        <a:noFill/>
        <a:ln>
          <a:noFill/>
        </a:ln>
      </c:spPr>
    </c:title>
    <c:plotArea>
      <c:layout/>
      <c:barChart>
        <c:barDir val="col"/>
        <c:grouping val="clustered"/>
        <c:varyColors val="0"/>
        <c:ser>
          <c:idx val="0"/>
          <c:order val="0"/>
          <c:tx>
            <c:strRef>
              <c:f>'Total Market Consumption'!$AW$35</c:f>
              <c:strCache>
                <c:ptCount val="1"/>
                <c:pt idx="0">
                  <c:v>Total Market Savings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Consumption'!$AX$35:$BB$35</c:f>
              <c:numCache/>
            </c:numRef>
          </c:val>
        </c:ser>
        <c:overlap val="-27"/>
        <c:gapWidth val="219"/>
        <c:axId val="58270956"/>
        <c:axId val="54676557"/>
      </c:barChart>
      <c:catAx>
        <c:axId val="5827095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676557"/>
        <c:crosses val="autoZero"/>
        <c:auto val="1"/>
        <c:lblOffset val="100"/>
        <c:noMultiLvlLbl val="0"/>
      </c:catAx>
      <c:valAx>
        <c:axId val="5467655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Market</a:t>
                </a:r>
                <a:r>
                  <a:rPr lang="en-US" cap="none" sz="1000" b="0" i="0" u="none" baseline="0">
                    <a:solidFill>
                      <a:schemeClr val="tx1">
                        <a:lumMod val="65000"/>
                        <a:lumOff val="35000"/>
                      </a:schemeClr>
                    </a:solidFill>
                    <a:latin typeface="+mn-lt"/>
                    <a:ea typeface="Calibri"/>
                    <a:cs typeface="Calibri"/>
                  </a:rPr>
                  <a:t> Savvings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27095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Comparison of Average Heating Consumption with and without CC&amp;S</a:t>
            </a:r>
          </a:p>
        </c:rich>
      </c:tx>
      <c:layout/>
      <c:overlay val="0"/>
      <c:spPr>
        <a:noFill/>
        <a:ln>
          <a:noFill/>
        </a:ln>
      </c:spPr>
    </c:title>
    <c:plotArea>
      <c:layout/>
      <c:barChart>
        <c:barDir val="col"/>
        <c:grouping val="clustered"/>
        <c:varyColors val="0"/>
        <c:ser>
          <c:idx val="0"/>
          <c:order val="0"/>
          <c:tx>
            <c:strRef>
              <c:f>'SEEM Data'!$M$25</c:f>
              <c:strCache>
                <c:ptCount val="1"/>
                <c:pt idx="0">
                  <c:v>Without CC&amp;S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'SEEM Data'!$L$26:$L$29</c:f>
              <c:strCache/>
            </c:strRef>
          </c:cat>
          <c:val>
            <c:numRef>
              <c:f>'SEEM Data'!$M$26:$M$29</c:f>
              <c:numCache/>
            </c:numRef>
          </c:val>
        </c:ser>
        <c:ser>
          <c:idx val="1"/>
          <c:order val="1"/>
          <c:tx>
            <c:strRef>
              <c:f>'SEEM Data'!$N$25</c:f>
              <c:strCache>
                <c:ptCount val="1"/>
                <c:pt idx="0">
                  <c:v>With CC&amp;S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'SEEM Data'!$L$26:$L$29</c:f>
              <c:strCache/>
            </c:strRef>
          </c:cat>
          <c:val>
            <c:numRef>
              <c:f>'SEEM Data'!$N$26:$N$29</c:f>
              <c:numCache/>
            </c:numRef>
          </c:val>
        </c:ser>
        <c:overlap val="-27"/>
        <c:gapWidth val="219"/>
        <c:axId val="22326966"/>
        <c:axId val="66724967"/>
      </c:barChart>
      <c:catAx>
        <c:axId val="223269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6724967"/>
        <c:crosses val="autoZero"/>
        <c:auto val="1"/>
        <c:lblOffset val="100"/>
        <c:noMultiLvlLbl val="0"/>
      </c:catAx>
      <c:valAx>
        <c:axId val="6672496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Average Heating Consumption (kWh/yr)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32696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Split System 1-Phase Heat</a:t>
            </a:r>
            <a:r>
              <a:rPr lang="en-US" cap="none" sz="1400" b="0" i="0" u="none" baseline="0">
                <a:solidFill>
                  <a:schemeClr val="tx1">
                    <a:lumMod val="65000"/>
                    <a:lumOff val="35000"/>
                  </a:schemeClr>
                </a:solidFill>
                <a:latin typeface="+mn-lt"/>
                <a:ea typeface="Calibri"/>
                <a:cs typeface="Calibri"/>
              </a:rPr>
              <a:t> Pumps: Average HPSF by Capcity Bin &amp; Year</a:t>
            </a:r>
          </a:p>
        </c:rich>
      </c:tx>
      <c:layout/>
      <c:overlay val="0"/>
      <c:spPr>
        <a:noFill/>
        <a:ln>
          <a:noFill/>
        </a:ln>
      </c:spPr>
    </c:title>
    <c:plotArea>
      <c:layout>
        <c:manualLayout>
          <c:layoutTarget val="inner"/>
          <c:xMode val="edge"/>
          <c:yMode val="edge"/>
          <c:x val="0.1195"/>
          <c:y val="0.17175"/>
          <c:w val="0.84975"/>
          <c:h val="0.55275"/>
        </c:manualLayout>
      </c:layout>
      <c:lineChart>
        <c:grouping val="standard"/>
        <c:varyColors val="0"/>
        <c:ser>
          <c:idx val="0"/>
          <c:order val="0"/>
          <c:tx>
            <c:strRef>
              <c:f>'Sales Data (Graphs)'!$B$22</c:f>
              <c:strCache>
                <c:ptCount val="1"/>
                <c:pt idx="0">
                  <c:v>&lt; 2 tons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(Graphs)'!$B$23:$B$27</c:f>
              <c:numCache/>
            </c:numRef>
          </c:val>
          <c:smooth val="0"/>
        </c:ser>
        <c:ser>
          <c:idx val="1"/>
          <c:order val="1"/>
          <c:tx>
            <c:strRef>
              <c:f>'Sales Data (Graphs)'!$C$22</c:f>
              <c:strCache>
                <c:ptCount val="1"/>
                <c:pt idx="0">
                  <c:v>2-3.5 tons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(Graphs)'!$C$23:$C$27</c:f>
              <c:numCache/>
            </c:numRef>
          </c:val>
          <c:smooth val="0"/>
        </c:ser>
        <c:ser>
          <c:idx val="2"/>
          <c:order val="2"/>
          <c:tx>
            <c:strRef>
              <c:f>'Sales Data (Graphs)'!$D$22</c:f>
              <c:strCache>
                <c:ptCount val="1"/>
                <c:pt idx="0">
                  <c:v>3.5-5 tons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(Graphs)'!$D$23:$D$27</c:f>
              <c:numCache/>
            </c:numRef>
          </c:val>
          <c:smooth val="0"/>
        </c:ser>
        <c:marker val="1"/>
        <c:axId val="63653792"/>
        <c:axId val="36013217"/>
      </c:lineChart>
      <c:catAx>
        <c:axId val="6365379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Calibri"/>
                    <a:ea typeface="Calibri"/>
                    <a:cs typeface="Calibri"/>
                  </a:rPr>
                  <a:t>Year</a:t>
                </a:r>
              </a:p>
            </c:rich>
          </c:tx>
          <c:layout>
            <c:manualLayout>
              <c:xMode val="edge"/>
              <c:yMode val="edge"/>
              <c:x val="0.5235"/>
              <c:y val="0.8595"/>
            </c:manualLayout>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013217"/>
        <c:crosses val="autoZero"/>
        <c:auto val="1"/>
        <c:lblOffset val="100"/>
        <c:noMultiLvlLbl val="0"/>
      </c:catAx>
      <c:valAx>
        <c:axId val="3601321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Average HSPF</a:t>
                </a:r>
              </a:p>
            </c:rich>
          </c:tx>
          <c:layout>
            <c:manualLayout>
              <c:xMode val="edge"/>
              <c:yMode val="edge"/>
              <c:x val="0.02775"/>
              <c:y val="0.333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65379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NEW:</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Residential Split System Air Source Heat Pump Sales by HSPF Category and Year</a:t>
            </a:r>
          </a:p>
        </c:rich>
      </c:tx>
      <c:layout/>
      <c:overlay val="0"/>
      <c:spPr>
        <a:noFill/>
        <a:ln>
          <a:noFill/>
        </a:ln>
      </c:spPr>
    </c:title>
    <c:plotArea>
      <c:layout/>
      <c:barChart>
        <c:barDir val="col"/>
        <c:grouping val="percentStacked"/>
        <c:varyColors val="0"/>
        <c:ser>
          <c:idx val="1"/>
          <c:order val="0"/>
          <c:tx>
            <c:strRef>
              <c:f>'Sales Data (Graphs)'!$H$22</c:f>
              <c:strCache>
                <c:ptCount val="1"/>
                <c:pt idx="0">
                  <c:v>&lt;8.2</c:v>
                </c:pt>
              </c:strCache>
            </c:strRef>
          </c:tx>
          <c:spPr>
            <a:solidFill>
              <a:srgbClr val="44546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(Graphs)'!$I$22:$M$22</c:f>
              <c:numCache/>
            </c:numRef>
          </c:val>
        </c:ser>
        <c:ser>
          <c:idx val="2"/>
          <c:order val="1"/>
          <c:tx>
            <c:strRef>
              <c:f>'Sales Data (Graphs)'!$H$23</c:f>
              <c:strCache>
                <c:ptCount val="1"/>
                <c:pt idx="0">
                  <c:v>8.2-8.99</c:v>
                </c:pt>
              </c:strCache>
            </c:strRef>
          </c:tx>
          <c:spPr>
            <a:solidFill>
              <a:srgbClr val="C44D5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(Graphs)'!$I$23:$M$23</c:f>
              <c:numCache/>
            </c:numRef>
          </c:val>
        </c:ser>
        <c:ser>
          <c:idx val="3"/>
          <c:order val="2"/>
          <c:tx>
            <c:strRef>
              <c:f>'Sales Data (Graphs)'!$H$24</c:f>
              <c:strCache>
                <c:ptCount val="1"/>
                <c:pt idx="0">
                  <c:v>9-9.99</c:v>
                </c:pt>
              </c:strCache>
            </c:strRef>
          </c:tx>
          <c:spPr>
            <a:solidFill>
              <a:srgbClr val="4ECDC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(Graphs)'!$I$24:$M$24</c:f>
              <c:numCache/>
            </c:numRef>
          </c:val>
        </c:ser>
        <c:ser>
          <c:idx val="4"/>
          <c:order val="3"/>
          <c:tx>
            <c:strRef>
              <c:f>'Sales Data (Graphs)'!$H$25</c:f>
              <c:strCache>
                <c:ptCount val="1"/>
                <c:pt idx="0">
                  <c:v>10-11.49</c:v>
                </c:pt>
              </c:strCache>
            </c:strRef>
          </c:tx>
          <c:spPr>
            <a:solidFill>
              <a:srgbClr val="C7F46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(Graphs)'!$I$25:$M$25</c:f>
              <c:numCache/>
            </c:numRef>
          </c:val>
        </c:ser>
        <c:ser>
          <c:idx val="5"/>
          <c:order val="4"/>
          <c:tx>
            <c:strRef>
              <c:f>'Sales Data (Graphs)'!$H$26</c:f>
              <c:strCache>
                <c:ptCount val="1"/>
                <c:pt idx="0">
                  <c:v>&gt;11.5</c:v>
                </c:pt>
              </c:strCache>
            </c:strRef>
          </c:tx>
          <c:spPr>
            <a:solidFill>
              <a:srgbClr val="FF6B6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(Graphs)'!$I$26:$M$26</c:f>
              <c:numCache/>
            </c:numRef>
          </c:val>
        </c:ser>
        <c:overlap val="100"/>
        <c:axId val="55683498"/>
        <c:axId val="31389435"/>
      </c:barChart>
      <c:catAx>
        <c:axId val="556834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389435"/>
        <c:crosses val="autoZero"/>
        <c:auto val="1"/>
        <c:lblOffset val="100"/>
        <c:noMultiLvlLbl val="0"/>
      </c:catAx>
      <c:valAx>
        <c:axId val="3138943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68349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FAF Gas Net Change</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'FAF - Gas'!$Q$47:$Q$81</c:f>
              <c:numCache/>
            </c:numRef>
          </c:cat>
          <c:val>
            <c:numRef>
              <c:f>'FAF - Gas'!$T$47:$T$81</c:f>
              <c:numCache/>
            </c:numRef>
          </c:val>
          <c:smooth val="0"/>
        </c:ser>
        <c:axId val="14069460"/>
        <c:axId val="59516277"/>
      </c:lineChart>
      <c:catAx>
        <c:axId val="140694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516277"/>
        <c:crosses val="autoZero"/>
        <c:auto val="1"/>
        <c:lblOffset val="100"/>
        <c:noMultiLvlLbl val="0"/>
      </c:catAx>
      <c:valAx>
        <c:axId val="5951627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06946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'FAF - Gas'!$M$47:$M$81</c:f>
              <c:numCache/>
            </c:numRef>
          </c:val>
          <c:smooth val="0"/>
        </c:ser>
        <c:axId val="65884446"/>
        <c:axId val="56089103"/>
      </c:lineChart>
      <c:catAx>
        <c:axId val="658844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089103"/>
        <c:crosses val="autoZero"/>
        <c:auto val="1"/>
        <c:lblOffset val="100"/>
        <c:noMultiLvlLbl val="0"/>
      </c:catAx>
      <c:valAx>
        <c:axId val="5608910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88444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FAF Conversions</a:t>
            </a:r>
            <a:r>
              <a:rPr lang="en-US" cap="none" sz="1400" b="0" i="0" u="none" baseline="0">
                <a:solidFill>
                  <a:schemeClr val="tx1">
                    <a:lumMod val="65000"/>
                    <a:lumOff val="35000"/>
                  </a:schemeClr>
                </a:solidFill>
                <a:latin typeface="+mn-lt"/>
                <a:ea typeface="Calibri"/>
                <a:cs typeface="Calibri"/>
              </a:rPr>
              <a:t> to ASHP</a:t>
            </a:r>
          </a:p>
        </c:rich>
      </c:tx>
      <c:layout/>
      <c:overlay val="0"/>
      <c:spPr>
        <a:noFill/>
        <a:ln>
          <a:noFill/>
        </a:ln>
      </c:spPr>
    </c:title>
    <c:plotArea>
      <c:layout/>
      <c:lineChart>
        <c:grouping val="standard"/>
        <c:varyColors val="0"/>
        <c:ser>
          <c:idx val="1"/>
          <c:order val="0"/>
          <c:tx>
            <c:strRef>
              <c:f>'Conversions and Upgrades'!$C$7</c:f>
              <c:strCache>
                <c:ptCount val="1"/>
                <c:pt idx="0">
                  <c:v>SINGLE FAMILY</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'Conversions and Upgrades'!$C$37:$C$59</c:f>
              <c:numCache/>
            </c:numRef>
          </c:cat>
          <c:val>
            <c:numRef>
              <c:f>'Conversions and Upgrades'!$L$9:$L$31</c:f>
              <c:numCache/>
            </c:numRef>
          </c:val>
          <c:smooth val="0"/>
        </c:ser>
        <c:ser>
          <c:idx val="0"/>
          <c:order val="1"/>
          <c:tx>
            <c:strRef>
              <c:f>'Conversions and Upgrades'!$C$35</c:f>
              <c:strCache>
                <c:ptCount val="1"/>
                <c:pt idx="0">
                  <c:v>MANUFACTURED HOMES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'Conversions and Upgrades'!$C$37:$C$59</c:f>
              <c:numCache/>
            </c:numRef>
          </c:cat>
          <c:val>
            <c:numRef>
              <c:f>'Conversions and Upgrades'!$L$37:$L$59</c:f>
              <c:numCache/>
            </c:numRef>
          </c:val>
          <c:smooth val="0"/>
        </c:ser>
        <c:axId val="35039880"/>
        <c:axId val="46923465"/>
      </c:lineChart>
      <c:catAx>
        <c:axId val="3503988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923465"/>
        <c:crosses val="autoZero"/>
        <c:auto val="1"/>
        <c:lblOffset val="100"/>
        <c:noMultiLvlLbl val="0"/>
      </c:catAx>
      <c:valAx>
        <c:axId val="4692346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03988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Sources of Total Market Savings</a:t>
            </a:r>
            <a:r>
              <a:rPr lang="en-US" cap="none" sz="1400" b="0" i="0" u="none" baseline="0">
                <a:solidFill>
                  <a:schemeClr val="tx1">
                    <a:lumMod val="65000"/>
                    <a:lumOff val="35000"/>
                  </a:schemeClr>
                </a:solidFill>
                <a:latin typeface="+mn-lt"/>
                <a:ea typeface="Calibri"/>
                <a:cs typeface="Calibri"/>
              </a:rPr>
              <a:t> (MWh)</a:t>
            </a:r>
          </a:p>
        </c:rich>
      </c:tx>
      <c:layout/>
      <c:overlay val="0"/>
      <c:spPr>
        <a:noFill/>
        <a:ln>
          <a:noFill/>
        </a:ln>
      </c:spPr>
    </c:title>
    <c:plotArea>
      <c:layout/>
      <c:barChart>
        <c:barDir val="col"/>
        <c:grouping val="stacked"/>
        <c:varyColors val="0"/>
        <c:ser>
          <c:idx val="0"/>
          <c:order val="0"/>
          <c:tx>
            <c:strRef>
              <c:f>'Tables and Graphs'!$AE$4</c:f>
              <c:strCache>
                <c:ptCount val="1"/>
                <c:pt idx="0">
                  <c:v>Program Savings (MWh)</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Graphs'!$AF$2:$AJ$3</c:f>
              <c:multiLvlStrCache/>
            </c:multiLvlStrRef>
          </c:cat>
          <c:val>
            <c:numRef>
              <c:f>'Tables and Graphs'!$AF$4:$AJ$4</c:f>
              <c:numCache/>
            </c:numRef>
          </c:val>
        </c:ser>
        <c:ser>
          <c:idx val="1"/>
          <c:order val="1"/>
          <c:tx>
            <c:strRef>
              <c:f>'Tables and Graphs'!$AE$5</c:f>
              <c:strCache>
                <c:ptCount val="1"/>
                <c:pt idx="0">
                  <c:v> Momentum Savings (MWh)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Graphs'!$AF$2:$AJ$3</c:f>
              <c:multiLvlStrCache/>
            </c:multiLvlStrRef>
          </c:cat>
          <c:val>
            <c:numRef>
              <c:f>'Tables and Graphs'!$AF$5:$AJ$5</c:f>
              <c:numCache/>
            </c:numRef>
          </c:val>
        </c:ser>
        <c:overlap val="100"/>
        <c:axId val="48492592"/>
        <c:axId val="33780145"/>
      </c:barChart>
      <c:catAx>
        <c:axId val="484925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780145"/>
        <c:crosses val="autoZero"/>
        <c:auto val="1"/>
        <c:lblOffset val="100"/>
        <c:noMultiLvlLbl val="0"/>
      </c:catAx>
      <c:valAx>
        <c:axId val="3378014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49259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HVAC Unit Types Replacing</a:t>
            </a:r>
            <a:r>
              <a:rPr lang="en-US" cap="none" sz="1400" b="0" i="0" u="none" baseline="0">
                <a:solidFill>
                  <a:schemeClr val="tx1">
                    <a:lumMod val="65000"/>
                    <a:lumOff val="35000"/>
                  </a:schemeClr>
                </a:solidFill>
                <a:latin typeface="+mn-lt"/>
                <a:ea typeface="Calibri"/>
                <a:cs typeface="Calibri"/>
              </a:rPr>
              <a:t> FAF</a:t>
            </a:r>
          </a:p>
        </c:rich>
      </c:tx>
      <c:layout/>
      <c:overlay val="0"/>
      <c:spPr>
        <a:noFill/>
        <a:ln>
          <a:noFill/>
        </a:ln>
      </c:spPr>
    </c:title>
    <c:plotArea>
      <c:layout/>
      <c:barChart>
        <c:barDir val="col"/>
        <c:grouping val="percentStacked"/>
        <c:varyColors val="0"/>
        <c:ser>
          <c:idx val="0"/>
          <c:order val="0"/>
          <c:tx>
            <c:strRef>
              <c:f>'Conversions and Upgrades'!$J$7</c:f>
              <c:strCache>
                <c:ptCount val="1"/>
                <c:pt idx="0">
                  <c:v>E-FAF to E-FAF</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Upgrades'!$J$26:$J$30</c:f>
              <c:numCache/>
            </c:numRef>
          </c:val>
        </c:ser>
        <c:ser>
          <c:idx val="3"/>
          <c:order val="1"/>
          <c:tx>
            <c:strRef>
              <c:f>'Conversions and Upgrades'!$K$7</c:f>
              <c:strCache>
                <c:ptCount val="1"/>
                <c:pt idx="0">
                  <c:v>E-FAF to Gas-FAF</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Upgrades'!$K$26:$K$30</c:f>
              <c:numCache/>
            </c:numRef>
          </c:val>
        </c:ser>
        <c:ser>
          <c:idx val="4"/>
          <c:order val="2"/>
          <c:tx>
            <c:strRef>
              <c:f>'Conversions and Upgrades'!$L$7</c:f>
              <c:strCache>
                <c:ptCount val="1"/>
                <c:pt idx="0">
                  <c:v>E-FAF to ASHP Conversions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Upgrades'!$L$26:$L$30</c:f>
              <c:numCache/>
            </c:numRef>
          </c:val>
        </c:ser>
        <c:overlap val="100"/>
        <c:gapWidth val="75"/>
        <c:axId val="19658002"/>
        <c:axId val="42704291"/>
      </c:barChart>
      <c:catAx>
        <c:axId val="1965800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704291"/>
        <c:crosses val="autoZero"/>
        <c:auto val="1"/>
        <c:lblOffset val="100"/>
        <c:noMultiLvlLbl val="0"/>
      </c:catAx>
      <c:valAx>
        <c:axId val="4270429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65800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HVAC Unit Types Replacing</a:t>
            </a:r>
            <a:r>
              <a:rPr lang="en-US" cap="none" sz="1400" b="0" i="0" u="none" baseline="0">
                <a:solidFill>
                  <a:schemeClr val="tx1">
                    <a:lumMod val="65000"/>
                    <a:lumOff val="35000"/>
                  </a:schemeClr>
                </a:solidFill>
                <a:latin typeface="+mn-lt"/>
                <a:ea typeface="Calibri"/>
                <a:cs typeface="Calibri"/>
              </a:rPr>
              <a:t> FAF</a:t>
            </a:r>
          </a:p>
        </c:rich>
      </c:tx>
      <c:layout/>
      <c:overlay val="0"/>
      <c:spPr>
        <a:noFill/>
        <a:ln>
          <a:noFill/>
        </a:ln>
      </c:spPr>
    </c:title>
    <c:plotArea>
      <c:layout/>
      <c:barChart>
        <c:barDir val="col"/>
        <c:grouping val="stacked"/>
        <c:varyColors val="0"/>
        <c:ser>
          <c:idx val="0"/>
          <c:order val="0"/>
          <c:tx>
            <c:strRef>
              <c:f>'Conversions and Upgrades'!$J$7</c:f>
              <c:strCache>
                <c:ptCount val="1"/>
                <c:pt idx="0">
                  <c:v>E-FAF to E-FAF</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Upgrades'!$J$26:$J$30</c:f>
              <c:numCache/>
            </c:numRef>
          </c:val>
        </c:ser>
        <c:ser>
          <c:idx val="3"/>
          <c:order val="1"/>
          <c:tx>
            <c:strRef>
              <c:f>'Conversions and Upgrades'!$K$7</c:f>
              <c:strCache>
                <c:ptCount val="1"/>
                <c:pt idx="0">
                  <c:v>E-FAF to Gas-FAF</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Upgrades'!$K$26:$K$30</c:f>
              <c:numCache/>
            </c:numRef>
          </c:val>
        </c:ser>
        <c:ser>
          <c:idx val="4"/>
          <c:order val="2"/>
          <c:tx>
            <c:strRef>
              <c:f>'Conversions and Upgrades'!$L$7</c:f>
              <c:strCache>
                <c:ptCount val="1"/>
                <c:pt idx="0">
                  <c:v>E-FAF to ASHP Conversions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Upgrades'!$L$26:$L$30</c:f>
              <c:numCache/>
            </c:numRef>
          </c:val>
        </c:ser>
        <c:overlap val="100"/>
        <c:gapWidth val="75"/>
        <c:axId val="48794300"/>
        <c:axId val="36495517"/>
      </c:barChart>
      <c:catAx>
        <c:axId val="4879430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495517"/>
        <c:crosses val="autoZero"/>
        <c:auto val="1"/>
        <c:lblOffset val="100"/>
        <c:noMultiLvlLbl val="0"/>
      </c:catAx>
      <c:valAx>
        <c:axId val="3649551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Units Shipped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79430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Single</a:t>
            </a:r>
            <a:r>
              <a:rPr lang="en-US" cap="none" sz="1400" b="0" i="0" u="none" baseline="0">
                <a:solidFill>
                  <a:schemeClr val="tx1">
                    <a:lumMod val="65000"/>
                    <a:lumOff val="35000"/>
                  </a:schemeClr>
                </a:solidFill>
                <a:latin typeface="+mn-lt"/>
                <a:ea typeface="Calibri"/>
                <a:cs typeface="Calibri"/>
              </a:rPr>
              <a:t> Family</a:t>
            </a:r>
          </a:p>
        </c:rich>
      </c:tx>
      <c:layout/>
      <c:overlay val="0"/>
      <c:spPr>
        <a:noFill/>
        <a:ln>
          <a:noFill/>
        </a:ln>
      </c:spPr>
    </c:title>
    <c:plotArea>
      <c:layout/>
      <c:barChart>
        <c:barDir val="col"/>
        <c:grouping val="stacked"/>
        <c:varyColors val="0"/>
        <c:ser>
          <c:idx val="0"/>
          <c:order val="0"/>
          <c:tx>
            <c:strRef>
              <c:f>'Conversions and Upgrades'!$F$77</c:f>
              <c:strCache>
                <c:ptCount val="1"/>
                <c:pt idx="0">
                  <c:v>FAF - Electric NOT Converted, % of Natural Replacement Market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Upgrades'!$F$78:$F$82</c:f>
              <c:numCache/>
            </c:numRef>
          </c:val>
        </c:ser>
        <c:ser>
          <c:idx val="1"/>
          <c:order val="1"/>
          <c:tx>
            <c:strRef>
              <c:f>'Conversions and Upgrades'!$G$77</c:f>
              <c:strCache>
                <c:ptCount val="1"/>
                <c:pt idx="0">
                  <c:v>FAF - Electric Converted to Gas FAF, % of Natural Replacement Market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Upgrades'!$G$78:$G$82</c:f>
              <c:numCache/>
            </c:numRef>
          </c:val>
        </c:ser>
        <c:ser>
          <c:idx val="2"/>
          <c:order val="2"/>
          <c:tx>
            <c:strRef>
              <c:f>'Conversions and Upgrades'!$H$77</c:f>
              <c:strCache>
                <c:ptCount val="1"/>
                <c:pt idx="0">
                  <c:v>FAF - Electric Converted to ASHP, % of Natural Replacement Market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Upgrades'!$H$78:$H$82</c:f>
              <c:numCache/>
            </c:numRef>
          </c:val>
        </c:ser>
        <c:overlap val="100"/>
        <c:gapWidth val="219"/>
        <c:axId val="60024198"/>
        <c:axId val="3346871"/>
      </c:barChart>
      <c:catAx>
        <c:axId val="600241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46871"/>
        <c:crosses val="autoZero"/>
        <c:auto val="1"/>
        <c:lblOffset val="100"/>
        <c:noMultiLvlLbl val="0"/>
      </c:catAx>
      <c:valAx>
        <c:axId val="3346871"/>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02419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Manufactured Homes</a:t>
            </a:r>
          </a:p>
        </c:rich>
      </c:tx>
      <c:layout/>
      <c:overlay val="0"/>
      <c:spPr>
        <a:noFill/>
        <a:ln>
          <a:noFill/>
        </a:ln>
      </c:spPr>
    </c:title>
    <c:plotArea>
      <c:layout/>
      <c:barChart>
        <c:barDir val="col"/>
        <c:grouping val="stacked"/>
        <c:varyColors val="0"/>
        <c:ser>
          <c:idx val="0"/>
          <c:order val="0"/>
          <c:tx>
            <c:strRef>
              <c:f>'Conversions and Upgrades'!$F$84</c:f>
              <c:strCache>
                <c:ptCount val="1"/>
                <c:pt idx="0">
                  <c:v>FAF - Electric NOT Converted, % of Natural Replacement Market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Upgrades'!$F$85:$F$89</c:f>
              <c:numCache/>
            </c:numRef>
          </c:val>
        </c:ser>
        <c:ser>
          <c:idx val="1"/>
          <c:order val="1"/>
          <c:tx>
            <c:strRef>
              <c:f>'Conversions and Upgrades'!$G$84</c:f>
              <c:strCache>
                <c:ptCount val="1"/>
                <c:pt idx="0">
                  <c:v>FAF - Electric Converted to Gas FAF, % of Natural Replacement Market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Upgrades'!$G$85:$G$89</c:f>
              <c:numCache/>
            </c:numRef>
          </c:val>
        </c:ser>
        <c:ser>
          <c:idx val="2"/>
          <c:order val="2"/>
          <c:tx>
            <c:strRef>
              <c:f>'Conversions and Upgrades'!$H$84</c:f>
              <c:strCache>
                <c:ptCount val="1"/>
                <c:pt idx="0">
                  <c:v>FAF - Electric Converted to ASHP, % of Natural Replacement Market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Upgrades'!$H$85:$H$89</c:f>
              <c:numCache/>
            </c:numRef>
          </c:val>
        </c:ser>
        <c:overlap val="100"/>
        <c:gapWidth val="219"/>
        <c:axId val="30121840"/>
        <c:axId val="2661105"/>
      </c:barChart>
      <c:catAx>
        <c:axId val="3012184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61105"/>
        <c:crosses val="autoZero"/>
        <c:auto val="1"/>
        <c:lblOffset val="100"/>
        <c:noMultiLvlLbl val="0"/>
      </c:catAx>
      <c:valAx>
        <c:axId val="2661105"/>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12184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Single Family Unit Efficiency Trends</a:t>
            </a:r>
          </a:p>
        </c:rich>
      </c:tx>
      <c:layout/>
      <c:overlay val="0"/>
      <c:spPr>
        <a:noFill/>
        <a:ln>
          <a:noFill/>
        </a:ln>
      </c:spPr>
    </c:title>
    <c:plotArea>
      <c:layout/>
      <c:areaChart>
        <c:grouping val="stacked"/>
        <c:varyColors val="0"/>
        <c:ser>
          <c:idx val="0"/>
          <c:order val="0"/>
          <c:tx>
            <c:strRef>
              <c:f>'Tables and Graphs'!$AF$21</c:f>
              <c:strCache>
                <c:ptCount val="1"/>
                <c:pt idx="0">
                  <c:v>Forced Air Furnace</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Graphs'!$AG$21:$AK$21</c:f>
              <c:numCache/>
            </c:numRef>
          </c:val>
        </c:ser>
        <c:ser>
          <c:idx val="1"/>
          <c:order val="1"/>
          <c:tx>
            <c:strRef>
              <c:f>'Tables and Graphs'!$AF$22</c:f>
              <c:strCache>
                <c:ptCount val="1"/>
                <c:pt idx="0">
                  <c:v>HSPF_7.7</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Graphs'!$AG$22:$AK$22</c:f>
              <c:numCache/>
            </c:numRef>
          </c:val>
        </c:ser>
        <c:ser>
          <c:idx val="2"/>
          <c:order val="2"/>
          <c:tx>
            <c:strRef>
              <c:f>'Tables and Graphs'!$AF$23</c:f>
              <c:strCache>
                <c:ptCount val="1"/>
                <c:pt idx="0">
                  <c:v>HSPF_8.5</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Graphs'!$AG$23:$AK$23</c:f>
              <c:numCache/>
            </c:numRef>
          </c:val>
        </c:ser>
        <c:ser>
          <c:idx val="3"/>
          <c:order val="3"/>
          <c:tx>
            <c:strRef>
              <c:f>'Tables and Graphs'!$AF$24</c:f>
              <c:strCache>
                <c:ptCount val="1"/>
                <c:pt idx="0">
                  <c:v>HSPF_9.0</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Graphs'!$AG$24:$AK$24</c:f>
              <c:numCache/>
            </c:numRef>
          </c:val>
        </c:ser>
        <c:ser>
          <c:idx val="4"/>
          <c:order val="4"/>
          <c:tx>
            <c:strRef>
              <c:f>'Tables and Graphs'!$AF$25</c:f>
              <c:strCache>
                <c:ptCount val="1"/>
                <c:pt idx="0">
                  <c:v>HSPF_9.5</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Graphs'!$AG$25:$AK$25</c:f>
              <c:numCache/>
            </c:numRef>
          </c:val>
        </c:ser>
        <c:ser>
          <c:idx val="5"/>
          <c:order val="5"/>
          <c:tx>
            <c:strRef>
              <c:f>'Tables and Graphs'!$AF$26</c:f>
              <c:strCache>
                <c:ptCount val="1"/>
                <c:pt idx="0">
                  <c:v>HSPF_10.0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Graphs'!$AG$26:$AK$26</c:f>
              <c:numCache/>
            </c:numRef>
          </c:val>
        </c:ser>
        <c:ser>
          <c:idx val="6"/>
          <c:order val="6"/>
          <c:tx>
            <c:strRef>
              <c:f>'Tables and Graphs'!$AF$27</c:f>
              <c:strCache>
                <c:ptCount val="1"/>
                <c:pt idx="0">
                  <c:v>HSPF_10.5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Graphs'!$AG$27:$AK$27</c:f>
              <c:numCache/>
            </c:numRef>
          </c:val>
        </c:ser>
        <c:ser>
          <c:idx val="7"/>
          <c:order val="7"/>
          <c:tx>
            <c:strRef>
              <c:f>'Tables and Graphs'!$AF$28</c:f>
              <c:strCache>
                <c:ptCount val="1"/>
                <c:pt idx="0">
                  <c:v>HSPF_11.5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Graphs'!$AG$28:$AK$28</c:f>
              <c:numCache/>
            </c:numRef>
          </c:val>
        </c:ser>
        <c:axId val="35585850"/>
        <c:axId val="51837195"/>
      </c:areaChart>
      <c:catAx>
        <c:axId val="3558585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837195"/>
        <c:crosses val="autoZero"/>
        <c:auto val="1"/>
        <c:lblOffset val="100"/>
        <c:noMultiLvlLbl val="0"/>
      </c:catAx>
      <c:valAx>
        <c:axId val="5183719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585850"/>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Manufactured Home Unit Efficiency Trends</a:t>
            </a:r>
          </a:p>
        </c:rich>
      </c:tx>
      <c:layout/>
      <c:overlay val="0"/>
      <c:spPr>
        <a:noFill/>
        <a:ln>
          <a:noFill/>
        </a:ln>
      </c:spPr>
    </c:title>
    <c:plotArea>
      <c:layout/>
      <c:areaChart>
        <c:grouping val="stacked"/>
        <c:varyColors val="0"/>
        <c:ser>
          <c:idx val="0"/>
          <c:order val="0"/>
          <c:tx>
            <c:strRef>
              <c:f>'Tables and Graphs'!$AF$32</c:f>
              <c:strCache>
                <c:ptCount val="1"/>
                <c:pt idx="0">
                  <c:v>Forced Air Furnace</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Graphs'!$AG$32:$AK$32</c:f>
              <c:numCache/>
            </c:numRef>
          </c:val>
        </c:ser>
        <c:ser>
          <c:idx val="1"/>
          <c:order val="1"/>
          <c:tx>
            <c:strRef>
              <c:f>'Tables and Graphs'!$AF$33</c:f>
              <c:strCache>
                <c:ptCount val="1"/>
                <c:pt idx="0">
                  <c:v>HSPF_7.7</c:v>
                </c:pt>
              </c:strCache>
            </c:strRef>
          </c:tx>
          <c:spPr>
            <a:solidFill>
              <a:schemeClr val="accent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Graphs'!$AG$33:$AK$33</c:f>
              <c:numCache/>
            </c:numRef>
          </c:val>
        </c:ser>
        <c:ser>
          <c:idx val="2"/>
          <c:order val="2"/>
          <c:tx>
            <c:strRef>
              <c:f>'Tables and Graphs'!$AF$34</c:f>
              <c:strCache>
                <c:ptCount val="1"/>
                <c:pt idx="0">
                  <c:v>HSPF_8.5</c:v>
                </c:pt>
              </c:strCache>
            </c:strRef>
          </c:tx>
          <c:spPr>
            <a:solidFill>
              <a:schemeClr val="accent3"/>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Graphs'!$AG$34:$AK$34</c:f>
              <c:numCache/>
            </c:numRef>
          </c:val>
        </c:ser>
        <c:ser>
          <c:idx val="3"/>
          <c:order val="3"/>
          <c:tx>
            <c:strRef>
              <c:f>'Tables and Graphs'!$AF$35</c:f>
              <c:strCache>
                <c:ptCount val="1"/>
                <c:pt idx="0">
                  <c:v>HSPF_9.0</c:v>
                </c:pt>
              </c:strCache>
            </c:strRef>
          </c:tx>
          <c:spPr>
            <a:solidFill>
              <a:schemeClr val="accent4"/>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Graphs'!$AG$35:$AK$35</c:f>
              <c:numCache/>
            </c:numRef>
          </c:val>
        </c:ser>
        <c:ser>
          <c:idx val="4"/>
          <c:order val="4"/>
          <c:tx>
            <c:strRef>
              <c:f>'Tables and Graphs'!$AF$36</c:f>
              <c:strCache>
                <c:ptCount val="1"/>
                <c:pt idx="0">
                  <c:v>HSPF_9.5</c:v>
                </c:pt>
              </c:strCache>
            </c:strRef>
          </c:tx>
          <c:spPr>
            <a:solidFill>
              <a:schemeClr val="accent5"/>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Graphs'!$AG$36:$AK$36</c:f>
              <c:numCache/>
            </c:numRef>
          </c:val>
        </c:ser>
        <c:ser>
          <c:idx val="5"/>
          <c:order val="5"/>
          <c:tx>
            <c:strRef>
              <c:f>'Tables and Graphs'!$AF$37</c:f>
              <c:strCache>
                <c:ptCount val="1"/>
                <c:pt idx="0">
                  <c:v>HSPF_10.0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Graphs'!$AG$37:$AK$37</c:f>
              <c:numCache/>
            </c:numRef>
          </c:val>
        </c:ser>
        <c:ser>
          <c:idx val="6"/>
          <c:order val="6"/>
          <c:tx>
            <c:strRef>
              <c:f>'Tables and Graphs'!$AF$38</c:f>
              <c:strCache>
                <c:ptCount val="1"/>
                <c:pt idx="0">
                  <c:v>HSPF_10.5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Graphs'!$AG$38:$AK$38</c:f>
              <c:numCache/>
            </c:numRef>
          </c:val>
        </c:ser>
        <c:ser>
          <c:idx val="7"/>
          <c:order val="7"/>
          <c:tx>
            <c:strRef>
              <c:f>'Tables and Graphs'!$AF$39</c:f>
              <c:strCache>
                <c:ptCount val="1"/>
                <c:pt idx="0">
                  <c:v>HSPF_11.5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Graphs'!$AG$39:$AK$39</c:f>
              <c:numCache/>
            </c:numRef>
          </c:val>
        </c:ser>
        <c:axId val="63881572"/>
        <c:axId val="38063237"/>
      </c:areaChart>
      <c:catAx>
        <c:axId val="6388157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063237"/>
        <c:crosses val="autoZero"/>
        <c:auto val="1"/>
        <c:lblOffset val="100"/>
        <c:noMultiLvlLbl val="0"/>
      </c:catAx>
      <c:valAx>
        <c:axId val="3806323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881572"/>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Momentum Savings as a Function of the % of ASHP Units Installed as Conversions</a:t>
            </a:r>
          </a:p>
        </c:rich>
      </c:tx>
      <c:layout/>
      <c:overlay val="0"/>
      <c:spPr>
        <a:noFill/>
        <a:ln>
          <a:noFill/>
        </a:ln>
      </c:spPr>
    </c:title>
    <c:plotArea>
      <c:layout/>
      <c:lineChart>
        <c:grouping val="standard"/>
        <c:varyColors val="0"/>
        <c:ser>
          <c:idx val="0"/>
          <c:order val="0"/>
          <c:tx>
            <c:strRef>
              <c:f>'Tables and Graphs'!$X$12</c:f>
              <c:strCache>
                <c:ptCount val="1"/>
                <c:pt idx="0">
                  <c:v>Low (10%)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Graphs'!$Y$12:$AC$12</c:f>
              <c:numCache/>
            </c:numRef>
          </c:val>
          <c:smooth val="0"/>
        </c:ser>
        <c:ser>
          <c:idx val="1"/>
          <c:order val="1"/>
          <c:tx>
            <c:strRef>
              <c:f>'Tables and Graphs'!$X$13</c:f>
              <c:strCache>
                <c:ptCount val="1"/>
                <c:pt idx="0">
                  <c:v>Mid (20%)</c:v>
                </c:pt>
              </c:strCache>
            </c:strRef>
          </c:tx>
          <c:spPr>
            <a:ln w="28575" cap="rnd">
              <a:solidFill>
                <a:schemeClr val="bg1">
                  <a:lumMod val="50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Graphs'!$Y$13:$AC$13</c:f>
              <c:numCache/>
            </c:numRef>
          </c:val>
          <c:smooth val="0"/>
        </c:ser>
        <c:ser>
          <c:idx val="2"/>
          <c:order val="2"/>
          <c:tx>
            <c:strRef>
              <c:f>'Tables and Graphs'!$X$14</c:f>
              <c:strCache>
                <c:ptCount val="1"/>
                <c:pt idx="0">
                  <c:v>High (30%)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Graphs'!$Y$14:$AC$14</c:f>
              <c:numCache/>
            </c:numRef>
          </c:val>
          <c:smooth val="0"/>
        </c:ser>
        <c:ser>
          <c:idx val="3"/>
          <c:order val="3"/>
          <c:tx>
            <c:strRef>
              <c:f>'Tables and Graphs'!$X$15</c:f>
              <c:strCache>
                <c:ptCount val="1"/>
                <c:pt idx="0">
                  <c:v>Base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Graphs'!$Y$15:$AC$15</c:f>
              <c:numCache/>
            </c:numRef>
          </c:val>
          <c:smooth val="0"/>
        </c:ser>
        <c:axId val="7024814"/>
        <c:axId val="63223327"/>
      </c:lineChart>
      <c:catAx>
        <c:axId val="70248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223327"/>
        <c:crosses val="autoZero"/>
        <c:auto val="1"/>
        <c:lblOffset val="100"/>
        <c:noMultiLvlLbl val="0"/>
      </c:catAx>
      <c:valAx>
        <c:axId val="6322332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02481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Momentum Savings (aMW)</a:t>
            </a:r>
          </a:p>
        </c:rich>
      </c:tx>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'Tables and Graphs'!$Y$7:$AC$7</c:f>
              <c:numCache/>
            </c:numRef>
          </c:cat>
          <c:val>
            <c:numRef>
              <c:f>'Tables and Graphs'!$Y$8:$AC$8</c:f>
              <c:numCache/>
            </c:numRef>
          </c:val>
        </c:ser>
        <c:overlap val="-27"/>
        <c:gapWidth val="219"/>
        <c:axId val="32139032"/>
        <c:axId val="20815833"/>
      </c:barChart>
      <c:catAx>
        <c:axId val="321390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815833"/>
        <c:crosses val="autoZero"/>
        <c:auto val="1"/>
        <c:lblOffset val="100"/>
        <c:noMultiLvlLbl val="0"/>
      </c:catAx>
      <c:valAx>
        <c:axId val="2081583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13903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'Input and Scenario Summary'!$C$6</c:f>
              <c:strCache>
                <c:ptCount val="1"/>
                <c:pt idx="0">
                  <c:v>HZ 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Summary'!$C$7:$C$14</c:f>
              <c:numCache/>
            </c:numRef>
          </c:val>
        </c:ser>
        <c:ser>
          <c:idx val="1"/>
          <c:order val="1"/>
          <c:tx>
            <c:strRef>
              <c:f>'Input and Scenario Summary'!$D$6</c:f>
              <c:strCache>
                <c:ptCount val="1"/>
                <c:pt idx="0">
                  <c:v>HZ 2</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Summary'!$D$7:$D$14</c:f>
              <c:numCache/>
            </c:numRef>
          </c:val>
        </c:ser>
        <c:ser>
          <c:idx val="2"/>
          <c:order val="2"/>
          <c:tx>
            <c:strRef>
              <c:f>'Input and Scenario Summary'!$E$6</c:f>
              <c:strCache>
                <c:ptCount val="1"/>
                <c:pt idx="0">
                  <c:v>HZ 3</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Summary'!$E$7:$E$14</c:f>
              <c:numCache/>
            </c:numRef>
          </c:val>
        </c:ser>
        <c:ser>
          <c:idx val="3"/>
          <c:order val="3"/>
          <c:tx>
            <c:strRef>
              <c:f>'Input and Scenario Summary'!$F$6</c:f>
              <c:strCache>
                <c:ptCount val="1"/>
                <c:pt idx="0">
                  <c:v>PNW Region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Summary'!$F$7:$F$14</c:f>
              <c:numCache/>
            </c:numRef>
          </c:val>
        </c:ser>
        <c:overlap val="-27"/>
        <c:gapWidth val="219"/>
        <c:axId val="53124770"/>
        <c:axId val="8360883"/>
      </c:barChart>
      <c:catAx>
        <c:axId val="531247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1680000"/>
          <a:lstStyle/>
          <a:p>
            <a:pPr>
              <a:defRPr lang="en-US" cap="none" sz="900" b="0" i="0" u="none" baseline="0">
                <a:solidFill>
                  <a:schemeClr val="tx1">
                    <a:lumMod val="65000"/>
                    <a:lumOff val="35000"/>
                  </a:schemeClr>
                </a:solidFill>
                <a:latin typeface="+mn-lt"/>
                <a:ea typeface="+mn-cs"/>
                <a:cs typeface="+mn-cs"/>
              </a:defRPr>
            </a:pPr>
          </a:p>
        </c:txPr>
        <c:crossAx val="8360883"/>
        <c:crosses val="autoZero"/>
        <c:auto val="1"/>
        <c:lblOffset val="100"/>
        <c:noMultiLvlLbl val="0"/>
      </c:catAx>
      <c:valAx>
        <c:axId val="836088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Heating Consumption (kWh/yr)</a:t>
                </a:r>
              </a:p>
            </c:rich>
          </c:tx>
          <c:layout>
            <c:manualLayout>
              <c:xMode val="edge"/>
              <c:yMode val="edge"/>
              <c:x val="0.02775"/>
              <c:y val="0.134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12477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'Tables and Graphs'!$AG$41</c:f>
              <c:strCache>
                <c:ptCount val="1"/>
                <c:pt idx="0">
                  <c:v>2010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Graphs'!$AG$42:$AG$45</c:f>
              <c:numCache/>
            </c:numRef>
          </c:val>
        </c:ser>
        <c:ser>
          <c:idx val="1"/>
          <c:order val="1"/>
          <c:tx>
            <c:strRef>
              <c:f>'Tables and Graphs'!$AH$41</c:f>
              <c:strCache>
                <c:ptCount val="1"/>
                <c:pt idx="0">
                  <c:v>2011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Graphs'!$AH$42:$AH$45</c:f>
              <c:numCache/>
            </c:numRef>
          </c:val>
        </c:ser>
        <c:ser>
          <c:idx val="2"/>
          <c:order val="2"/>
          <c:tx>
            <c:strRef>
              <c:f>'Tables and Graphs'!$AI$41</c:f>
              <c:strCache>
                <c:ptCount val="1"/>
                <c:pt idx="0">
                  <c:v>2012</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Graphs'!$AI$42:$AI$45</c:f>
              <c:numCache/>
            </c:numRef>
          </c:val>
        </c:ser>
        <c:ser>
          <c:idx val="3"/>
          <c:order val="3"/>
          <c:tx>
            <c:strRef>
              <c:f>'Tables and Graphs'!$AJ$41</c:f>
              <c:strCache>
                <c:ptCount val="1"/>
                <c:pt idx="0">
                  <c:v>2013</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Graphs'!$AJ$42:$AJ$45</c:f>
              <c:numCache/>
            </c:numRef>
          </c:val>
        </c:ser>
        <c:ser>
          <c:idx val="4"/>
          <c:order val="4"/>
          <c:tx>
            <c:strRef>
              <c:f>'Tables and Graphs'!$AK$41</c:f>
              <c:strCache>
                <c:ptCount val="1"/>
                <c:pt idx="0">
                  <c:v>2014</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Graphs'!$AK$42:$AK$45</c:f>
              <c:numCache/>
            </c:numRef>
          </c:val>
        </c:ser>
        <c:overlap val="-27"/>
        <c:gapWidth val="219"/>
        <c:axId val="8139084"/>
        <c:axId val="6142893"/>
      </c:barChart>
      <c:catAx>
        <c:axId val="81390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42893"/>
        <c:crosses val="autoZero"/>
        <c:auto val="1"/>
        <c:lblOffset val="100"/>
        <c:noMultiLvlLbl val="0"/>
      </c:catAx>
      <c:valAx>
        <c:axId val="614289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139084"/>
        <c:crosses val="autoZero"/>
        <c:crossBetween val="between"/>
        <c:dispUnits/>
      </c:valAx>
      <c:spPr>
        <a:noFill/>
        <a:ln>
          <a:noFill/>
        </a:ln>
      </c:spPr>
    </c:plotArea>
    <c:legend>
      <c:legendPos val="b"/>
      <c:layout>
        <c:manualLayout>
          <c:xMode val="edge"/>
          <c:yMode val="edge"/>
          <c:x val="0.09575"/>
          <c:y val="0.895"/>
          <c:w val="0.479"/>
          <c:h val="0.07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0.10625</cdr:x>
      <cdr:y>0.4975</cdr:y>
    </cdr:from>
    <cdr:to>
      <cdr:x>0.31275</cdr:x>
      <cdr:y>0.584</cdr:y>
    </cdr:to>
    <cdr:sp macro="" textlink="">
      <cdr:nvSpPr>
        <cdr:cNvPr id="2" name="TextBox 1"/>
        <cdr:cNvSpPr txBox="1"/>
      </cdr:nvSpPr>
      <cdr:spPr>
        <a:xfrm>
          <a:off x="466725" y="1390650"/>
          <a:ext cx="923925" cy="247650"/>
        </a:xfrm>
        <a:prstGeom prst="rect">
          <a:avLst/>
        </a:prstGeom>
        <a:ln>
          <a:noFill/>
        </a:ln>
      </cdr:spPr>
      <cdr:txBody>
        <a:bodyPr vertOverflow="clip" wrap="square" rtlCol="0"/>
        <a:lstStyle/>
        <a:p>
          <a:pPr algn="ctr"/>
          <a:r>
            <a:rPr lang="en-US" sz="1100"/>
            <a:t>5,372*</a:t>
          </a:r>
        </a:p>
      </cdr:txBody>
    </cdr:sp>
  </cdr:relSizeAnchor>
  <cdr:relSizeAnchor xmlns:cdr="http://schemas.openxmlformats.org/drawingml/2006/chartDrawing">
    <cdr:from>
      <cdr:x>0.33275</cdr:x>
      <cdr:y>0.036</cdr:y>
    </cdr:from>
    <cdr:to>
      <cdr:x>0.53925</cdr:x>
      <cdr:y>0.1225</cdr:y>
    </cdr:to>
    <cdr:sp macro="" textlink="">
      <cdr:nvSpPr>
        <cdr:cNvPr id="3" name="TextBox 1"/>
        <cdr:cNvSpPr txBox="1"/>
      </cdr:nvSpPr>
      <cdr:spPr>
        <a:xfrm>
          <a:off x="1485900" y="952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32,782*</a:t>
          </a:r>
        </a:p>
      </cdr:txBody>
    </cdr:sp>
  </cdr:relSizeAnchor>
  <cdr:relSizeAnchor xmlns:cdr="http://schemas.openxmlformats.org/drawingml/2006/chartDrawing">
    <cdr:from>
      <cdr:x>0.5285</cdr:x>
      <cdr:y>0.23975</cdr:y>
    </cdr:from>
    <cdr:to>
      <cdr:x>0.735</cdr:x>
      <cdr:y>0.32625</cdr:y>
    </cdr:to>
    <cdr:sp macro="" textlink="">
      <cdr:nvSpPr>
        <cdr:cNvPr id="4" name="TextBox 1"/>
        <cdr:cNvSpPr txBox="1"/>
      </cdr:nvSpPr>
      <cdr:spPr>
        <a:xfrm>
          <a:off x="2362200" y="6667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2,972*</a:t>
          </a:r>
        </a:p>
      </cdr:txBody>
    </cdr:sp>
  </cdr:relSizeAnchor>
  <cdr:relSizeAnchor xmlns:cdr="http://schemas.openxmlformats.org/drawingml/2006/chartDrawing">
    <cdr:from>
      <cdr:x>0.74575</cdr:x>
      <cdr:y>0.23975</cdr:y>
    </cdr:from>
    <cdr:to>
      <cdr:x>0.95225</cdr:x>
      <cdr:y>0.32625</cdr:y>
    </cdr:to>
    <cdr:sp macro="" textlink="">
      <cdr:nvSpPr>
        <cdr:cNvPr id="5" name="TextBox 1"/>
        <cdr:cNvSpPr txBox="1"/>
      </cdr:nvSpPr>
      <cdr:spPr>
        <a:xfrm>
          <a:off x="3333750" y="6667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3,322*</a:t>
          </a:r>
        </a:p>
      </cdr:txBody>
    </cdr:sp>
  </cdr:relSizeAnchor>
  <cdr:relSizeAnchor xmlns:cdr="http://schemas.openxmlformats.org/drawingml/2006/chartDrawing">
    <cdr:from>
      <cdr:x>0.579</cdr:x>
      <cdr:y>0.885</cdr:y>
    </cdr:from>
    <cdr:to>
      <cdr:x>0.9685</cdr:x>
      <cdr:y>0.971</cdr:y>
    </cdr:to>
    <cdr:sp macro="" textlink="">
      <cdr:nvSpPr>
        <cdr:cNvPr id="6" name="TextBox 5"/>
        <cdr:cNvSpPr txBox="1"/>
      </cdr:nvSpPr>
      <cdr:spPr>
        <a:xfrm>
          <a:off x="2590800" y="2486025"/>
          <a:ext cx="1743075" cy="238125"/>
        </a:xfrm>
        <a:prstGeom prst="rect">
          <a:avLst/>
        </a:prstGeom>
        <a:ln>
          <a:noFill/>
        </a:ln>
      </cdr:spPr>
      <cdr:txBody>
        <a:bodyPr vertOverflow="clip" wrap="square" rtlCol="0"/>
        <a:lstStyle/>
        <a:p>
          <a:r>
            <a:rPr lang="en-US" sz="900"/>
            <a:t>*average shipments across</a:t>
          </a:r>
          <a:r>
            <a:rPr lang="en-US" sz="900" baseline="0"/>
            <a:t> years</a:t>
          </a:r>
          <a:endParaRPr lang="en-US" sz="900"/>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381000</xdr:colOff>
      <xdr:row>42</xdr:row>
      <xdr:rowOff>76200</xdr:rowOff>
    </xdr:from>
    <xdr:to>
      <xdr:col>24</xdr:col>
      <xdr:colOff>590550</xdr:colOff>
      <xdr:row>59</xdr:row>
      <xdr:rowOff>66675</xdr:rowOff>
    </xdr:to>
    <xdr:graphicFrame macro="">
      <xdr:nvGraphicFramePr>
        <xdr:cNvPr id="3" name="Chart 2"/>
        <xdr:cNvGraphicFramePr/>
      </xdr:nvGraphicFramePr>
      <xdr:xfrm>
        <a:off x="20269200" y="9115425"/>
        <a:ext cx="8543925" cy="2743200"/>
      </xdr:xfrm>
      <a:graphic>
        <a:graphicData uri="http://schemas.openxmlformats.org/drawingml/2006/chart">
          <c:chart xmlns:c="http://schemas.openxmlformats.org/drawingml/2006/chart" r:id="rId1"/>
        </a:graphicData>
      </a:graphic>
    </xdr:graphicFrame>
    <xdr:clientData/>
  </xdr:twoCellAnchor>
  <xdr:twoCellAnchor>
    <xdr:from>
      <xdr:col>18</xdr:col>
      <xdr:colOff>352425</xdr:colOff>
      <xdr:row>60</xdr:row>
      <xdr:rowOff>133350</xdr:rowOff>
    </xdr:from>
    <xdr:to>
      <xdr:col>20</xdr:col>
      <xdr:colOff>800100</xdr:colOff>
      <xdr:row>74</xdr:row>
      <xdr:rowOff>133350</xdr:rowOff>
    </xdr:to>
    <xdr:graphicFrame macro="">
      <xdr:nvGraphicFramePr>
        <xdr:cNvPr id="4" name="Chart 3"/>
        <xdr:cNvGraphicFramePr/>
      </xdr:nvGraphicFramePr>
      <xdr:xfrm>
        <a:off x="20240625" y="12096750"/>
        <a:ext cx="4095750" cy="2933700"/>
      </xdr:xfrm>
      <a:graphic>
        <a:graphicData uri="http://schemas.openxmlformats.org/drawingml/2006/chart">
          <c:chart xmlns:c="http://schemas.openxmlformats.org/drawingml/2006/chart" r:id="rId2"/>
        </a:graphicData>
      </a:graphic>
    </xdr:graphicFrame>
    <xdr:clientData/>
  </xdr:twoCellAnchor>
  <xdr:twoCellAnchor>
    <xdr:from>
      <xdr:col>20</xdr:col>
      <xdr:colOff>895350</xdr:colOff>
      <xdr:row>60</xdr:row>
      <xdr:rowOff>123825</xdr:rowOff>
    </xdr:from>
    <xdr:to>
      <xdr:col>24</xdr:col>
      <xdr:colOff>647700</xdr:colOff>
      <xdr:row>74</xdr:row>
      <xdr:rowOff>104775</xdr:rowOff>
    </xdr:to>
    <xdr:graphicFrame macro="">
      <xdr:nvGraphicFramePr>
        <xdr:cNvPr id="5" name="Chart 4"/>
        <xdr:cNvGraphicFramePr/>
      </xdr:nvGraphicFramePr>
      <xdr:xfrm>
        <a:off x="24431625" y="12087225"/>
        <a:ext cx="4438650" cy="2914650"/>
      </xdr:xfrm>
      <a:graphic>
        <a:graphicData uri="http://schemas.openxmlformats.org/drawingml/2006/chart">
          <c:chart xmlns:c="http://schemas.openxmlformats.org/drawingml/2006/chart" r:id="rId3"/>
        </a:graphicData>
      </a:graphic>
    </xdr:graphicFrame>
    <xdr:clientData/>
  </xdr:twoCellAnchor>
  <xdr:twoCellAnchor>
    <xdr:from>
      <xdr:col>8</xdr:col>
      <xdr:colOff>542925</xdr:colOff>
      <xdr:row>72</xdr:row>
      <xdr:rowOff>9525</xdr:rowOff>
    </xdr:from>
    <xdr:to>
      <xdr:col>11</xdr:col>
      <xdr:colOff>981075</xdr:colOff>
      <xdr:row>87</xdr:row>
      <xdr:rowOff>76200</xdr:rowOff>
    </xdr:to>
    <xdr:graphicFrame macro="">
      <xdr:nvGraphicFramePr>
        <xdr:cNvPr id="2" name="Chart 1"/>
        <xdr:cNvGraphicFramePr/>
      </xdr:nvGraphicFramePr>
      <xdr:xfrm>
        <a:off x="8524875" y="14582775"/>
        <a:ext cx="4581525" cy="3467100"/>
      </xdr:xfrm>
      <a:graphic>
        <a:graphicData uri="http://schemas.openxmlformats.org/drawingml/2006/chart">
          <c:chart xmlns:c="http://schemas.openxmlformats.org/drawingml/2006/chart" r:id="rId4"/>
        </a:graphicData>
      </a:graphic>
    </xdr:graphicFrame>
    <xdr:clientData/>
  </xdr:twoCellAnchor>
  <xdr:twoCellAnchor>
    <xdr:from>
      <xdr:col>8</xdr:col>
      <xdr:colOff>542925</xdr:colOff>
      <xdr:row>87</xdr:row>
      <xdr:rowOff>47625</xdr:rowOff>
    </xdr:from>
    <xdr:to>
      <xdr:col>11</xdr:col>
      <xdr:colOff>981075</xdr:colOff>
      <xdr:row>104</xdr:row>
      <xdr:rowOff>123825</xdr:rowOff>
    </xdr:to>
    <xdr:graphicFrame macro="">
      <xdr:nvGraphicFramePr>
        <xdr:cNvPr id="6" name="Chart 5"/>
        <xdr:cNvGraphicFramePr/>
      </xdr:nvGraphicFramePr>
      <xdr:xfrm>
        <a:off x="8524875" y="18021300"/>
        <a:ext cx="4581525" cy="28289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247650</xdr:colOff>
      <xdr:row>0</xdr:row>
      <xdr:rowOff>104775</xdr:rowOff>
    </xdr:from>
    <xdr:to>
      <xdr:col>45</xdr:col>
      <xdr:colOff>476250</xdr:colOff>
      <xdr:row>14</xdr:row>
      <xdr:rowOff>133350</xdr:rowOff>
    </xdr:to>
    <xdr:graphicFrame macro="">
      <xdr:nvGraphicFramePr>
        <xdr:cNvPr id="2" name="Chart 1"/>
        <xdr:cNvGraphicFramePr/>
      </xdr:nvGraphicFramePr>
      <xdr:xfrm>
        <a:off x="27612975" y="104775"/>
        <a:ext cx="4495800" cy="2819400"/>
      </xdr:xfrm>
      <a:graphic>
        <a:graphicData uri="http://schemas.openxmlformats.org/drawingml/2006/chart">
          <c:chart xmlns:c="http://schemas.openxmlformats.org/drawingml/2006/chart" r:id="rId1"/>
        </a:graphicData>
      </a:graphic>
    </xdr:graphicFrame>
    <xdr:clientData/>
  </xdr:twoCellAnchor>
  <xdr:twoCellAnchor>
    <xdr:from>
      <xdr:col>46</xdr:col>
      <xdr:colOff>19050</xdr:colOff>
      <xdr:row>15</xdr:row>
      <xdr:rowOff>28575</xdr:rowOff>
    </xdr:from>
    <xdr:to>
      <xdr:col>53</xdr:col>
      <xdr:colOff>247650</xdr:colOff>
      <xdr:row>29</xdr:row>
      <xdr:rowOff>190500</xdr:rowOff>
    </xdr:to>
    <xdr:graphicFrame macro="">
      <xdr:nvGraphicFramePr>
        <xdr:cNvPr id="3" name="Chart 2"/>
        <xdr:cNvGraphicFramePr/>
      </xdr:nvGraphicFramePr>
      <xdr:xfrm>
        <a:off x="32261175" y="3019425"/>
        <a:ext cx="4495800" cy="2905125"/>
      </xdr:xfrm>
      <a:graphic>
        <a:graphicData uri="http://schemas.openxmlformats.org/drawingml/2006/chart">
          <c:chart xmlns:c="http://schemas.openxmlformats.org/drawingml/2006/chart" r:id="rId2"/>
        </a:graphicData>
      </a:graphic>
    </xdr:graphicFrame>
    <xdr:clientData/>
  </xdr:twoCellAnchor>
  <xdr:twoCellAnchor>
    <xdr:from>
      <xdr:col>46</xdr:col>
      <xdr:colOff>9525</xdr:colOff>
      <xdr:row>0</xdr:row>
      <xdr:rowOff>104775</xdr:rowOff>
    </xdr:from>
    <xdr:to>
      <xdr:col>53</xdr:col>
      <xdr:colOff>228600</xdr:colOff>
      <xdr:row>14</xdr:row>
      <xdr:rowOff>133350</xdr:rowOff>
    </xdr:to>
    <xdr:graphicFrame macro="">
      <xdr:nvGraphicFramePr>
        <xdr:cNvPr id="4" name="Chart 3"/>
        <xdr:cNvGraphicFramePr/>
      </xdr:nvGraphicFramePr>
      <xdr:xfrm>
        <a:off x="32251650" y="104775"/>
        <a:ext cx="4486275" cy="2819400"/>
      </xdr:xfrm>
      <a:graphic>
        <a:graphicData uri="http://schemas.openxmlformats.org/drawingml/2006/chart">
          <c:chart xmlns:c="http://schemas.openxmlformats.org/drawingml/2006/chart" r:id="rId3"/>
        </a:graphicData>
      </a:graphic>
    </xdr:graphicFrame>
    <xdr:clientData/>
  </xdr:twoCellAnchor>
  <xdr:twoCellAnchor>
    <xdr:from>
      <xdr:col>38</xdr:col>
      <xdr:colOff>123825</xdr:colOff>
      <xdr:row>15</xdr:row>
      <xdr:rowOff>104775</xdr:rowOff>
    </xdr:from>
    <xdr:to>
      <xdr:col>45</xdr:col>
      <xdr:colOff>352425</xdr:colOff>
      <xdr:row>29</xdr:row>
      <xdr:rowOff>171450</xdr:rowOff>
    </xdr:to>
    <xdr:graphicFrame macro="">
      <xdr:nvGraphicFramePr>
        <xdr:cNvPr id="5" name="Chart 4"/>
        <xdr:cNvGraphicFramePr/>
      </xdr:nvGraphicFramePr>
      <xdr:xfrm>
        <a:off x="27489150" y="3095625"/>
        <a:ext cx="4495800" cy="2809875"/>
      </xdr:xfrm>
      <a:graphic>
        <a:graphicData uri="http://schemas.openxmlformats.org/drawingml/2006/chart">
          <c:chart xmlns:c="http://schemas.openxmlformats.org/drawingml/2006/chart" r:id="rId4"/>
        </a:graphicData>
      </a:graphic>
    </xdr:graphicFrame>
    <xdr:clientData/>
  </xdr:twoCellAnchor>
  <xdr:twoCellAnchor>
    <xdr:from>
      <xdr:col>38</xdr:col>
      <xdr:colOff>95250</xdr:colOff>
      <xdr:row>30</xdr:row>
      <xdr:rowOff>190500</xdr:rowOff>
    </xdr:from>
    <xdr:to>
      <xdr:col>45</xdr:col>
      <xdr:colOff>400050</xdr:colOff>
      <xdr:row>44</xdr:row>
      <xdr:rowOff>190500</xdr:rowOff>
    </xdr:to>
    <xdr:graphicFrame macro="">
      <xdr:nvGraphicFramePr>
        <xdr:cNvPr id="6" name="Chart 5"/>
        <xdr:cNvGraphicFramePr/>
      </xdr:nvGraphicFramePr>
      <xdr:xfrm>
        <a:off x="27460575" y="6115050"/>
        <a:ext cx="4572000" cy="2705100"/>
      </xdr:xfrm>
      <a:graphic>
        <a:graphicData uri="http://schemas.openxmlformats.org/drawingml/2006/chart">
          <c:chart xmlns:c="http://schemas.openxmlformats.org/drawingml/2006/chart" r:id="rId5"/>
        </a:graphicData>
      </a:graphic>
    </xdr:graphicFrame>
    <xdr:clientData/>
  </xdr:twoCellAnchor>
  <xdr:twoCellAnchor>
    <xdr:from>
      <xdr:col>8</xdr:col>
      <xdr:colOff>523875</xdr:colOff>
      <xdr:row>39</xdr:row>
      <xdr:rowOff>47625</xdr:rowOff>
    </xdr:from>
    <xdr:to>
      <xdr:col>16</xdr:col>
      <xdr:colOff>47625</xdr:colOff>
      <xdr:row>53</xdr:row>
      <xdr:rowOff>66675</xdr:rowOff>
    </xdr:to>
    <xdr:graphicFrame macro="">
      <xdr:nvGraphicFramePr>
        <xdr:cNvPr id="7" name="Chart 6"/>
        <xdr:cNvGraphicFramePr/>
      </xdr:nvGraphicFramePr>
      <xdr:xfrm>
        <a:off x="6800850" y="7715250"/>
        <a:ext cx="4476750" cy="2600325"/>
      </xdr:xfrm>
      <a:graphic>
        <a:graphicData uri="http://schemas.openxmlformats.org/drawingml/2006/chart">
          <c:chart xmlns:c="http://schemas.openxmlformats.org/drawingml/2006/chart" r:id="rId6"/>
        </a:graphicData>
      </a:graphic>
    </xdr:graphicFrame>
    <xdr:clientData/>
  </xdr:twoCellAnchor>
  <xdr:twoCellAnchor>
    <xdr:from>
      <xdr:col>53</xdr:col>
      <xdr:colOff>400050</xdr:colOff>
      <xdr:row>15</xdr:row>
      <xdr:rowOff>28575</xdr:rowOff>
    </xdr:from>
    <xdr:to>
      <xdr:col>61</xdr:col>
      <xdr:colOff>9525</xdr:colOff>
      <xdr:row>29</xdr:row>
      <xdr:rowOff>161925</xdr:rowOff>
    </xdr:to>
    <xdr:graphicFrame macro="">
      <xdr:nvGraphicFramePr>
        <xdr:cNvPr id="8" name="Chart 7"/>
        <xdr:cNvGraphicFramePr/>
      </xdr:nvGraphicFramePr>
      <xdr:xfrm>
        <a:off x="36909375" y="3019425"/>
        <a:ext cx="4486275" cy="2876550"/>
      </xdr:xfrm>
      <a:graphic>
        <a:graphicData uri="http://schemas.openxmlformats.org/drawingml/2006/chart">
          <c:chart xmlns:c="http://schemas.openxmlformats.org/drawingml/2006/chart" r:id="rId7"/>
        </a:graphicData>
      </a:graphic>
    </xdr:graphicFrame>
    <xdr:clientData/>
  </xdr:twoCellAnchor>
  <xdr:twoCellAnchor>
    <xdr:from>
      <xdr:col>16</xdr:col>
      <xdr:colOff>9525</xdr:colOff>
      <xdr:row>23</xdr:row>
      <xdr:rowOff>133350</xdr:rowOff>
    </xdr:from>
    <xdr:to>
      <xdr:col>23</xdr:col>
      <xdr:colOff>209550</xdr:colOff>
      <xdr:row>38</xdr:row>
      <xdr:rowOff>47625</xdr:rowOff>
    </xdr:to>
    <xdr:graphicFrame macro="">
      <xdr:nvGraphicFramePr>
        <xdr:cNvPr id="10" name="Chart 9"/>
        <xdr:cNvGraphicFramePr/>
      </xdr:nvGraphicFramePr>
      <xdr:xfrm>
        <a:off x="11239500" y="4695825"/>
        <a:ext cx="4467225" cy="2819400"/>
      </xdr:xfrm>
      <a:graphic>
        <a:graphicData uri="http://schemas.openxmlformats.org/drawingml/2006/chart">
          <c:chart xmlns:c="http://schemas.openxmlformats.org/drawingml/2006/chart" r:id="rId8"/>
        </a:graphicData>
      </a:graphic>
    </xdr:graphicFrame>
    <xdr:clientData/>
  </xdr:twoCellAnchor>
  <xdr:twoCellAnchor>
    <xdr:from>
      <xdr:col>8</xdr:col>
      <xdr:colOff>476250</xdr:colOff>
      <xdr:row>23</xdr:row>
      <xdr:rowOff>152400</xdr:rowOff>
    </xdr:from>
    <xdr:to>
      <xdr:col>15</xdr:col>
      <xdr:colOff>609600</xdr:colOff>
      <xdr:row>38</xdr:row>
      <xdr:rowOff>57150</xdr:rowOff>
    </xdr:to>
    <xdr:graphicFrame macro="">
      <xdr:nvGraphicFramePr>
        <xdr:cNvPr id="11" name="Chart 10"/>
        <xdr:cNvGraphicFramePr/>
      </xdr:nvGraphicFramePr>
      <xdr:xfrm>
        <a:off x="6753225" y="4714875"/>
        <a:ext cx="4476750" cy="2809875"/>
      </xdr:xfrm>
      <a:graphic>
        <a:graphicData uri="http://schemas.openxmlformats.org/drawingml/2006/chart">
          <c:chart xmlns:c="http://schemas.openxmlformats.org/drawingml/2006/chart" r:id="rId9"/>
        </a:graphicData>
      </a:graphic>
    </xdr:graphicFrame>
    <xdr:clientData/>
  </xdr:twoCellAnchor>
  <xdr:twoCellAnchor>
    <xdr:from>
      <xdr:col>53</xdr:col>
      <xdr:colOff>276225</xdr:colOff>
      <xdr:row>0</xdr:row>
      <xdr:rowOff>104775</xdr:rowOff>
    </xdr:from>
    <xdr:to>
      <xdr:col>60</xdr:col>
      <xdr:colOff>495300</xdr:colOff>
      <xdr:row>14</xdr:row>
      <xdr:rowOff>123825</xdr:rowOff>
    </xdr:to>
    <xdr:graphicFrame macro="">
      <xdr:nvGraphicFramePr>
        <xdr:cNvPr id="12" name="Chart 11"/>
        <xdr:cNvGraphicFramePr/>
      </xdr:nvGraphicFramePr>
      <xdr:xfrm>
        <a:off x="36785550" y="104775"/>
        <a:ext cx="4486275" cy="2809875"/>
      </xdr:xfrm>
      <a:graphic>
        <a:graphicData uri="http://schemas.openxmlformats.org/drawingml/2006/chart">
          <c:chart xmlns:c="http://schemas.openxmlformats.org/drawingml/2006/chart" r:id="rId10"/>
        </a:graphicData>
      </a:graphic>
    </xdr:graphicFrame>
    <xdr:clientData/>
  </xdr:twoCellAnchor>
  <xdr:twoCellAnchor>
    <xdr:from>
      <xdr:col>16</xdr:col>
      <xdr:colOff>38100</xdr:colOff>
      <xdr:row>39</xdr:row>
      <xdr:rowOff>38100</xdr:rowOff>
    </xdr:from>
    <xdr:to>
      <xdr:col>23</xdr:col>
      <xdr:colOff>238125</xdr:colOff>
      <xdr:row>53</xdr:row>
      <xdr:rowOff>57150</xdr:rowOff>
    </xdr:to>
    <xdr:graphicFrame macro="">
      <xdr:nvGraphicFramePr>
        <xdr:cNvPr id="13" name="Chart 12"/>
        <xdr:cNvGraphicFramePr/>
      </xdr:nvGraphicFramePr>
      <xdr:xfrm>
        <a:off x="11268075" y="7705725"/>
        <a:ext cx="4467225" cy="2600325"/>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23</xdr:row>
      <xdr:rowOff>47625</xdr:rowOff>
    </xdr:from>
    <xdr:to>
      <xdr:col>30</xdr:col>
      <xdr:colOff>295275</xdr:colOff>
      <xdr:row>37</xdr:row>
      <xdr:rowOff>114300</xdr:rowOff>
    </xdr:to>
    <xdr:graphicFrame macro="">
      <xdr:nvGraphicFramePr>
        <xdr:cNvPr id="3" name="Chart 2"/>
        <xdr:cNvGraphicFramePr/>
      </xdr:nvGraphicFramePr>
      <xdr:xfrm>
        <a:off x="21793200" y="4610100"/>
        <a:ext cx="4495800" cy="2819400"/>
      </xdr:xfrm>
      <a:graphic>
        <a:graphicData uri="http://schemas.openxmlformats.org/drawingml/2006/chart">
          <c:chart xmlns:c="http://schemas.openxmlformats.org/drawingml/2006/chart" r:id="rId1"/>
        </a:graphicData>
      </a:graphic>
    </xdr:graphicFrame>
    <xdr:clientData/>
  </xdr:twoCellAnchor>
  <xdr:twoCellAnchor>
    <xdr:from>
      <xdr:col>23</xdr:col>
      <xdr:colOff>66675</xdr:colOff>
      <xdr:row>37</xdr:row>
      <xdr:rowOff>180975</xdr:rowOff>
    </xdr:from>
    <xdr:to>
      <xdr:col>30</xdr:col>
      <xdr:colOff>295275</xdr:colOff>
      <xdr:row>52</xdr:row>
      <xdr:rowOff>76200</xdr:rowOff>
    </xdr:to>
    <xdr:graphicFrame macro="">
      <xdr:nvGraphicFramePr>
        <xdr:cNvPr id="4" name="Chart 3"/>
        <xdr:cNvGraphicFramePr/>
      </xdr:nvGraphicFramePr>
      <xdr:xfrm>
        <a:off x="21793200" y="7496175"/>
        <a:ext cx="4495800" cy="2828925"/>
      </xdr:xfrm>
      <a:graphic>
        <a:graphicData uri="http://schemas.openxmlformats.org/drawingml/2006/chart">
          <c:chart xmlns:c="http://schemas.openxmlformats.org/drawingml/2006/chart" r:id="rId2"/>
        </a:graphicData>
      </a:graphic>
    </xdr:graphicFrame>
    <xdr:clientData/>
  </xdr:twoCellAnchor>
  <xdr:twoCellAnchor>
    <xdr:from>
      <xdr:col>6</xdr:col>
      <xdr:colOff>209550</xdr:colOff>
      <xdr:row>48</xdr:row>
      <xdr:rowOff>0</xdr:rowOff>
    </xdr:from>
    <xdr:to>
      <xdr:col>8</xdr:col>
      <xdr:colOff>2533650</xdr:colOff>
      <xdr:row>62</xdr:row>
      <xdr:rowOff>114300</xdr:rowOff>
    </xdr:to>
    <xdr:graphicFrame macro="">
      <xdr:nvGraphicFramePr>
        <xdr:cNvPr id="7" name="Chart 6"/>
        <xdr:cNvGraphicFramePr/>
      </xdr:nvGraphicFramePr>
      <xdr:xfrm>
        <a:off x="4667250" y="9477375"/>
        <a:ext cx="4362450" cy="2828925"/>
      </xdr:xfrm>
      <a:graphic>
        <a:graphicData uri="http://schemas.openxmlformats.org/drawingml/2006/chart">
          <c:chart xmlns:c="http://schemas.openxmlformats.org/drawingml/2006/chart" r:id="rId3"/>
        </a:graphicData>
      </a:graphic>
    </xdr:graphicFrame>
    <xdr:clientData/>
  </xdr:twoCellAnchor>
  <xdr:twoCellAnchor>
    <xdr:from>
      <xdr:col>30</xdr:col>
      <xdr:colOff>409575</xdr:colOff>
      <xdr:row>23</xdr:row>
      <xdr:rowOff>57150</xdr:rowOff>
    </xdr:from>
    <xdr:to>
      <xdr:col>38</xdr:col>
      <xdr:colOff>28575</xdr:colOff>
      <xdr:row>37</xdr:row>
      <xdr:rowOff>104775</xdr:rowOff>
    </xdr:to>
    <xdr:graphicFrame macro="">
      <xdr:nvGraphicFramePr>
        <xdr:cNvPr id="5" name="Chart 4"/>
        <xdr:cNvGraphicFramePr/>
      </xdr:nvGraphicFramePr>
      <xdr:xfrm>
        <a:off x="26403300" y="4619625"/>
        <a:ext cx="4495800" cy="2800350"/>
      </xdr:xfrm>
      <a:graphic>
        <a:graphicData uri="http://schemas.openxmlformats.org/drawingml/2006/chart">
          <c:chart xmlns:c="http://schemas.openxmlformats.org/drawingml/2006/chart" r:id="rId4"/>
        </a:graphicData>
      </a:graphic>
    </xdr:graphicFrame>
    <xdr:clientData/>
  </xdr:twoCellAnchor>
  <xdr:twoCellAnchor>
    <xdr:from>
      <xdr:col>30</xdr:col>
      <xdr:colOff>381000</xdr:colOff>
      <xdr:row>38</xdr:row>
      <xdr:rowOff>9525</xdr:rowOff>
    </xdr:from>
    <xdr:to>
      <xdr:col>37</xdr:col>
      <xdr:colOff>609600</xdr:colOff>
      <xdr:row>52</xdr:row>
      <xdr:rowOff>85725</xdr:rowOff>
    </xdr:to>
    <xdr:graphicFrame macro="">
      <xdr:nvGraphicFramePr>
        <xdr:cNvPr id="6" name="Chart 5"/>
        <xdr:cNvGraphicFramePr/>
      </xdr:nvGraphicFramePr>
      <xdr:xfrm>
        <a:off x="26374725" y="7515225"/>
        <a:ext cx="4495800" cy="2819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1238250</xdr:colOff>
      <xdr:row>65</xdr:row>
      <xdr:rowOff>76200</xdr:rowOff>
    </xdr:from>
    <xdr:to>
      <xdr:col>23</xdr:col>
      <xdr:colOff>95250</xdr:colOff>
      <xdr:row>80</xdr:row>
      <xdr:rowOff>38100</xdr:rowOff>
    </xdr:to>
    <xdr:graphicFrame macro="">
      <xdr:nvGraphicFramePr>
        <xdr:cNvPr id="2" name="Chart 1"/>
        <xdr:cNvGraphicFramePr/>
      </xdr:nvGraphicFramePr>
      <xdr:xfrm>
        <a:off x="18611850" y="11763375"/>
        <a:ext cx="4438650" cy="2390775"/>
      </xdr:xfrm>
      <a:graphic>
        <a:graphicData uri="http://schemas.openxmlformats.org/drawingml/2006/chart">
          <c:chart xmlns:c="http://schemas.openxmlformats.org/drawingml/2006/chart" r:id="rId1"/>
        </a:graphicData>
      </a:graphic>
    </xdr:graphicFrame>
    <xdr:clientData/>
  </xdr:twoCellAnchor>
  <xdr:twoCellAnchor>
    <xdr:from>
      <xdr:col>25</xdr:col>
      <xdr:colOff>819150</xdr:colOff>
      <xdr:row>60</xdr:row>
      <xdr:rowOff>85725</xdr:rowOff>
    </xdr:from>
    <xdr:to>
      <xdr:col>30</xdr:col>
      <xdr:colOff>609600</xdr:colOff>
      <xdr:row>75</xdr:row>
      <xdr:rowOff>47625</xdr:rowOff>
    </xdr:to>
    <xdr:graphicFrame macro="">
      <xdr:nvGraphicFramePr>
        <xdr:cNvPr id="3" name="Chart 2"/>
        <xdr:cNvGraphicFramePr/>
      </xdr:nvGraphicFramePr>
      <xdr:xfrm>
        <a:off x="25050750" y="10810875"/>
        <a:ext cx="4686300" cy="2543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371475</xdr:colOff>
      <xdr:row>0</xdr:row>
      <xdr:rowOff>190500</xdr:rowOff>
    </xdr:from>
    <xdr:to>
      <xdr:col>61</xdr:col>
      <xdr:colOff>552450</xdr:colOff>
      <xdr:row>14</xdr:row>
      <xdr:rowOff>85725</xdr:rowOff>
    </xdr:to>
    <xdr:graphicFrame macro="">
      <xdr:nvGraphicFramePr>
        <xdr:cNvPr id="2" name="Chart 1"/>
        <xdr:cNvGraphicFramePr/>
      </xdr:nvGraphicFramePr>
      <xdr:xfrm>
        <a:off x="47834550" y="190500"/>
        <a:ext cx="4448175" cy="2771775"/>
      </xdr:xfrm>
      <a:graphic>
        <a:graphicData uri="http://schemas.openxmlformats.org/drawingml/2006/chart">
          <c:chart xmlns:c="http://schemas.openxmlformats.org/drawingml/2006/chart" r:id="rId1"/>
        </a:graphicData>
      </a:graphic>
    </xdr:graphicFrame>
    <xdr:clientData/>
  </xdr:twoCellAnchor>
  <xdr:twoCellAnchor>
    <xdr:from>
      <xdr:col>54</xdr:col>
      <xdr:colOff>371475</xdr:colOff>
      <xdr:row>14</xdr:row>
      <xdr:rowOff>152400</xdr:rowOff>
    </xdr:from>
    <xdr:to>
      <xdr:col>61</xdr:col>
      <xdr:colOff>552450</xdr:colOff>
      <xdr:row>29</xdr:row>
      <xdr:rowOff>57150</xdr:rowOff>
    </xdr:to>
    <xdr:graphicFrame macro="">
      <xdr:nvGraphicFramePr>
        <xdr:cNvPr id="3" name="Chart 2"/>
        <xdr:cNvGraphicFramePr/>
      </xdr:nvGraphicFramePr>
      <xdr:xfrm>
        <a:off x="47834550" y="3028950"/>
        <a:ext cx="4448175" cy="2828925"/>
      </xdr:xfrm>
      <a:graphic>
        <a:graphicData uri="http://schemas.openxmlformats.org/drawingml/2006/chart">
          <c:chart xmlns:c="http://schemas.openxmlformats.org/drawingml/2006/chart" r:id="rId2"/>
        </a:graphicData>
      </a:graphic>
    </xdr:graphicFrame>
    <xdr:clientData/>
  </xdr:twoCellAnchor>
  <xdr:twoCellAnchor>
    <xdr:from>
      <xdr:col>54</xdr:col>
      <xdr:colOff>371475</xdr:colOff>
      <xdr:row>29</xdr:row>
      <xdr:rowOff>85725</xdr:rowOff>
    </xdr:from>
    <xdr:to>
      <xdr:col>61</xdr:col>
      <xdr:colOff>552450</xdr:colOff>
      <xdr:row>43</xdr:row>
      <xdr:rowOff>190500</xdr:rowOff>
    </xdr:to>
    <xdr:graphicFrame macro="">
      <xdr:nvGraphicFramePr>
        <xdr:cNvPr id="4" name="Chart 3"/>
        <xdr:cNvGraphicFramePr/>
      </xdr:nvGraphicFramePr>
      <xdr:xfrm>
        <a:off x="47834550" y="5886450"/>
        <a:ext cx="4448175" cy="2838450"/>
      </xdr:xfrm>
      <a:graphic>
        <a:graphicData uri="http://schemas.openxmlformats.org/drawingml/2006/chart">
          <c:chart xmlns:c="http://schemas.openxmlformats.org/drawingml/2006/chart" r:id="rId3"/>
        </a:graphicData>
      </a:graphic>
    </xdr:graphicFrame>
    <xdr:clientData/>
  </xdr:twoCellAnchor>
  <xdr:twoCellAnchor>
    <xdr:from>
      <xdr:col>62</xdr:col>
      <xdr:colOff>0</xdr:colOff>
      <xdr:row>1</xdr:row>
      <xdr:rowOff>0</xdr:rowOff>
    </xdr:from>
    <xdr:to>
      <xdr:col>69</xdr:col>
      <xdr:colOff>190500</xdr:colOff>
      <xdr:row>14</xdr:row>
      <xdr:rowOff>95250</xdr:rowOff>
    </xdr:to>
    <xdr:graphicFrame macro="">
      <xdr:nvGraphicFramePr>
        <xdr:cNvPr id="5" name="Chart 4"/>
        <xdr:cNvGraphicFramePr/>
      </xdr:nvGraphicFramePr>
      <xdr:xfrm>
        <a:off x="52339875" y="190500"/>
        <a:ext cx="4457700" cy="2781300"/>
      </xdr:xfrm>
      <a:graphic>
        <a:graphicData uri="http://schemas.openxmlformats.org/drawingml/2006/chart">
          <c:chart xmlns:c="http://schemas.openxmlformats.org/drawingml/2006/chart" r:id="rId4"/>
        </a:graphicData>
      </a:graphic>
    </xdr:graphicFrame>
    <xdr:clientData/>
  </xdr:twoCellAnchor>
  <xdr:twoCellAnchor>
    <xdr:from>
      <xdr:col>61</xdr:col>
      <xdr:colOff>609600</xdr:colOff>
      <xdr:row>15</xdr:row>
      <xdr:rowOff>38100</xdr:rowOff>
    </xdr:from>
    <xdr:to>
      <xdr:col>69</xdr:col>
      <xdr:colOff>190500</xdr:colOff>
      <xdr:row>29</xdr:row>
      <xdr:rowOff>104775</xdr:rowOff>
    </xdr:to>
    <xdr:graphicFrame macro="">
      <xdr:nvGraphicFramePr>
        <xdr:cNvPr id="6" name="Chart 5"/>
        <xdr:cNvGraphicFramePr/>
      </xdr:nvGraphicFramePr>
      <xdr:xfrm>
        <a:off x="52339875" y="3105150"/>
        <a:ext cx="4457700" cy="28003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657225</xdr:colOff>
      <xdr:row>32</xdr:row>
      <xdr:rowOff>0</xdr:rowOff>
    </xdr:from>
    <xdr:to>
      <xdr:col>14</xdr:col>
      <xdr:colOff>428625</xdr:colOff>
      <xdr:row>46</xdr:row>
      <xdr:rowOff>142875</xdr:rowOff>
    </xdr:to>
    <xdr:graphicFrame macro="">
      <xdr:nvGraphicFramePr>
        <xdr:cNvPr id="2" name="Chart 1"/>
        <xdr:cNvGraphicFramePr/>
      </xdr:nvGraphicFramePr>
      <xdr:xfrm>
        <a:off x="7810500" y="6010275"/>
        <a:ext cx="4333875" cy="2476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209550</xdr:colOff>
      <xdr:row>11</xdr:row>
      <xdr:rowOff>38100</xdr:rowOff>
    </xdr:from>
    <xdr:to>
      <xdr:col>30</xdr:col>
      <xdr:colOff>485775</xdr:colOff>
      <xdr:row>27</xdr:row>
      <xdr:rowOff>152400</xdr:rowOff>
    </xdr:to>
    <xdr:graphicFrame macro="">
      <xdr:nvGraphicFramePr>
        <xdr:cNvPr id="4" name="Chart 3"/>
        <xdr:cNvGraphicFramePr/>
      </xdr:nvGraphicFramePr>
      <xdr:xfrm>
        <a:off x="15049500" y="2247900"/>
        <a:ext cx="5153025" cy="356235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12</xdr:row>
      <xdr:rowOff>85725</xdr:rowOff>
    </xdr:from>
    <xdr:to>
      <xdr:col>21</xdr:col>
      <xdr:colOff>609600</xdr:colOff>
      <xdr:row>27</xdr:row>
      <xdr:rowOff>104775</xdr:rowOff>
    </xdr:to>
    <xdr:graphicFrame macro="">
      <xdr:nvGraphicFramePr>
        <xdr:cNvPr id="12" name="Chart 11"/>
        <xdr:cNvGraphicFramePr/>
      </xdr:nvGraphicFramePr>
      <xdr:xfrm>
        <a:off x="9677400" y="2495550"/>
        <a:ext cx="5162550" cy="32670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8</xdr:row>
      <xdr:rowOff>9525</xdr:rowOff>
    </xdr:from>
    <xdr:to>
      <xdr:col>5</xdr:col>
      <xdr:colOff>904875</xdr:colOff>
      <xdr:row>14</xdr:row>
      <xdr:rowOff>180975</xdr:rowOff>
    </xdr:to>
    <xdr:sp macro="" textlink="">
      <xdr:nvSpPr>
        <xdr:cNvPr id="2" name="Left Brace 1"/>
        <xdr:cNvSpPr/>
      </xdr:nvSpPr>
      <xdr:spPr bwMode="auto">
        <a:xfrm>
          <a:off x="6076950" y="1562100"/>
          <a:ext cx="400050" cy="1371600"/>
        </a:xfrm>
        <a:prstGeom prst="leftBrace">
          <a:avLst>
            <a:gd name="adj1" fmla="val 63263"/>
            <a:gd name="adj2" fmla="val 36281"/>
          </a:avLst>
        </a:prstGeom>
        <a:no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xdr:spPr>
      <xdr:txBody>
        <a:bodyPr vertOverflow="clip" horzOverflow="clip" wrap="square" lIns="18288" tIns="0" rIns="0" bIns="0" rtlCol="0" anchor="t" upright="1"/>
        <a:lstStyle/>
        <a:p>
          <a:pPr algn="l"/>
          <a:endParaRPr lang="en-US" sz="1100"/>
        </a:p>
      </xdr:txBody>
    </xdr:sp>
    <xdr:clientData/>
  </xdr:twoCellAnchor>
  <xdr:twoCellAnchor>
    <xdr:from>
      <xdr:col>5</xdr:col>
      <xdr:colOff>38100</xdr:colOff>
      <xdr:row>10</xdr:row>
      <xdr:rowOff>104775</xdr:rowOff>
    </xdr:from>
    <xdr:to>
      <xdr:col>5</xdr:col>
      <xdr:colOff>504825</xdr:colOff>
      <xdr:row>12</xdr:row>
      <xdr:rowOff>114300</xdr:rowOff>
    </xdr:to>
    <xdr:cxnSp macro="">
      <xdr:nvCxnSpPr>
        <xdr:cNvPr id="6" name="Elbow Connector 5"/>
        <xdr:cNvCxnSpPr/>
      </xdr:nvCxnSpPr>
      <xdr:spPr bwMode="auto">
        <a:xfrm flipV="1">
          <a:off x="5610225" y="2057400"/>
          <a:ext cx="466725" cy="409575"/>
        </a:xfrm>
        <a:prstGeom prst="bentConnector3">
          <a:avLst>
            <a:gd name="adj1" fmla="val 35597"/>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38100</xdr:colOff>
      <xdr:row>10</xdr:row>
      <xdr:rowOff>104775</xdr:rowOff>
    </xdr:from>
    <xdr:to>
      <xdr:col>5</xdr:col>
      <xdr:colOff>514350</xdr:colOff>
      <xdr:row>14</xdr:row>
      <xdr:rowOff>123825</xdr:rowOff>
    </xdr:to>
    <xdr:cxnSp macro="">
      <xdr:nvCxnSpPr>
        <xdr:cNvPr id="7" name="Elbow Connector 6"/>
        <xdr:cNvCxnSpPr/>
      </xdr:nvCxnSpPr>
      <xdr:spPr bwMode="auto">
        <a:xfrm flipV="1">
          <a:off x="5610225" y="2057400"/>
          <a:ext cx="476250" cy="819150"/>
        </a:xfrm>
        <a:prstGeom prst="bentConnector3">
          <a:avLst>
            <a:gd name="adj1" fmla="val 56799"/>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38100</xdr:colOff>
      <xdr:row>7</xdr:row>
      <xdr:rowOff>200025</xdr:rowOff>
    </xdr:from>
    <xdr:to>
      <xdr:col>7</xdr:col>
      <xdr:colOff>485775</xdr:colOff>
      <xdr:row>13</xdr:row>
      <xdr:rowOff>9525</xdr:rowOff>
    </xdr:to>
    <xdr:sp macro="" textlink="">
      <xdr:nvSpPr>
        <xdr:cNvPr id="34" name="Left Brace 33"/>
        <xdr:cNvSpPr/>
      </xdr:nvSpPr>
      <xdr:spPr bwMode="auto">
        <a:xfrm rot="10800000">
          <a:off x="9172575" y="1552575"/>
          <a:ext cx="447675" cy="1009650"/>
        </a:xfrm>
        <a:prstGeom prst="leftBrace">
          <a:avLst>
            <a:gd name="adj1" fmla="val 63263"/>
            <a:gd name="adj2" fmla="val 49213"/>
          </a:avLst>
        </a:prstGeom>
        <a:no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xdr:spPr>
      <xdr:txBody>
        <a:bodyPr vertOverflow="clip" horzOverflow="clip" wrap="square" lIns="18288" tIns="0" rIns="0" bIns="0" rtlCol="0" anchor="t" upright="1"/>
        <a:lstStyle/>
        <a:p>
          <a:pPr algn="l"/>
          <a:endParaRPr lang="en-US" sz="1100"/>
        </a:p>
      </xdr:txBody>
    </xdr:sp>
    <xdr:clientData/>
  </xdr:twoCellAnchor>
  <xdr:twoCellAnchor>
    <xdr:from>
      <xdr:col>5</xdr:col>
      <xdr:colOff>57150</xdr:colOff>
      <xdr:row>10</xdr:row>
      <xdr:rowOff>104775</xdr:rowOff>
    </xdr:from>
    <xdr:to>
      <xdr:col>5</xdr:col>
      <xdr:colOff>504825</xdr:colOff>
      <xdr:row>20</xdr:row>
      <xdr:rowOff>95250</xdr:rowOff>
    </xdr:to>
    <xdr:cxnSp macro="">
      <xdr:nvCxnSpPr>
        <xdr:cNvPr id="46" name="Elbow Connector 45"/>
        <xdr:cNvCxnSpPr/>
      </xdr:nvCxnSpPr>
      <xdr:spPr bwMode="auto">
        <a:xfrm flipV="1">
          <a:off x="5629275" y="2057400"/>
          <a:ext cx="447675" cy="1952625"/>
        </a:xfrm>
        <a:prstGeom prst="bentConnector3">
          <a:avLst>
            <a:gd name="adj1" fmla="val 78848"/>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xdr:colOff>
      <xdr:row>10</xdr:row>
      <xdr:rowOff>104775</xdr:rowOff>
    </xdr:from>
    <xdr:to>
      <xdr:col>5</xdr:col>
      <xdr:colOff>333375</xdr:colOff>
      <xdr:row>10</xdr:row>
      <xdr:rowOff>104775</xdr:rowOff>
    </xdr:to>
    <xdr:cxnSp macro="">
      <xdr:nvCxnSpPr>
        <xdr:cNvPr id="36" name="Elbow Connector 35"/>
        <xdr:cNvCxnSpPr/>
      </xdr:nvCxnSpPr>
      <xdr:spPr bwMode="auto">
        <a:xfrm>
          <a:off x="5619750" y="2057400"/>
          <a:ext cx="285750" cy="0"/>
        </a:xfrm>
        <a:prstGeom prst="bentConnector3">
          <a:avLst>
            <a:gd name="adj1" fmla="val 50000"/>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485775</xdr:colOff>
      <xdr:row>82</xdr:row>
      <xdr:rowOff>104775</xdr:rowOff>
    </xdr:from>
    <xdr:to>
      <xdr:col>34</xdr:col>
      <xdr:colOff>657225</xdr:colOff>
      <xdr:row>99</xdr:row>
      <xdr:rowOff>57150</xdr:rowOff>
    </xdr:to>
    <xdr:graphicFrame macro="">
      <xdr:nvGraphicFramePr>
        <xdr:cNvPr id="2" name="Chart 1"/>
        <xdr:cNvGraphicFramePr/>
      </xdr:nvGraphicFramePr>
      <xdr:xfrm>
        <a:off x="15840075" y="14020800"/>
        <a:ext cx="4600575" cy="2705100"/>
      </xdr:xfrm>
      <a:graphic>
        <a:graphicData uri="http://schemas.openxmlformats.org/drawingml/2006/chart">
          <c:chart xmlns:c="http://schemas.openxmlformats.org/drawingml/2006/chart" r:id="rId1"/>
        </a:graphicData>
      </a:graphic>
    </xdr:graphicFrame>
    <xdr:clientData/>
  </xdr:twoCellAnchor>
  <xdr:twoCellAnchor>
    <xdr:from>
      <xdr:col>19</xdr:col>
      <xdr:colOff>266700</xdr:colOff>
      <xdr:row>82</xdr:row>
      <xdr:rowOff>85725</xdr:rowOff>
    </xdr:from>
    <xdr:to>
      <xdr:col>26</xdr:col>
      <xdr:colOff>247650</xdr:colOff>
      <xdr:row>99</xdr:row>
      <xdr:rowOff>47625</xdr:rowOff>
    </xdr:to>
    <xdr:graphicFrame macro="">
      <xdr:nvGraphicFramePr>
        <xdr:cNvPr id="3" name="Chart 2"/>
        <xdr:cNvGraphicFramePr/>
      </xdr:nvGraphicFramePr>
      <xdr:xfrm>
        <a:off x="10991850" y="14001750"/>
        <a:ext cx="4610100" cy="2714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bpa.gov\Users\Ben\Dropbox\CADEO\03_Projects\BPA%20MSA\TO1_HVAC\HVAC%20NPS%20Model\04292015%20-%20HVAC%20Stock%20and%20Shipments%20Model%20v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mments"/>
      <sheetName val="Navigation"/>
      <sheetName val="Constants and Menus"/>
      <sheetName val="Shipments"/>
      <sheetName val="Housing Stock"/>
      <sheetName val="County Heating &amp; Cooling Zones "/>
      <sheetName val="Bldg Heating &amp; Cooling Zones"/>
      <sheetName val="1992 Saturation Data Tables"/>
      <sheetName val="1992 Saturation Data - TH"/>
      <sheetName val="2011 Saturation Data - SF"/>
      <sheetName val="2011 Saturation Data - MH"/>
      <sheetName val="Saturations and Allocations"/>
      <sheetName val="Saturations and Allocations (2"/>
      <sheetName val="Saturations"/>
      <sheetName val="Lifetimes"/>
      <sheetName val="Forced Air Furnace - Electric"/>
      <sheetName val="Baseboard Heater"/>
      <sheetName val="Air Source Heat Pump - Heating"/>
      <sheetName val="Central AC"/>
      <sheetName val="Air Source Heat Pump - Cooling"/>
      <sheetName val="Shipments and Stock - SF"/>
      <sheetName val="Shipments and Stock - MH"/>
      <sheetName val="Shipments and Stock - TH"/>
    </sheetNames>
    <sheetDataSet>
      <sheetData sheetId="0" refreshError="1"/>
      <sheetData sheetId="1" refreshError="1"/>
      <sheetData sheetId="2" refreshError="1"/>
      <sheetData sheetId="3">
        <row r="8">
          <cell r="G8">
            <v>1955</v>
          </cell>
        </row>
      </sheetData>
      <sheetData sheetId="4">
        <row r="7">
          <cell r="D7">
            <v>2010</v>
          </cell>
        </row>
      </sheetData>
      <sheetData sheetId="5">
        <row r="11">
          <cell r="C11" t="str">
            <v>Single Family</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ow r="9">
          <cell r="D9" t="str">
            <v>SINGLE FAMILY</v>
          </cell>
        </row>
        <row r="13">
          <cell r="D13">
            <v>0.0592738465664544</v>
          </cell>
          <cell r="E13">
            <v>0.0529679763699606</v>
          </cell>
          <cell r="F13">
            <v>0.0250211866249001</v>
          </cell>
          <cell r="G13">
            <v>0.0553549716677985</v>
          </cell>
          <cell r="H13">
            <v>0</v>
          </cell>
          <cell r="I13" t="e">
            <v>#REF!</v>
          </cell>
          <cell r="J13" t="e">
            <v>#REF!</v>
          </cell>
          <cell r="K13" t="e">
            <v>#REF!</v>
          </cell>
          <cell r="L13">
            <v>0</v>
          </cell>
          <cell r="M13">
            <v>0</v>
          </cell>
          <cell r="N13" t="e">
            <v>#REF!</v>
          </cell>
          <cell r="O13" t="e">
            <v>#REF!</v>
          </cell>
          <cell r="P13" t="e">
            <v>#REF!</v>
          </cell>
        </row>
        <row r="14">
          <cell r="D14">
            <v>0.143904503133391</v>
          </cell>
          <cell r="E14">
            <v>0.0976993626472342</v>
          </cell>
          <cell r="F14">
            <v>0.0322023980887408</v>
          </cell>
          <cell r="G14">
            <v>0.12689261485592</v>
          </cell>
          <cell r="H14">
            <v>0</v>
          </cell>
          <cell r="I14" t="e">
            <v>#REF!</v>
          </cell>
          <cell r="J14" t="e">
            <v>#REF!</v>
          </cell>
          <cell r="K14" t="e">
            <v>#REF!</v>
          </cell>
          <cell r="L14">
            <v>0</v>
          </cell>
          <cell r="M14">
            <v>0</v>
          </cell>
          <cell r="N14" t="e">
            <v>#REF!</v>
          </cell>
          <cell r="O14" t="e">
            <v>#REF!</v>
          </cell>
          <cell r="P14" t="e">
            <v>#REF!</v>
          </cell>
        </row>
        <row r="15">
          <cell r="D15">
            <v>0.100123597115358</v>
          </cell>
          <cell r="E15">
            <v>0.261400250461729</v>
          </cell>
          <cell r="F15">
            <v>0.437358506974467</v>
          </cell>
          <cell r="G15">
            <v>0.176132100165476</v>
          </cell>
          <cell r="H15">
            <v>0</v>
          </cell>
          <cell r="I15" t="e">
            <v>#REF!</v>
          </cell>
          <cell r="J15" t="e">
            <v>#REF!</v>
          </cell>
          <cell r="K15" t="e">
            <v>#REF!</v>
          </cell>
          <cell r="L15">
            <v>0</v>
          </cell>
          <cell r="M15">
            <v>0</v>
          </cell>
          <cell r="N15" t="e">
            <v>#REF!</v>
          </cell>
          <cell r="O15" t="e">
            <v>#REF!</v>
          </cell>
          <cell r="P15" t="e">
            <v>#REF!</v>
          </cell>
        </row>
        <row r="16">
          <cell r="D16">
            <v>0.120446226260764</v>
          </cell>
          <cell r="E16">
            <v>0.0866921218652685</v>
          </cell>
          <cell r="F16">
            <v>0.263834388620491</v>
          </cell>
          <cell r="G16">
            <v>0.12689261485592</v>
          </cell>
          <cell r="H16">
            <v>0</v>
          </cell>
          <cell r="I16" t="e">
            <v>#REF!</v>
          </cell>
          <cell r="J16" t="e">
            <v>#REF!</v>
          </cell>
          <cell r="K16" t="e">
            <v>#REF!</v>
          </cell>
          <cell r="L16">
            <v>0</v>
          </cell>
          <cell r="M16">
            <v>0</v>
          </cell>
          <cell r="N16" t="e">
            <v>#REF!</v>
          </cell>
          <cell r="O16" t="e">
            <v>#REF!</v>
          </cell>
          <cell r="P16" t="e">
            <v>#REF!</v>
          </cell>
        </row>
        <row r="22">
          <cell r="D22" t="e">
            <v>#REF!</v>
          </cell>
          <cell r="E22" t="e">
            <v>#REF!</v>
          </cell>
          <cell r="F22" t="e">
            <v>#REF!</v>
          </cell>
          <cell r="G22" t="e">
            <v>#N/A</v>
          </cell>
          <cell r="H22">
            <v>0</v>
          </cell>
          <cell r="I22" t="e">
            <v>#REF!</v>
          </cell>
          <cell r="J22" t="e">
            <v>#REF!</v>
          </cell>
          <cell r="K22" t="e">
            <v>#REF!</v>
          </cell>
          <cell r="L22" t="e">
            <v>#N/A</v>
          </cell>
          <cell r="M22">
            <v>0</v>
          </cell>
          <cell r="N22">
            <v>0.16853221761728251</v>
          </cell>
          <cell r="O22">
            <v>0.21743131892002007</v>
          </cell>
          <cell r="P22">
            <v>0.09717731666580812</v>
          </cell>
        </row>
        <row r="23">
          <cell r="D23" t="e">
            <v>#REF!</v>
          </cell>
          <cell r="E23" t="e">
            <v>#REF!</v>
          </cell>
          <cell r="F23" t="e">
            <v>#REF!</v>
          </cell>
          <cell r="G23" t="e">
            <v>#N/A</v>
          </cell>
          <cell r="H23">
            <v>0</v>
          </cell>
          <cell r="I23" t="e">
            <v>#REF!</v>
          </cell>
          <cell r="J23" t="e">
            <v>#REF!</v>
          </cell>
          <cell r="K23" t="e">
            <v>#REF!</v>
          </cell>
          <cell r="L23" t="e">
            <v>#N/A</v>
          </cell>
          <cell r="M23">
            <v>0</v>
          </cell>
          <cell r="N23">
            <v>0.05826880961368802</v>
          </cell>
          <cell r="O23">
            <v>0.0635565704658292</v>
          </cell>
          <cell r="P23">
            <v>0.005496780727501249</v>
          </cell>
        </row>
        <row r="24">
          <cell r="D24" t="e">
            <v>#REF!</v>
          </cell>
          <cell r="E24" t="e">
            <v>#REF!</v>
          </cell>
          <cell r="F24" t="e">
            <v>#REF!</v>
          </cell>
          <cell r="G24" t="e">
            <v>#N/A</v>
          </cell>
          <cell r="H24">
            <v>0</v>
          </cell>
          <cell r="I24" t="e">
            <v>#REF!</v>
          </cell>
          <cell r="J24" t="e">
            <v>#REF!</v>
          </cell>
          <cell r="K24" t="e">
            <v>#REF!</v>
          </cell>
          <cell r="L24" t="e">
            <v>#N/A</v>
          </cell>
          <cell r="M24">
            <v>0</v>
          </cell>
          <cell r="N24">
            <v>0.02246452878015066</v>
          </cell>
          <cell r="O24">
            <v>0.07340137644492417</v>
          </cell>
          <cell r="P24">
            <v>0.23391758918921804</v>
          </cell>
        </row>
        <row r="25">
          <cell r="D25" t="e">
            <v>#REF!</v>
          </cell>
          <cell r="E25" t="e">
            <v>#REF!</v>
          </cell>
          <cell r="F25" t="e">
            <v>#REF!</v>
          </cell>
          <cell r="G25" t="e">
            <v>#N/A</v>
          </cell>
          <cell r="H25">
            <v>0</v>
          </cell>
          <cell r="I25" t="e">
            <v>#REF!</v>
          </cell>
          <cell r="J25" t="e">
            <v>#REF!</v>
          </cell>
          <cell r="K25" t="e">
            <v>#REF!</v>
          </cell>
          <cell r="L25" t="e">
            <v>#N/A</v>
          </cell>
          <cell r="M25">
            <v>0</v>
          </cell>
          <cell r="N25">
            <v>0.0354539290823935</v>
          </cell>
          <cell r="O25">
            <v>0.08056256318828359</v>
          </cell>
          <cell r="P25">
            <v>0.08449713447037037</v>
          </cell>
        </row>
      </sheetData>
      <sheetData sheetId="15">
        <row r="7">
          <cell r="D7" t="str">
            <v>TOTAL HOMES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heme1BPA">
  <a:themeElements>
    <a:clrScheme name="Cheer Up Emo Kid">
      <a:dk1>
        <a:sysClr val="windowText" lastClr="000000"/>
      </a:dk1>
      <a:lt1>
        <a:sysClr val="window" lastClr="FFFFFF"/>
      </a:lt1>
      <a:dk2>
        <a:srgbClr val="556270"/>
      </a:dk2>
      <a:lt2>
        <a:srgbClr val="E7E6E6"/>
      </a:lt2>
      <a:accent1>
        <a:srgbClr val="556270"/>
      </a:accent1>
      <a:accent2>
        <a:srgbClr val="4ECDC4"/>
      </a:accent2>
      <a:accent3>
        <a:srgbClr val="C7F464"/>
      </a:accent3>
      <a:accent4>
        <a:srgbClr val="FF6B6B"/>
      </a:accent4>
      <a:accent5>
        <a:srgbClr val="C44D58"/>
      </a:accent5>
      <a:accent6>
        <a:srgbClr val="70AD47"/>
      </a:accent6>
      <a:hlink>
        <a:srgbClr val="0563C1"/>
      </a:hlink>
      <a:folHlink>
        <a:srgbClr val="954F72"/>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zoomScale="70" zoomScaleNormal="70" workbookViewId="0" topLeftCell="A1">
      <pane xSplit="1" ySplit="1" topLeftCell="B2" activePane="bottomRight" state="frozen"/>
      <selection pane="topLeft" activeCell="I5" sqref="I5"/>
      <selection pane="topRight" activeCell="I5" sqref="I5"/>
      <selection pane="bottomLeft" activeCell="I5" sqref="I5"/>
      <selection pane="bottomRight" activeCell="A1" sqref="A1"/>
    </sheetView>
  </sheetViews>
  <sheetFormatPr defaultColWidth="9.140625" defaultRowHeight="12.75"/>
  <cols>
    <col min="1" max="1" width="21.140625" style="44" customWidth="1"/>
    <col min="2" max="2" width="22.140625" style="46" customWidth="1"/>
    <col min="3" max="3" width="30.7109375" style="44" customWidth="1"/>
    <col min="4" max="4" width="64.28125" style="582" customWidth="1"/>
    <col min="5" max="5" width="44.00390625" style="582" customWidth="1"/>
    <col min="6" max="16384" width="9.140625" style="44" customWidth="1"/>
  </cols>
  <sheetData>
    <row r="1" spans="1:6" ht="16.5" thickBot="1">
      <c r="A1" s="660" t="s">
        <v>229</v>
      </c>
      <c r="B1" s="661" t="s">
        <v>230</v>
      </c>
      <c r="C1" s="662" t="s">
        <v>231</v>
      </c>
      <c r="D1" s="663" t="s">
        <v>232</v>
      </c>
      <c r="E1" s="663" t="s">
        <v>233</v>
      </c>
      <c r="F1" s="664" t="s">
        <v>234</v>
      </c>
    </row>
    <row r="2" spans="1:6" ht="12.75">
      <c r="A2" s="807" t="s">
        <v>235</v>
      </c>
      <c r="B2" s="669" t="s">
        <v>236</v>
      </c>
      <c r="C2" s="817" t="s">
        <v>460</v>
      </c>
      <c r="D2" s="818"/>
      <c r="E2" s="818"/>
      <c r="F2" s="819"/>
    </row>
    <row r="3" spans="1:6" ht="112.9" customHeight="1">
      <c r="A3" s="808"/>
      <c r="B3" s="490" t="s">
        <v>237</v>
      </c>
      <c r="C3" s="674" t="s">
        <v>238</v>
      </c>
      <c r="D3" s="674" t="s">
        <v>239</v>
      </c>
      <c r="E3" s="674" t="s">
        <v>502</v>
      </c>
      <c r="F3" s="675" t="s">
        <v>241</v>
      </c>
    </row>
    <row r="4" spans="1:6" ht="102">
      <c r="A4" s="808"/>
      <c r="B4" s="490" t="s">
        <v>242</v>
      </c>
      <c r="C4" s="674" t="s">
        <v>243</v>
      </c>
      <c r="D4" s="674" t="s">
        <v>244</v>
      </c>
      <c r="E4" s="674" t="s">
        <v>465</v>
      </c>
      <c r="F4" s="675" t="s">
        <v>245</v>
      </c>
    </row>
    <row r="5" spans="1:6" ht="75" customHeight="1">
      <c r="A5" s="808"/>
      <c r="B5" s="490" t="s">
        <v>246</v>
      </c>
      <c r="C5" s="674" t="s">
        <v>247</v>
      </c>
      <c r="D5" s="674" t="s">
        <v>248</v>
      </c>
      <c r="E5" s="674" t="s">
        <v>466</v>
      </c>
      <c r="F5" s="675" t="s">
        <v>155</v>
      </c>
    </row>
    <row r="6" spans="1:6" ht="64.15" customHeight="1" thickBot="1">
      <c r="A6" s="808"/>
      <c r="B6" s="583" t="s">
        <v>249</v>
      </c>
      <c r="C6" s="676" t="s">
        <v>250</v>
      </c>
      <c r="D6" s="676" t="s">
        <v>251</v>
      </c>
      <c r="E6" s="676" t="s">
        <v>252</v>
      </c>
      <c r="F6" s="677" t="s">
        <v>253</v>
      </c>
    </row>
    <row r="7" spans="1:6" ht="12.75">
      <c r="A7" s="809" t="s">
        <v>242</v>
      </c>
      <c r="B7" s="669" t="s">
        <v>236</v>
      </c>
      <c r="C7" s="817" t="s">
        <v>254</v>
      </c>
      <c r="D7" s="818"/>
      <c r="E7" s="818"/>
      <c r="F7" s="819"/>
    </row>
    <row r="8" spans="1:6" ht="102">
      <c r="A8" s="810"/>
      <c r="B8" s="490" t="s">
        <v>242</v>
      </c>
      <c r="C8" s="674" t="str">
        <f>C4</f>
        <v>The size of the HVAC market (number of shipments) by year, housing type, and installation type</v>
      </c>
      <c r="D8" s="674" t="s">
        <v>244</v>
      </c>
      <c r="E8" s="674" t="s">
        <v>465</v>
      </c>
      <c r="F8" s="678" t="s">
        <v>245</v>
      </c>
    </row>
    <row r="9" spans="1:6" ht="51">
      <c r="A9" s="810"/>
      <c r="B9" s="490" t="s">
        <v>246</v>
      </c>
      <c r="C9" s="674" t="str">
        <f>C5</f>
        <v>The percent of each unit efficiency in the market, by year, under the Sixth Plan Baseline and in the actual market</v>
      </c>
      <c r="D9" s="674" t="s">
        <v>248</v>
      </c>
      <c r="E9" s="674" t="s">
        <v>466</v>
      </c>
      <c r="F9" s="678" t="s">
        <v>155</v>
      </c>
    </row>
    <row r="10" spans="1:6" ht="51.75" thickBot="1">
      <c r="A10" s="811"/>
      <c r="B10" s="492" t="s">
        <v>255</v>
      </c>
      <c r="C10" s="676" t="s">
        <v>256</v>
      </c>
      <c r="D10" s="676"/>
      <c r="E10" s="676" t="s">
        <v>257</v>
      </c>
      <c r="F10" s="677" t="s">
        <v>245</v>
      </c>
    </row>
    <row r="11" spans="1:6" ht="12.75">
      <c r="A11" s="812" t="s">
        <v>258</v>
      </c>
      <c r="B11" s="669" t="s">
        <v>236</v>
      </c>
      <c r="C11" s="817" t="s">
        <v>259</v>
      </c>
      <c r="D11" s="818"/>
      <c r="E11" s="818"/>
      <c r="F11" s="819"/>
    </row>
    <row r="12" spans="1:6" ht="63.6" customHeight="1">
      <c r="A12" s="813"/>
      <c r="B12" s="491" t="s">
        <v>255</v>
      </c>
      <c r="C12" s="674" t="str">
        <f>$C$10</f>
        <v>The number of units sold into the market by year, efficiency level, base/actual market,  installation type, and housing type</v>
      </c>
      <c r="D12" s="674"/>
      <c r="E12" s="674" t="s">
        <v>257</v>
      </c>
      <c r="F12" s="678" t="s">
        <v>245</v>
      </c>
    </row>
    <row r="13" spans="1:6" ht="123" customHeight="1">
      <c r="A13" s="813"/>
      <c r="B13" s="490" t="s">
        <v>237</v>
      </c>
      <c r="C13" s="674" t="str">
        <f>$C$3</f>
        <v>HVAC unit energy consumption in homes outside of programs, in kWh/yr by climate zone, housing type, installation type, and unit efficiency</v>
      </c>
      <c r="D13" s="674" t="s">
        <v>239</v>
      </c>
      <c r="E13" s="674" t="s">
        <v>240</v>
      </c>
      <c r="F13" s="678" t="s">
        <v>241</v>
      </c>
    </row>
    <row r="14" spans="1:6" ht="69.6" customHeight="1">
      <c r="A14" s="813"/>
      <c r="B14" s="491" t="s">
        <v>258</v>
      </c>
      <c r="C14" s="674" t="s">
        <v>260</v>
      </c>
      <c r="D14" s="674"/>
      <c r="E14" s="674" t="s">
        <v>257</v>
      </c>
      <c r="F14" s="678" t="s">
        <v>241</v>
      </c>
    </row>
    <row r="15" spans="1:6" ht="77.25" thickBot="1">
      <c r="A15" s="814"/>
      <c r="B15" s="584" t="s">
        <v>261</v>
      </c>
      <c r="C15" s="679" t="s">
        <v>262</v>
      </c>
      <c r="D15" s="679"/>
      <c r="E15" s="679" t="s">
        <v>257</v>
      </c>
      <c r="F15" s="680" t="s">
        <v>253</v>
      </c>
    </row>
    <row r="16" spans="1:6" ht="12.75">
      <c r="A16" s="815" t="s">
        <v>263</v>
      </c>
      <c r="B16" s="671" t="s">
        <v>236</v>
      </c>
      <c r="C16" s="817" t="s">
        <v>264</v>
      </c>
      <c r="D16" s="818"/>
      <c r="E16" s="818"/>
      <c r="F16" s="819"/>
    </row>
    <row r="17" spans="1:6" ht="76.5">
      <c r="A17" s="813"/>
      <c r="B17" s="491" t="s">
        <v>261</v>
      </c>
      <c r="C17" s="674" t="str">
        <f>$C$15</f>
        <v>Total energy consumption (MWh/yr) in the market by market case. Calculation to remove the dimensionality of the 'Total Market Consumption' variable and convert to MWh</v>
      </c>
      <c r="D17" s="674"/>
      <c r="E17" s="674" t="s">
        <v>257</v>
      </c>
      <c r="F17" s="675" t="s">
        <v>253</v>
      </c>
    </row>
    <row r="18" spans="1:6" ht="38.25">
      <c r="A18" s="813"/>
      <c r="B18" s="491" t="s">
        <v>265</v>
      </c>
      <c r="C18" s="674" t="s">
        <v>266</v>
      </c>
      <c r="D18" s="674" t="s">
        <v>267</v>
      </c>
      <c r="E18" s="681"/>
      <c r="F18" s="675" t="s">
        <v>253</v>
      </c>
    </row>
    <row r="19" spans="1:6" ht="25.5">
      <c r="A19" s="813"/>
      <c r="B19" s="491" t="s">
        <v>268</v>
      </c>
      <c r="C19" s="674" t="s">
        <v>269</v>
      </c>
      <c r="D19" s="674" t="s">
        <v>267</v>
      </c>
      <c r="E19" s="681"/>
      <c r="F19" s="675" t="s">
        <v>253</v>
      </c>
    </row>
    <row r="20" spans="1:6" ht="26.45" customHeight="1" thickBot="1">
      <c r="A20" s="816"/>
      <c r="B20" s="492" t="s">
        <v>263</v>
      </c>
      <c r="C20" s="682" t="s">
        <v>270</v>
      </c>
      <c r="D20" s="676"/>
      <c r="E20" s="676" t="s">
        <v>257</v>
      </c>
      <c r="F20" s="677" t="s">
        <v>253</v>
      </c>
    </row>
    <row r="21" spans="1:6" ht="12.75">
      <c r="A21" s="812" t="s">
        <v>271</v>
      </c>
      <c r="B21" s="670" t="s">
        <v>236</v>
      </c>
      <c r="C21" s="817" t="s">
        <v>272</v>
      </c>
      <c r="D21" s="818"/>
      <c r="E21" s="818"/>
      <c r="F21" s="819"/>
    </row>
    <row r="22" spans="1:6" ht="25.5">
      <c r="A22" s="813"/>
      <c r="B22" s="491" t="s">
        <v>263</v>
      </c>
      <c r="C22" s="674" t="str">
        <f>$C$20</f>
        <v>Savings (MWh/yr) in the residential ASHP HVAC market by year</v>
      </c>
      <c r="D22" s="674"/>
      <c r="E22" s="674" t="s">
        <v>257</v>
      </c>
      <c r="F22" s="678" t="s">
        <v>253</v>
      </c>
    </row>
    <row r="23" spans="1:6" ht="51">
      <c r="A23" s="813"/>
      <c r="B23" s="585" t="s">
        <v>249</v>
      </c>
      <c r="C23" s="674" t="str">
        <f>$C$6</f>
        <v>Savings from all ASHP res HVAC utility programs in the region, by year and service territory, measured against the Sixth Plan Baseline</v>
      </c>
      <c r="D23" s="674" t="s">
        <v>251</v>
      </c>
      <c r="E23" s="674" t="s">
        <v>252</v>
      </c>
      <c r="F23" s="678" t="s">
        <v>253</v>
      </c>
    </row>
    <row r="24" spans="1:6" ht="39" thickBot="1">
      <c r="A24" s="816"/>
      <c r="B24" s="492" t="s">
        <v>271</v>
      </c>
      <c r="C24" s="676" t="s">
        <v>273</v>
      </c>
      <c r="D24" s="676"/>
      <c r="E24" s="676" t="s">
        <v>257</v>
      </c>
      <c r="F24" s="677" t="s">
        <v>274</v>
      </c>
    </row>
    <row r="25" spans="1:6" ht="26.25" thickBot="1">
      <c r="A25" s="672" t="s">
        <v>275</v>
      </c>
      <c r="B25" s="673"/>
      <c r="C25" s="683" t="s">
        <v>276</v>
      </c>
      <c r="D25" s="683" t="s">
        <v>469</v>
      </c>
      <c r="E25" s="683" t="s">
        <v>467</v>
      </c>
      <c r="F25" s="684" t="s">
        <v>241</v>
      </c>
    </row>
    <row r="26" spans="1:6" ht="39" thickBot="1">
      <c r="A26" s="672" t="s">
        <v>280</v>
      </c>
      <c r="B26" s="673"/>
      <c r="C26" s="683" t="s">
        <v>281</v>
      </c>
      <c r="D26" s="683" t="s">
        <v>278</v>
      </c>
      <c r="E26" s="683" t="s">
        <v>279</v>
      </c>
      <c r="F26" s="684" t="s">
        <v>155</v>
      </c>
    </row>
    <row r="27" spans="1:6" ht="26.25" thickBot="1">
      <c r="A27" s="687" t="s">
        <v>282</v>
      </c>
      <c r="B27" s="688"/>
      <c r="C27" s="689" t="s">
        <v>283</v>
      </c>
      <c r="D27" s="689" t="s">
        <v>468</v>
      </c>
      <c r="E27" s="689" t="s">
        <v>284</v>
      </c>
      <c r="F27" s="690" t="s">
        <v>253</v>
      </c>
    </row>
    <row r="28" spans="1:6" ht="128.25" thickBot="1">
      <c r="A28" s="686" t="s">
        <v>433</v>
      </c>
      <c r="B28" s="673"/>
      <c r="C28" s="683" t="s">
        <v>434</v>
      </c>
      <c r="D28" s="683" t="s">
        <v>435</v>
      </c>
      <c r="E28" s="683" t="s">
        <v>277</v>
      </c>
      <c r="F28" s="684" t="s">
        <v>245</v>
      </c>
    </row>
    <row r="29" ht="15.75" thickBot="1"/>
    <row r="30" ht="15.75" thickBot="1">
      <c r="A30" s="665" t="s">
        <v>285</v>
      </c>
    </row>
    <row r="31" ht="12.75">
      <c r="A31" s="666" t="s">
        <v>286</v>
      </c>
    </row>
    <row r="32" ht="15.75" thickBot="1">
      <c r="A32" s="710" t="s">
        <v>287</v>
      </c>
    </row>
    <row r="34" ht="12.75">
      <c r="A34" s="44" t="s">
        <v>288</v>
      </c>
    </row>
    <row r="35" ht="12.75">
      <c r="B35" s="47" t="s">
        <v>75</v>
      </c>
    </row>
    <row r="36" ht="12.75">
      <c r="B36" s="47" t="s">
        <v>76</v>
      </c>
    </row>
    <row r="37" ht="15.75" thickBot="1"/>
    <row r="38" spans="2:3" ht="39">
      <c r="B38" s="48" t="s">
        <v>289</v>
      </c>
      <c r="C38" s="45" t="s">
        <v>290</v>
      </c>
    </row>
    <row r="39" spans="2:3" ht="39">
      <c r="B39" s="667" t="s">
        <v>291</v>
      </c>
      <c r="C39" s="95" t="s">
        <v>292</v>
      </c>
    </row>
    <row r="40" spans="2:3" ht="39.75" thickBot="1">
      <c r="B40" s="668" t="s">
        <v>293</v>
      </c>
      <c r="C40" s="96" t="s">
        <v>294</v>
      </c>
    </row>
    <row r="44" ht="12.75">
      <c r="B44" s="46" t="s">
        <v>295</v>
      </c>
    </row>
    <row r="45" ht="12.75">
      <c r="B45" s="46" t="s">
        <v>431</v>
      </c>
    </row>
  </sheetData>
  <mergeCells count="10">
    <mergeCell ref="C2:F2"/>
    <mergeCell ref="C7:F7"/>
    <mergeCell ref="C11:F11"/>
    <mergeCell ref="C16:F16"/>
    <mergeCell ref="C21:F21"/>
    <mergeCell ref="A2:A6"/>
    <mergeCell ref="A7:A10"/>
    <mergeCell ref="A11:A15"/>
    <mergeCell ref="A16:A20"/>
    <mergeCell ref="A21:A2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T72"/>
  <sheetViews>
    <sheetView zoomScale="70" zoomScaleNormal="70" workbookViewId="0" topLeftCell="A1"/>
  </sheetViews>
  <sheetFormatPr defaultColWidth="9.140625" defaultRowHeight="12.75"/>
  <cols>
    <col min="1" max="1" width="9.140625" style="757" customWidth="1"/>
    <col min="2" max="6" width="11.7109375" style="757" customWidth="1"/>
    <col min="7" max="8" width="9.140625" style="757" customWidth="1"/>
    <col min="9" max="9" width="10.421875" style="757" customWidth="1"/>
    <col min="10" max="10" width="11.00390625" style="757" customWidth="1"/>
    <col min="11" max="11" width="10.57421875" style="757" customWidth="1"/>
    <col min="12" max="12" width="11.7109375" style="757" customWidth="1"/>
    <col min="13" max="13" width="10.57421875" style="757" customWidth="1"/>
    <col min="14" max="26" width="9.140625" style="757" customWidth="1"/>
    <col min="27" max="16384" width="9.140625" style="757" customWidth="1"/>
  </cols>
  <sheetData>
    <row r="1" ht="18.75">
      <c r="A1" s="756" t="s">
        <v>386</v>
      </c>
    </row>
    <row r="2" ht="15.75" thickBot="1"/>
    <row r="3" spans="1:16" ht="15.75" thickBot="1">
      <c r="A3" s="463" t="s">
        <v>386</v>
      </c>
      <c r="B3" s="464"/>
      <c r="C3" s="464"/>
      <c r="D3" s="464"/>
      <c r="E3" s="464"/>
      <c r="F3" s="464"/>
      <c r="G3" s="464"/>
      <c r="H3" s="464"/>
      <c r="I3" s="464"/>
      <c r="J3" s="464"/>
      <c r="K3" s="464"/>
      <c r="L3" s="464"/>
      <c r="M3" s="464"/>
      <c r="N3" s="464"/>
      <c r="O3" s="464"/>
      <c r="P3" s="652"/>
    </row>
    <row r="4" spans="1:16" ht="15.75" thickBot="1">
      <c r="A4" s="651"/>
      <c r="B4" s="882">
        <v>2010</v>
      </c>
      <c r="C4" s="883"/>
      <c r="D4" s="883"/>
      <c r="E4" s="884">
        <v>2011</v>
      </c>
      <c r="F4" s="882"/>
      <c r="G4" s="883"/>
      <c r="H4" s="883">
        <v>2012</v>
      </c>
      <c r="I4" s="884"/>
      <c r="J4" s="882"/>
      <c r="K4" s="883">
        <v>2013</v>
      </c>
      <c r="L4" s="883"/>
      <c r="M4" s="884"/>
      <c r="N4" s="882">
        <v>2014</v>
      </c>
      <c r="O4" s="883"/>
      <c r="P4" s="884"/>
    </row>
    <row r="5" spans="1:16" ht="28.5">
      <c r="A5" s="650" t="s">
        <v>387</v>
      </c>
      <c r="B5" s="641" t="s">
        <v>388</v>
      </c>
      <c r="C5" s="642" t="s">
        <v>389</v>
      </c>
      <c r="D5" s="643" t="s">
        <v>390</v>
      </c>
      <c r="E5" s="644" t="s">
        <v>388</v>
      </c>
      <c r="F5" s="641" t="s">
        <v>389</v>
      </c>
      <c r="G5" s="642" t="s">
        <v>390</v>
      </c>
      <c r="H5" s="643" t="s">
        <v>388</v>
      </c>
      <c r="I5" s="644" t="s">
        <v>389</v>
      </c>
      <c r="J5" s="641" t="s">
        <v>390</v>
      </c>
      <c r="K5" s="642" t="s">
        <v>388</v>
      </c>
      <c r="L5" s="643" t="s">
        <v>389</v>
      </c>
      <c r="M5" s="644" t="s">
        <v>390</v>
      </c>
      <c r="N5" s="641" t="s">
        <v>388</v>
      </c>
      <c r="O5" s="642" t="s">
        <v>389</v>
      </c>
      <c r="P5" s="644" t="s">
        <v>390</v>
      </c>
    </row>
    <row r="6" spans="1:16" ht="12.75">
      <c r="A6" s="768" t="s">
        <v>396</v>
      </c>
      <c r="B6" s="645">
        <v>6</v>
      </c>
      <c r="C6" s="752">
        <v>51</v>
      </c>
      <c r="D6" s="752">
        <v>0</v>
      </c>
      <c r="E6" s="646">
        <v>152</v>
      </c>
      <c r="F6" s="645">
        <v>1749</v>
      </c>
      <c r="G6" s="752">
        <v>318</v>
      </c>
      <c r="H6" s="752">
        <v>136</v>
      </c>
      <c r="I6" s="646">
        <v>1888.68</v>
      </c>
      <c r="J6" s="645">
        <v>402.48</v>
      </c>
      <c r="K6" s="752">
        <v>293</v>
      </c>
      <c r="L6" s="752">
        <v>3902.8</v>
      </c>
      <c r="M6" s="646">
        <v>1653.8</v>
      </c>
      <c r="N6" s="645">
        <v>454</v>
      </c>
      <c r="O6" s="752">
        <v>4525.96</v>
      </c>
      <c r="P6" s="646">
        <v>1723.2</v>
      </c>
    </row>
    <row r="7" spans="1:16" ht="12.75">
      <c r="A7" s="769" t="s">
        <v>392</v>
      </c>
      <c r="B7" s="645">
        <v>4</v>
      </c>
      <c r="C7" s="752">
        <v>178</v>
      </c>
      <c r="D7" s="752">
        <v>124</v>
      </c>
      <c r="E7" s="646">
        <v>3</v>
      </c>
      <c r="F7" s="645">
        <v>138</v>
      </c>
      <c r="G7" s="752">
        <v>72</v>
      </c>
      <c r="H7" s="752">
        <v>1</v>
      </c>
      <c r="I7" s="646">
        <v>154.32</v>
      </c>
      <c r="J7" s="645">
        <v>69.52</v>
      </c>
      <c r="K7" s="752">
        <v>157</v>
      </c>
      <c r="L7" s="752">
        <v>6227.2</v>
      </c>
      <c r="M7" s="646">
        <v>1535.2</v>
      </c>
      <c r="N7" s="645">
        <v>213</v>
      </c>
      <c r="O7" s="752">
        <v>7249.04</v>
      </c>
      <c r="P7" s="646">
        <v>1764.8</v>
      </c>
    </row>
    <row r="8" spans="1:16" ht="12.75">
      <c r="A8" s="769" t="s">
        <v>393</v>
      </c>
      <c r="B8" s="645">
        <v>0</v>
      </c>
      <c r="C8" s="752">
        <v>223</v>
      </c>
      <c r="D8" s="752">
        <v>62</v>
      </c>
      <c r="E8" s="646">
        <v>1</v>
      </c>
      <c r="F8" s="645">
        <v>764</v>
      </c>
      <c r="G8" s="752">
        <v>277</v>
      </c>
      <c r="H8" s="752">
        <v>39</v>
      </c>
      <c r="I8" s="646">
        <v>459</v>
      </c>
      <c r="J8" s="645">
        <v>109</v>
      </c>
      <c r="K8" s="752">
        <v>0</v>
      </c>
      <c r="L8" s="752">
        <v>1926</v>
      </c>
      <c r="M8" s="646">
        <v>407</v>
      </c>
      <c r="N8" s="645">
        <v>0</v>
      </c>
      <c r="O8" s="752">
        <v>2220</v>
      </c>
      <c r="P8" s="646">
        <v>583</v>
      </c>
    </row>
    <row r="9" spans="1:16" ht="12.75">
      <c r="A9" s="768" t="s">
        <v>394</v>
      </c>
      <c r="B9" s="645">
        <v>0</v>
      </c>
      <c r="C9" s="752">
        <v>0</v>
      </c>
      <c r="D9" s="752">
        <v>0</v>
      </c>
      <c r="E9" s="646">
        <v>0</v>
      </c>
      <c r="F9" s="645">
        <v>202</v>
      </c>
      <c r="G9" s="752">
        <v>132</v>
      </c>
      <c r="H9" s="752">
        <v>0</v>
      </c>
      <c r="I9" s="646">
        <v>243</v>
      </c>
      <c r="J9" s="645">
        <v>151</v>
      </c>
      <c r="K9" s="752">
        <v>0</v>
      </c>
      <c r="L9" s="752">
        <v>70</v>
      </c>
      <c r="M9" s="646">
        <v>24</v>
      </c>
      <c r="N9" s="645">
        <v>0</v>
      </c>
      <c r="O9" s="752">
        <v>109</v>
      </c>
      <c r="P9" s="646">
        <v>165</v>
      </c>
    </row>
    <row r="10" spans="1:16" ht="12.75">
      <c r="A10" s="768" t="s">
        <v>395</v>
      </c>
      <c r="B10" s="645">
        <v>0</v>
      </c>
      <c r="C10" s="752">
        <v>0</v>
      </c>
      <c r="D10" s="752">
        <v>0</v>
      </c>
      <c r="E10" s="646">
        <v>0</v>
      </c>
      <c r="F10" s="645">
        <v>144</v>
      </c>
      <c r="G10" s="752">
        <v>170</v>
      </c>
      <c r="H10" s="752">
        <v>0</v>
      </c>
      <c r="I10" s="646">
        <v>281</v>
      </c>
      <c r="J10" s="645">
        <v>238</v>
      </c>
      <c r="K10" s="752">
        <v>0</v>
      </c>
      <c r="L10" s="752">
        <v>355</v>
      </c>
      <c r="M10" s="646">
        <v>247</v>
      </c>
      <c r="N10" s="645">
        <v>0</v>
      </c>
      <c r="O10" s="752">
        <v>212</v>
      </c>
      <c r="P10" s="646">
        <v>256</v>
      </c>
    </row>
    <row r="11" spans="1:16" ht="15.75" thickBot="1">
      <c r="A11" s="639" t="s">
        <v>1</v>
      </c>
      <c r="B11" s="647">
        <v>10</v>
      </c>
      <c r="C11" s="648">
        <v>452</v>
      </c>
      <c r="D11" s="648">
        <v>186</v>
      </c>
      <c r="E11" s="649">
        <v>156</v>
      </c>
      <c r="F11" s="647">
        <v>2997</v>
      </c>
      <c r="G11" s="648">
        <v>969</v>
      </c>
      <c r="H11" s="648">
        <v>176</v>
      </c>
      <c r="I11" s="649">
        <v>3026</v>
      </c>
      <c r="J11" s="647">
        <v>970</v>
      </c>
      <c r="K11" s="648">
        <v>450</v>
      </c>
      <c r="L11" s="648">
        <v>12481</v>
      </c>
      <c r="M11" s="649">
        <v>3867</v>
      </c>
      <c r="N11" s="647">
        <v>667</v>
      </c>
      <c r="O11" s="648">
        <v>14316</v>
      </c>
      <c r="P11" s="649">
        <v>4492</v>
      </c>
    </row>
    <row r="12" ht="15.75" thickBot="1"/>
    <row r="13" spans="1:13" s="758" customFormat="1" ht="15">
      <c r="A13" s="771" t="s">
        <v>387</v>
      </c>
      <c r="B13" s="772">
        <v>2010</v>
      </c>
      <c r="C13" s="774">
        <v>2011</v>
      </c>
      <c r="D13" s="772">
        <v>2012</v>
      </c>
      <c r="E13" s="772">
        <v>2013</v>
      </c>
      <c r="F13" s="773">
        <v>2014</v>
      </c>
      <c r="H13" s="771" t="s">
        <v>387</v>
      </c>
      <c r="I13" s="772">
        <v>2010</v>
      </c>
      <c r="J13" s="774">
        <v>2011</v>
      </c>
      <c r="K13" s="772">
        <v>2012</v>
      </c>
      <c r="L13" s="772">
        <v>2013</v>
      </c>
      <c r="M13" s="773">
        <v>2014</v>
      </c>
    </row>
    <row r="14" spans="1:13" s="758" customFormat="1" ht="15">
      <c r="A14" s="460" t="s">
        <v>396</v>
      </c>
      <c r="B14" s="752">
        <v>57</v>
      </c>
      <c r="C14" s="752">
        <v>2219</v>
      </c>
      <c r="D14" s="752">
        <v>2427.16</v>
      </c>
      <c r="E14" s="752">
        <v>5849.6</v>
      </c>
      <c r="F14" s="646">
        <v>6703.16</v>
      </c>
      <c r="H14" s="460" t="s">
        <v>396</v>
      </c>
      <c r="I14" s="754">
        <v>0.08796296296296297</v>
      </c>
      <c r="J14" s="754">
        <v>0.5383309073265405</v>
      </c>
      <c r="K14" s="754">
        <v>0.5817737296260785</v>
      </c>
      <c r="L14" s="754">
        <v>0.34823193237290156</v>
      </c>
      <c r="M14" s="755">
        <v>0.3441930680359435</v>
      </c>
    </row>
    <row r="15" spans="1:13" s="758" customFormat="1" ht="15">
      <c r="A15" s="753" t="s">
        <v>392</v>
      </c>
      <c r="B15" s="752">
        <v>306</v>
      </c>
      <c r="C15" s="752">
        <v>213</v>
      </c>
      <c r="D15" s="752">
        <v>224.83999999999997</v>
      </c>
      <c r="E15" s="752">
        <v>7919.4</v>
      </c>
      <c r="F15" s="646">
        <v>9226.84</v>
      </c>
      <c r="H15" s="753" t="s">
        <v>392</v>
      </c>
      <c r="I15" s="754">
        <v>0.4722222222222222</v>
      </c>
      <c r="J15" s="754">
        <v>0.05167394468704512</v>
      </c>
      <c r="K15" s="754">
        <v>0.05389261744966442</v>
      </c>
      <c r="L15" s="754">
        <v>0.47144898202166924</v>
      </c>
      <c r="M15" s="755">
        <v>0.47377869062901157</v>
      </c>
    </row>
    <row r="16" spans="1:13" s="758" customFormat="1" ht="15">
      <c r="A16" s="753" t="s">
        <v>393</v>
      </c>
      <c r="B16" s="752">
        <v>285</v>
      </c>
      <c r="C16" s="752">
        <v>1042</v>
      </c>
      <c r="D16" s="752">
        <v>607</v>
      </c>
      <c r="E16" s="752">
        <v>2333</v>
      </c>
      <c r="F16" s="646">
        <v>2803</v>
      </c>
      <c r="H16" s="753" t="s">
        <v>393</v>
      </c>
      <c r="I16" s="754">
        <v>0.4398148148148148</v>
      </c>
      <c r="J16" s="754">
        <v>0.2527899078117419</v>
      </c>
      <c r="K16" s="754">
        <v>0.14549376797698946</v>
      </c>
      <c r="L16" s="754">
        <v>0.13888558161685916</v>
      </c>
      <c r="M16" s="755">
        <v>0.14392811296534017</v>
      </c>
    </row>
    <row r="17" spans="1:13" s="758" customFormat="1" ht="15">
      <c r="A17" s="460" t="s">
        <v>394</v>
      </c>
      <c r="B17" s="752">
        <v>0</v>
      </c>
      <c r="C17" s="752">
        <v>334</v>
      </c>
      <c r="D17" s="752">
        <v>394</v>
      </c>
      <c r="E17" s="752">
        <v>94</v>
      </c>
      <c r="F17" s="646">
        <v>274</v>
      </c>
      <c r="H17" s="460" t="s">
        <v>394</v>
      </c>
      <c r="I17" s="754">
        <v>0</v>
      </c>
      <c r="J17" s="754">
        <v>0.08102862688015526</v>
      </c>
      <c r="K17" s="754">
        <v>0.09443911792905081</v>
      </c>
      <c r="L17" s="754">
        <v>0.0055959042743183715</v>
      </c>
      <c r="M17" s="755">
        <v>0.014069319640564827</v>
      </c>
    </row>
    <row r="18" spans="1:13" s="758" customFormat="1" ht="15">
      <c r="A18" s="460" t="s">
        <v>395</v>
      </c>
      <c r="B18" s="752">
        <v>0</v>
      </c>
      <c r="C18" s="752">
        <v>314</v>
      </c>
      <c r="D18" s="752">
        <v>519</v>
      </c>
      <c r="E18" s="752">
        <v>602</v>
      </c>
      <c r="F18" s="646">
        <v>468</v>
      </c>
      <c r="H18" s="460" t="s">
        <v>395</v>
      </c>
      <c r="I18" s="754">
        <v>0</v>
      </c>
      <c r="J18" s="754">
        <v>0.07617661329451722</v>
      </c>
      <c r="K18" s="754">
        <v>0.12440076701821669</v>
      </c>
      <c r="L18" s="754">
        <v>0.0358375997142517</v>
      </c>
      <c r="M18" s="755">
        <v>0.024030808729139923</v>
      </c>
    </row>
    <row r="19" spans="1:13" s="758" customFormat="1" ht="15.75" thickBot="1">
      <c r="A19" s="770" t="s">
        <v>1</v>
      </c>
      <c r="B19" s="648">
        <v>648</v>
      </c>
      <c r="C19" s="648">
        <v>4122</v>
      </c>
      <c r="D19" s="648">
        <v>4172</v>
      </c>
      <c r="E19" s="648">
        <v>16798</v>
      </c>
      <c r="F19" s="649">
        <v>19475</v>
      </c>
      <c r="H19" s="770" t="s">
        <v>1</v>
      </c>
      <c r="I19" s="775">
        <v>1</v>
      </c>
      <c r="J19" s="775">
        <v>1</v>
      </c>
      <c r="K19" s="775">
        <v>0.9999999999999999</v>
      </c>
      <c r="L19" s="775">
        <v>1</v>
      </c>
      <c r="M19" s="776">
        <v>0.9999999999999999</v>
      </c>
    </row>
    <row r="20" spans="2:13" s="758" customFormat="1" ht="15.75" thickBot="1">
      <c r="B20" s="761"/>
      <c r="C20" s="761"/>
      <c r="D20" s="761"/>
      <c r="E20" s="761"/>
      <c r="F20" s="761"/>
      <c r="I20" s="759"/>
      <c r="J20" s="759"/>
      <c r="K20" s="759"/>
      <c r="L20" s="759"/>
      <c r="M20" s="759"/>
    </row>
    <row r="21" spans="1:13" s="760" customFormat="1" ht="43.5" thickBot="1">
      <c r="A21" s="885" t="s">
        <v>496</v>
      </c>
      <c r="B21" s="886"/>
      <c r="C21" s="886"/>
      <c r="D21" s="886"/>
      <c r="E21" s="886"/>
      <c r="F21" s="887"/>
      <c r="H21" s="771" t="s">
        <v>387</v>
      </c>
      <c r="I21" s="772" t="s">
        <v>491</v>
      </c>
      <c r="J21" s="774" t="s">
        <v>492</v>
      </c>
      <c r="K21" s="772" t="s">
        <v>493</v>
      </c>
      <c r="L21" s="772" t="s">
        <v>494</v>
      </c>
      <c r="M21" s="773" t="s">
        <v>495</v>
      </c>
    </row>
    <row r="22" spans="1:14" s="760" customFormat="1" ht="15">
      <c r="A22" s="771" t="s">
        <v>497</v>
      </c>
      <c r="B22" s="772" t="s">
        <v>498</v>
      </c>
      <c r="C22" s="774" t="s">
        <v>389</v>
      </c>
      <c r="D22" s="772" t="s">
        <v>499</v>
      </c>
      <c r="E22" s="772"/>
      <c r="F22" s="773" t="s">
        <v>500</v>
      </c>
      <c r="H22" s="460" t="s">
        <v>396</v>
      </c>
      <c r="I22" s="754">
        <v>0.08796296296296297</v>
      </c>
      <c r="J22" s="754">
        <v>0.5383309073265405</v>
      </c>
      <c r="K22" s="754">
        <v>0.5817737296260785</v>
      </c>
      <c r="L22" s="754">
        <v>0.34823193237290156</v>
      </c>
      <c r="M22" s="755">
        <v>0.3441930680359435</v>
      </c>
      <c r="N22" s="762"/>
    </row>
    <row r="23" spans="1:13" s="760" customFormat="1" ht="15">
      <c r="A23" s="777">
        <v>2010</v>
      </c>
      <c r="B23" s="778">
        <v>8.357999999999999</v>
      </c>
      <c r="C23" s="778">
        <v>8.99445796460177</v>
      </c>
      <c r="D23" s="778">
        <v>8.895</v>
      </c>
      <c r="E23" s="778"/>
      <c r="F23" s="779">
        <v>8.2</v>
      </c>
      <c r="H23" s="753" t="s">
        <v>392</v>
      </c>
      <c r="I23" s="754">
        <v>0.4722222222222222</v>
      </c>
      <c r="J23" s="754">
        <v>0.05167394468704512</v>
      </c>
      <c r="K23" s="754">
        <v>0.05389261744966442</v>
      </c>
      <c r="L23" s="754">
        <v>0.47144898202166924</v>
      </c>
      <c r="M23" s="755">
        <v>0.47377869062901157</v>
      </c>
    </row>
    <row r="24" spans="1:20" s="760" customFormat="1" ht="15">
      <c r="A24" s="777">
        <v>2011</v>
      </c>
      <c r="B24" s="778">
        <v>8.215897435897435</v>
      </c>
      <c r="C24" s="778">
        <v>8.878405071738406</v>
      </c>
      <c r="D24" s="778">
        <v>9.525175438596492</v>
      </c>
      <c r="E24" s="778"/>
      <c r="F24" s="779">
        <v>8.594999999999999</v>
      </c>
      <c r="G24" s="764"/>
      <c r="H24" s="753" t="s">
        <v>393</v>
      </c>
      <c r="I24" s="754">
        <v>0.4398148148148148</v>
      </c>
      <c r="J24" s="754">
        <v>0.2527899078117419</v>
      </c>
      <c r="K24" s="754">
        <v>0.14549376797698946</v>
      </c>
      <c r="L24" s="754">
        <v>0.13888558161685916</v>
      </c>
      <c r="M24" s="755">
        <v>0.14392811296534017</v>
      </c>
      <c r="N24" s="763"/>
      <c r="P24" s="765"/>
      <c r="Q24" s="765"/>
      <c r="R24" s="765"/>
      <c r="S24" s="765"/>
      <c r="T24" s="765"/>
    </row>
    <row r="25" spans="1:13" s="760" customFormat="1" ht="15">
      <c r="A25" s="777">
        <v>2012</v>
      </c>
      <c r="B25" s="778">
        <v>8.489204545454545</v>
      </c>
      <c r="C25" s="778">
        <v>8.927394712491738</v>
      </c>
      <c r="D25" s="778">
        <v>9.579701443298967</v>
      </c>
      <c r="E25" s="778"/>
      <c r="F25" s="779">
        <v>9.495000000000001</v>
      </c>
      <c r="G25" s="764"/>
      <c r="H25" s="460" t="s">
        <v>394</v>
      </c>
      <c r="I25" s="754">
        <v>0</v>
      </c>
      <c r="J25" s="754">
        <v>0.08102862688015526</v>
      </c>
      <c r="K25" s="754">
        <v>0.09443911792905081</v>
      </c>
      <c r="L25" s="754">
        <v>0.0055959042743183715</v>
      </c>
      <c r="M25" s="755">
        <v>0.014069319640564827</v>
      </c>
    </row>
    <row r="26" spans="1:20" s="760" customFormat="1" ht="15">
      <c r="A26" s="777">
        <v>2013</v>
      </c>
      <c r="B26" s="778">
        <v>8.33781111111111</v>
      </c>
      <c r="C26" s="778">
        <v>8.70505280025639</v>
      </c>
      <c r="D26" s="778">
        <v>8.719692009309542</v>
      </c>
      <c r="E26" s="778"/>
      <c r="F26" s="779">
        <v>10.745000000000001</v>
      </c>
      <c r="G26" s="764"/>
      <c r="H26" s="460" t="s">
        <v>395</v>
      </c>
      <c r="I26" s="754">
        <v>0</v>
      </c>
      <c r="J26" s="754">
        <v>0.07617661329451722</v>
      </c>
      <c r="K26" s="754">
        <v>0.12440076701821669</v>
      </c>
      <c r="L26" s="754">
        <v>0.0358375997142517</v>
      </c>
      <c r="M26" s="755">
        <v>0.024030808729139923</v>
      </c>
      <c r="N26" s="762"/>
      <c r="P26" s="762"/>
      <c r="Q26" s="762"/>
      <c r="R26" s="762"/>
      <c r="S26" s="762"/>
      <c r="T26" s="762"/>
    </row>
    <row r="27" spans="1:20" s="760" customFormat="1" ht="15.75" thickBot="1">
      <c r="A27" s="780">
        <v>2014</v>
      </c>
      <c r="B27" s="781">
        <v>8.326139430284858</v>
      </c>
      <c r="C27" s="781">
        <v>8.669074867281363</v>
      </c>
      <c r="D27" s="781">
        <v>8.804809884238646</v>
      </c>
      <c r="E27" s="781"/>
      <c r="F27" s="782">
        <v>11.5</v>
      </c>
      <c r="G27" s="764"/>
      <c r="H27" s="770" t="s">
        <v>1</v>
      </c>
      <c r="I27" s="775">
        <v>1</v>
      </c>
      <c r="J27" s="775">
        <v>1</v>
      </c>
      <c r="K27" s="775">
        <v>0.9999999999999999</v>
      </c>
      <c r="L27" s="775">
        <v>1</v>
      </c>
      <c r="M27" s="776">
        <v>0.9999999999999999</v>
      </c>
      <c r="N27" s="762"/>
      <c r="P27" s="762"/>
      <c r="Q27" s="762"/>
      <c r="R27" s="762"/>
      <c r="S27" s="762"/>
      <c r="T27" s="762"/>
    </row>
    <row r="28" spans="7:20" s="760" customFormat="1" ht="15">
      <c r="G28" s="764"/>
      <c r="H28" s="764"/>
      <c r="I28" s="764"/>
      <c r="L28" s="763"/>
      <c r="M28" s="764"/>
      <c r="N28" s="762"/>
      <c r="P28" s="762"/>
      <c r="Q28" s="762"/>
      <c r="R28" s="762"/>
      <c r="S28" s="762"/>
      <c r="T28" s="762"/>
    </row>
    <row r="38" spans="2:6" ht="12.75">
      <c r="B38" s="766"/>
      <c r="C38" s="766"/>
      <c r="D38" s="766"/>
      <c r="E38" s="766"/>
      <c r="F38" s="766"/>
    </row>
    <row r="40" ht="12.75">
      <c r="A40" s="767"/>
    </row>
    <row r="50" spans="2:6" ht="12.75">
      <c r="B50" s="766"/>
      <c r="C50" s="766"/>
      <c r="D50" s="766"/>
      <c r="E50" s="766"/>
      <c r="F50" s="766"/>
    </row>
    <row r="51" spans="2:6" ht="12.75">
      <c r="B51" s="766"/>
      <c r="C51" s="766"/>
      <c r="D51" s="766"/>
      <c r="E51" s="766"/>
      <c r="F51" s="766"/>
    </row>
    <row r="52" spans="2:6" ht="12.75">
      <c r="B52" s="766"/>
      <c r="C52" s="766"/>
      <c r="D52" s="766"/>
      <c r="E52" s="766"/>
      <c r="F52" s="766"/>
    </row>
    <row r="53" spans="2:6" ht="12.75">
      <c r="B53" s="766"/>
      <c r="C53" s="766"/>
      <c r="D53" s="766"/>
      <c r="E53" s="766"/>
      <c r="F53" s="766"/>
    </row>
    <row r="67" spans="2:6" ht="12.75">
      <c r="B67" s="766"/>
      <c r="C67" s="766"/>
      <c r="D67" s="766"/>
      <c r="E67" s="766"/>
      <c r="F67" s="766"/>
    </row>
    <row r="68" spans="2:6" ht="12.75">
      <c r="B68" s="766"/>
      <c r="C68" s="766"/>
      <c r="D68" s="766"/>
      <c r="E68" s="766"/>
      <c r="F68" s="766"/>
    </row>
    <row r="69" spans="2:6" ht="12.75">
      <c r="B69" s="766"/>
      <c r="C69" s="766"/>
      <c r="D69" s="766"/>
      <c r="E69" s="766"/>
      <c r="F69" s="766"/>
    </row>
    <row r="70" spans="2:6" ht="12.75">
      <c r="B70" s="766"/>
      <c r="C70" s="766"/>
      <c r="D70" s="766"/>
      <c r="E70" s="766"/>
      <c r="F70" s="766"/>
    </row>
    <row r="71" spans="2:6" ht="12.75">
      <c r="B71" s="766"/>
      <c r="C71" s="766"/>
      <c r="D71" s="766"/>
      <c r="E71" s="766"/>
      <c r="F71" s="766"/>
    </row>
    <row r="72" spans="2:6" ht="12.75">
      <c r="B72" s="766"/>
      <c r="C72" s="766"/>
      <c r="D72" s="766"/>
      <c r="E72" s="766"/>
      <c r="F72" s="766"/>
    </row>
  </sheetData>
  <mergeCells count="5">
    <mergeCell ref="B4:E4"/>
    <mergeCell ref="F4:I4"/>
    <mergeCell ref="J4:M4"/>
    <mergeCell ref="N4:P4"/>
    <mergeCell ref="A21:F21"/>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D29"/>
  <sheetViews>
    <sheetView showGridLines="0" zoomScale="70" zoomScaleNormal="70" workbookViewId="0" topLeftCell="A1"/>
  </sheetViews>
  <sheetFormatPr defaultColWidth="9.140625" defaultRowHeight="12.75"/>
  <cols>
    <col min="1" max="1" width="3.28125" style="86" customWidth="1"/>
    <col min="2" max="2" width="9.140625" style="86" customWidth="1"/>
    <col min="3" max="3" width="14.7109375" style="86" customWidth="1"/>
    <col min="4" max="8" width="12.7109375" style="86" customWidth="1"/>
    <col min="9" max="9" width="3.421875" style="86" customWidth="1"/>
    <col min="10" max="25" width="9.140625" style="86" customWidth="1"/>
    <col min="26" max="30" width="10.00390625" style="86" bestFit="1" customWidth="1"/>
    <col min="31" max="16384" width="9.140625" style="86" customWidth="1"/>
  </cols>
  <sheetData>
    <row r="2" spans="2:30" ht="15" customHeight="1">
      <c r="B2" s="889" t="s">
        <v>421</v>
      </c>
      <c r="C2" s="890"/>
      <c r="D2" s="890"/>
      <c r="E2" s="890"/>
      <c r="F2" s="890"/>
      <c r="G2" s="890"/>
      <c r="H2" s="891"/>
      <c r="J2" s="888" t="s">
        <v>422</v>
      </c>
      <c r="K2" s="888"/>
      <c r="L2" s="888"/>
      <c r="M2" s="888"/>
      <c r="N2" s="888"/>
      <c r="O2" s="888"/>
      <c r="P2" s="888"/>
      <c r="Q2" s="895" t="s">
        <v>372</v>
      </c>
      <c r="R2" s="888" t="s">
        <v>423</v>
      </c>
      <c r="S2" s="888"/>
      <c r="T2" s="888"/>
      <c r="U2" s="888"/>
      <c r="V2" s="888"/>
      <c r="W2" s="888"/>
      <c r="X2" s="888"/>
      <c r="Y2" s="895" t="s">
        <v>216</v>
      </c>
      <c r="Z2" s="888" t="s">
        <v>424</v>
      </c>
      <c r="AA2" s="888"/>
      <c r="AB2" s="888"/>
      <c r="AC2" s="888"/>
      <c r="AD2" s="888"/>
    </row>
    <row r="3" spans="2:30" ht="15" customHeight="1">
      <c r="B3" s="892"/>
      <c r="C3" s="893"/>
      <c r="D3" s="893"/>
      <c r="E3" s="893"/>
      <c r="F3" s="893"/>
      <c r="G3" s="893"/>
      <c r="H3" s="894"/>
      <c r="J3" s="888"/>
      <c r="K3" s="888"/>
      <c r="L3" s="888"/>
      <c r="M3" s="888"/>
      <c r="N3" s="888"/>
      <c r="O3" s="888"/>
      <c r="P3" s="888"/>
      <c r="Q3" s="895"/>
      <c r="R3" s="888"/>
      <c r="S3" s="888"/>
      <c r="T3" s="888"/>
      <c r="U3" s="888"/>
      <c r="V3" s="888"/>
      <c r="W3" s="888"/>
      <c r="X3" s="888"/>
      <c r="Y3" s="895"/>
      <c r="Z3" s="888"/>
      <c r="AA3" s="888"/>
      <c r="AB3" s="888"/>
      <c r="AC3" s="888"/>
      <c r="AD3" s="888"/>
    </row>
    <row r="4" spans="2:24" ht="15" customHeight="1" thickBot="1">
      <c r="B4" s="91"/>
      <c r="C4" s="91"/>
      <c r="D4" s="91"/>
      <c r="E4" s="91"/>
      <c r="F4" s="91"/>
      <c r="G4" s="91"/>
      <c r="H4" s="91"/>
      <c r="J4" s="87"/>
      <c r="K4" s="87"/>
      <c r="L4" s="87"/>
      <c r="M4" s="87"/>
      <c r="N4" s="87"/>
      <c r="O4" s="87"/>
      <c r="P4" s="87"/>
      <c r="Q4" s="87"/>
      <c r="R4" s="87"/>
      <c r="S4" s="87"/>
      <c r="T4" s="87"/>
      <c r="U4" s="87"/>
      <c r="V4" s="87"/>
      <c r="W4" s="87"/>
      <c r="X4" s="87"/>
    </row>
    <row r="5" spans="2:30" ht="12.75">
      <c r="B5" s="830" t="s">
        <v>359</v>
      </c>
      <c r="C5" s="831"/>
      <c r="D5" s="831"/>
      <c r="E5" s="831"/>
      <c r="F5" s="831"/>
      <c r="G5" s="831"/>
      <c r="H5" s="832"/>
      <c r="J5" s="830" t="str">
        <f>B26</f>
        <v>Total Program Consumption (MWh)</v>
      </c>
      <c r="K5" s="831"/>
      <c r="L5" s="831"/>
      <c r="M5" s="831"/>
      <c r="N5" s="831"/>
      <c r="O5" s="831"/>
      <c r="P5" s="832"/>
      <c r="R5" s="830" t="s">
        <v>425</v>
      </c>
      <c r="S5" s="831"/>
      <c r="T5" s="831"/>
      <c r="U5" s="831"/>
      <c r="V5" s="831"/>
      <c r="W5" s="831"/>
      <c r="X5" s="832"/>
      <c r="Z5" s="830" t="s">
        <v>426</v>
      </c>
      <c r="AA5" s="831"/>
      <c r="AB5" s="831"/>
      <c r="AC5" s="831"/>
      <c r="AD5" s="832"/>
    </row>
    <row r="6" spans="2:30" ht="12.75">
      <c r="B6" s="404" t="s">
        <v>360</v>
      </c>
      <c r="C6" s="405" t="s">
        <v>310</v>
      </c>
      <c r="D6" s="406">
        <v>2010</v>
      </c>
      <c r="E6" s="406">
        <v>2011</v>
      </c>
      <c r="F6" s="406">
        <v>2012</v>
      </c>
      <c r="G6" s="406">
        <v>2013</v>
      </c>
      <c r="H6" s="414">
        <v>2014</v>
      </c>
      <c r="J6" s="404" t="str">
        <f>B27</f>
        <v>Case</v>
      </c>
      <c r="K6" s="405"/>
      <c r="L6" s="406">
        <f aca="true" t="shared" si="0" ref="L6:P7">D27</f>
        <v>2010</v>
      </c>
      <c r="M6" s="406">
        <f t="shared" si="0"/>
        <v>2011</v>
      </c>
      <c r="N6" s="406">
        <f t="shared" si="0"/>
        <v>2012</v>
      </c>
      <c r="O6" s="406">
        <f t="shared" si="0"/>
        <v>2013</v>
      </c>
      <c r="P6" s="414">
        <f t="shared" si="0"/>
        <v>2014</v>
      </c>
      <c r="R6" s="404" t="s">
        <v>360</v>
      </c>
      <c r="S6" s="405"/>
      <c r="T6" s="406">
        <v>2010</v>
      </c>
      <c r="U6" s="406">
        <v>2011</v>
      </c>
      <c r="V6" s="406">
        <v>2012</v>
      </c>
      <c r="W6" s="406">
        <v>2013</v>
      </c>
      <c r="X6" s="414">
        <v>2014</v>
      </c>
      <c r="Z6" s="404">
        <v>2010</v>
      </c>
      <c r="AA6" s="405">
        <v>2011</v>
      </c>
      <c r="AB6" s="406">
        <v>2012</v>
      </c>
      <c r="AC6" s="406">
        <v>2013</v>
      </c>
      <c r="AD6" s="414">
        <v>2014</v>
      </c>
    </row>
    <row r="7" spans="2:30" ht="15.75" thickBot="1">
      <c r="B7" s="415" t="s">
        <v>361</v>
      </c>
      <c r="C7" s="416" t="s">
        <v>362</v>
      </c>
      <c r="D7" s="407">
        <v>18762.869473351042</v>
      </c>
      <c r="E7" s="407">
        <v>18515.89698684572</v>
      </c>
      <c r="F7" s="407">
        <v>17825.82474675566</v>
      </c>
      <c r="G7" s="407">
        <v>19462.80197484746</v>
      </c>
      <c r="H7" s="421">
        <v>18272.688044002964</v>
      </c>
      <c r="J7" s="488" t="str">
        <f>B28</f>
        <v>Base</v>
      </c>
      <c r="K7" s="489"/>
      <c r="L7" s="422">
        <f t="shared" si="0"/>
        <v>53985.70285725138</v>
      </c>
      <c r="M7" s="422">
        <f t="shared" si="0"/>
        <v>51342.36691194267</v>
      </c>
      <c r="N7" s="422">
        <f t="shared" si="0"/>
        <v>44322.297524898306</v>
      </c>
      <c r="O7" s="422">
        <f t="shared" si="0"/>
        <v>44320.75864739757</v>
      </c>
      <c r="P7" s="423">
        <f t="shared" si="0"/>
        <v>43535.19496980765</v>
      </c>
      <c r="R7" s="488" t="str">
        <f aca="true" t="shared" si="1" ref="R7:X7">B29</f>
        <v>Efficient</v>
      </c>
      <c r="S7" s="489"/>
      <c r="T7" s="422">
        <f t="shared" si="1"/>
        <v>40743.78542417649</v>
      </c>
      <c r="U7" s="422">
        <f t="shared" si="1"/>
        <v>38224.24710179044</v>
      </c>
      <c r="V7" s="422">
        <f t="shared" si="1"/>
        <v>32833.332369184456</v>
      </c>
      <c r="W7" s="422">
        <f t="shared" si="1"/>
        <v>32342.392314673118</v>
      </c>
      <c r="X7" s="423">
        <f t="shared" si="1"/>
        <v>31501.36300637829</v>
      </c>
      <c r="Z7" s="654">
        <f>L7-T7</f>
        <v>13241.917433074894</v>
      </c>
      <c r="AA7" s="655">
        <f>M7-U7</f>
        <v>13118.119810152231</v>
      </c>
      <c r="AB7" s="655">
        <f>N7-V7</f>
        <v>11488.96515571385</v>
      </c>
      <c r="AC7" s="655">
        <f>O7-W7</f>
        <v>11978.36633272445</v>
      </c>
      <c r="AD7" s="656">
        <f>P7-X7</f>
        <v>12033.831963429358</v>
      </c>
    </row>
    <row r="8" spans="2:8" ht="12.75">
      <c r="B8" s="415" t="s">
        <v>361</v>
      </c>
      <c r="C8" s="416" t="s">
        <v>363</v>
      </c>
      <c r="D8" s="407">
        <v>25774.45172498197</v>
      </c>
      <c r="E8" s="407">
        <v>21557.50813210469</v>
      </c>
      <c r="F8" s="407">
        <v>18915.38068259198</v>
      </c>
      <c r="G8" s="407">
        <v>18666.297438963138</v>
      </c>
      <c r="H8" s="421">
        <v>18289.535734993806</v>
      </c>
    </row>
    <row r="9" spans="2:8" ht="12.75">
      <c r="B9" s="415" t="s">
        <v>427</v>
      </c>
      <c r="C9" s="416" t="s">
        <v>362</v>
      </c>
      <c r="D9" s="407">
        <v>10467.349614957215</v>
      </c>
      <c r="E9" s="407">
        <v>10380.119928364422</v>
      </c>
      <c r="F9" s="407">
        <v>9956.781383241027</v>
      </c>
      <c r="G9" s="407">
        <v>10894.413019739834</v>
      </c>
      <c r="H9" s="421">
        <v>10138.417581073723</v>
      </c>
    </row>
    <row r="10" spans="2:8" ht="15.75" thickBot="1">
      <c r="B10" s="488" t="s">
        <v>427</v>
      </c>
      <c r="C10" s="489" t="s">
        <v>363</v>
      </c>
      <c r="D10" s="422">
        <v>24455.572418403794</v>
      </c>
      <c r="E10" s="422">
        <v>20496.541575993193</v>
      </c>
      <c r="F10" s="422">
        <v>17790.76688008149</v>
      </c>
      <c r="G10" s="422">
        <v>17544.192398834242</v>
      </c>
      <c r="H10" s="423">
        <v>17110.987291713223</v>
      </c>
    </row>
    <row r="11" spans="4:8" ht="15.75" thickBot="1">
      <c r="D11" s="88"/>
      <c r="E11" s="88"/>
      <c r="F11" s="88"/>
      <c r="G11" s="88"/>
      <c r="H11" s="88"/>
    </row>
    <row r="12" spans="2:8" ht="12.75">
      <c r="B12" s="830" t="s">
        <v>365</v>
      </c>
      <c r="C12" s="831"/>
      <c r="D12" s="831"/>
      <c r="E12" s="831"/>
      <c r="F12" s="831"/>
      <c r="G12" s="831"/>
      <c r="H12" s="832"/>
    </row>
    <row r="13" spans="2:8" ht="12.75">
      <c r="B13" s="404" t="s">
        <v>360</v>
      </c>
      <c r="C13" s="405" t="s">
        <v>366</v>
      </c>
      <c r="D13" s="406">
        <v>2010</v>
      </c>
      <c r="E13" s="406">
        <v>2011</v>
      </c>
      <c r="F13" s="406">
        <v>2012</v>
      </c>
      <c r="G13" s="406">
        <v>2013</v>
      </c>
      <c r="H13" s="414">
        <v>2014</v>
      </c>
    </row>
    <row r="14" spans="2:8" ht="12.75">
      <c r="B14" s="415" t="s">
        <v>361</v>
      </c>
      <c r="C14" s="416" t="s">
        <v>362</v>
      </c>
      <c r="D14" s="407">
        <v>6617.480277970231</v>
      </c>
      <c r="E14" s="407">
        <v>7090.167188073774</v>
      </c>
      <c r="F14" s="407">
        <v>4152.61268617674</v>
      </c>
      <c r="G14" s="407">
        <v>4062.987951942711</v>
      </c>
      <c r="H14" s="421">
        <v>4750.110914403611</v>
      </c>
    </row>
    <row r="15" spans="2:8" ht="12.75">
      <c r="B15" s="415" t="s">
        <v>361</v>
      </c>
      <c r="C15" s="416" t="s">
        <v>363</v>
      </c>
      <c r="D15" s="407">
        <v>2830.901380948136</v>
      </c>
      <c r="E15" s="407">
        <v>4178.794604918486</v>
      </c>
      <c r="F15" s="407">
        <v>3428.4794093739247</v>
      </c>
      <c r="G15" s="407">
        <v>2128.671281644251</v>
      </c>
      <c r="H15" s="421">
        <v>2222.8602764072702</v>
      </c>
    </row>
    <row r="16" spans="2:8" ht="12.75">
      <c r="B16" s="415" t="s">
        <v>427</v>
      </c>
      <c r="C16" s="416" t="s">
        <v>362</v>
      </c>
      <c r="D16" s="407">
        <v>3271.5338959512983</v>
      </c>
      <c r="E16" s="407">
        <v>3559.598999419053</v>
      </c>
      <c r="F16" s="407">
        <v>2080.230005232054</v>
      </c>
      <c r="G16" s="407">
        <v>2040.3265142329756</v>
      </c>
      <c r="H16" s="421">
        <v>2333.4430878084017</v>
      </c>
    </row>
    <row r="17" spans="2:8" ht="15.75" thickBot="1">
      <c r="B17" s="488" t="s">
        <v>427</v>
      </c>
      <c r="C17" s="489" t="s">
        <v>363</v>
      </c>
      <c r="D17" s="422">
        <v>2549.3294948641797</v>
      </c>
      <c r="E17" s="422">
        <v>3787.9865980137693</v>
      </c>
      <c r="F17" s="422">
        <v>3005.5541006298868</v>
      </c>
      <c r="G17" s="422">
        <v>1863.460381866067</v>
      </c>
      <c r="H17" s="423">
        <v>1918.5150457829436</v>
      </c>
    </row>
    <row r="18" spans="4:8" ht="15.75" thickBot="1">
      <c r="D18" s="88"/>
      <c r="E18" s="88"/>
      <c r="F18" s="88"/>
      <c r="G18" s="88"/>
      <c r="H18" s="88"/>
    </row>
    <row r="19" spans="2:8" ht="12.75">
      <c r="B19" s="830" t="s">
        <v>425</v>
      </c>
      <c r="C19" s="831"/>
      <c r="D19" s="831"/>
      <c r="E19" s="831"/>
      <c r="F19" s="831"/>
      <c r="G19" s="831"/>
      <c r="H19" s="832"/>
    </row>
    <row r="20" spans="2:8" ht="12.75">
      <c r="B20" s="404" t="s">
        <v>360</v>
      </c>
      <c r="C20" s="405" t="s">
        <v>368</v>
      </c>
      <c r="D20" s="406">
        <v>2010</v>
      </c>
      <c r="E20" s="406">
        <v>2011</v>
      </c>
      <c r="F20" s="406">
        <v>2012</v>
      </c>
      <c r="G20" s="406">
        <v>2013</v>
      </c>
      <c r="H20" s="414">
        <v>2014</v>
      </c>
    </row>
    <row r="21" spans="2:8" ht="12.75">
      <c r="B21" s="415" t="s">
        <v>361</v>
      </c>
      <c r="C21" s="416" t="s">
        <v>5</v>
      </c>
      <c r="D21" s="407">
        <v>44537.32119833301</v>
      </c>
      <c r="E21" s="407">
        <v>40073.40511895041</v>
      </c>
      <c r="F21" s="407">
        <v>36741.20542934764</v>
      </c>
      <c r="G21" s="407">
        <v>38129.0994138106</v>
      </c>
      <c r="H21" s="421">
        <v>36562.22377899677</v>
      </c>
    </row>
    <row r="22" spans="2:8" ht="12.75">
      <c r="B22" s="415" t="s">
        <v>361</v>
      </c>
      <c r="C22" s="416" t="s">
        <v>6</v>
      </c>
      <c r="D22" s="407">
        <v>9448.381658918368</v>
      </c>
      <c r="E22" s="407">
        <v>11268.96179299226</v>
      </c>
      <c r="F22" s="407">
        <v>7581.092095550664</v>
      </c>
      <c r="G22" s="407">
        <v>6191.659233586962</v>
      </c>
      <c r="H22" s="421">
        <v>6972.971190810881</v>
      </c>
    </row>
    <row r="23" spans="2:8" ht="12.75">
      <c r="B23" s="415" t="s">
        <v>427</v>
      </c>
      <c r="C23" s="416" t="s">
        <v>5</v>
      </c>
      <c r="D23" s="407">
        <v>34922.92203336101</v>
      </c>
      <c r="E23" s="407">
        <v>30876.661504357617</v>
      </c>
      <c r="F23" s="407">
        <v>27747.54826332252</v>
      </c>
      <c r="G23" s="407">
        <v>28438.605418574076</v>
      </c>
      <c r="H23" s="421">
        <v>27249.404872786945</v>
      </c>
    </row>
    <row r="24" spans="2:8" ht="15.75" thickBot="1">
      <c r="B24" s="488" t="s">
        <v>427</v>
      </c>
      <c r="C24" s="489" t="s">
        <v>6</v>
      </c>
      <c r="D24" s="422">
        <v>5820.863390815478</v>
      </c>
      <c r="E24" s="422">
        <v>7347.585597432822</v>
      </c>
      <c r="F24" s="422">
        <v>5085.784105861941</v>
      </c>
      <c r="G24" s="422">
        <v>3903.7868960990427</v>
      </c>
      <c r="H24" s="423">
        <v>4251.958133591345</v>
      </c>
    </row>
    <row r="25" ht="15.75" thickBot="1"/>
    <row r="26" spans="2:8" ht="12.75">
      <c r="B26" s="830" t="s">
        <v>425</v>
      </c>
      <c r="C26" s="831"/>
      <c r="D26" s="831"/>
      <c r="E26" s="831"/>
      <c r="F26" s="831"/>
      <c r="G26" s="831"/>
      <c r="H26" s="832"/>
    </row>
    <row r="27" spans="2:8" ht="12.75">
      <c r="B27" s="404" t="s">
        <v>360</v>
      </c>
      <c r="C27" s="405"/>
      <c r="D27" s="406">
        <v>2010</v>
      </c>
      <c r="E27" s="406">
        <v>2011</v>
      </c>
      <c r="F27" s="406">
        <v>2012</v>
      </c>
      <c r="G27" s="406">
        <v>2013</v>
      </c>
      <c r="H27" s="414">
        <v>2014</v>
      </c>
    </row>
    <row r="28" spans="2:8" ht="12.75">
      <c r="B28" s="415" t="s">
        <v>361</v>
      </c>
      <c r="C28" s="416"/>
      <c r="D28" s="407">
        <v>53985.70285725138</v>
      </c>
      <c r="E28" s="407">
        <v>51342.36691194267</v>
      </c>
      <c r="F28" s="407">
        <v>44322.297524898306</v>
      </c>
      <c r="G28" s="407">
        <v>44320.75864739757</v>
      </c>
      <c r="H28" s="421">
        <v>43535.19496980765</v>
      </c>
    </row>
    <row r="29" spans="2:8" ht="15.75" thickBot="1">
      <c r="B29" s="488" t="s">
        <v>427</v>
      </c>
      <c r="C29" s="489"/>
      <c r="D29" s="422">
        <v>40743.78542417649</v>
      </c>
      <c r="E29" s="422">
        <v>38224.24710179044</v>
      </c>
      <c r="F29" s="422">
        <v>32833.332369184456</v>
      </c>
      <c r="G29" s="422">
        <v>32342.392314673118</v>
      </c>
      <c r="H29" s="423">
        <v>31501.36300637829</v>
      </c>
    </row>
  </sheetData>
  <mergeCells count="13">
    <mergeCell ref="B19:H19"/>
    <mergeCell ref="B26:H26"/>
    <mergeCell ref="Z2:AD3"/>
    <mergeCell ref="B2:H3"/>
    <mergeCell ref="J2:P3"/>
    <mergeCell ref="Q2:Q3"/>
    <mergeCell ref="R2:X3"/>
    <mergeCell ref="Y2:Y3"/>
    <mergeCell ref="J5:P5"/>
    <mergeCell ref="R5:X5"/>
    <mergeCell ref="Z5:AD5"/>
    <mergeCell ref="B5:H5"/>
    <mergeCell ref="B12:H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topLeftCell="A1">
      <selection activeCell="A3" sqref="A3"/>
    </sheetView>
  </sheetViews>
  <sheetFormatPr defaultColWidth="9.140625" defaultRowHeight="12.75"/>
  <sheetData>
    <row r="1" spans="1:19" ht="27.6" customHeight="1">
      <c r="A1" s="685" t="s">
        <v>432</v>
      </c>
      <c r="B1" s="94"/>
      <c r="C1" s="94"/>
      <c r="D1" s="94"/>
      <c r="E1" s="94"/>
      <c r="F1" s="94"/>
      <c r="G1" s="94"/>
      <c r="H1" s="94"/>
      <c r="I1" s="94"/>
      <c r="J1" s="94"/>
      <c r="K1" s="94"/>
      <c r="L1" s="94"/>
      <c r="M1" s="94"/>
      <c r="N1" s="94"/>
      <c r="O1" s="94"/>
      <c r="P1" s="94"/>
      <c r="Q1" s="94"/>
      <c r="R1" s="94"/>
      <c r="S1" s="94"/>
    </row>
    <row r="2" spans="1:19" ht="12.75" customHeight="1">
      <c r="A2" s="94"/>
      <c r="B2" s="94"/>
      <c r="C2" s="94"/>
      <c r="D2" s="94"/>
      <c r="E2" s="94"/>
      <c r="F2" s="94"/>
      <c r="G2" s="94"/>
      <c r="H2" s="94"/>
      <c r="I2" s="94"/>
      <c r="J2" s="94"/>
      <c r="K2" s="94"/>
      <c r="L2" s="94"/>
      <c r="M2" s="94"/>
      <c r="N2" s="94"/>
      <c r="O2" s="94"/>
      <c r="P2" s="94"/>
      <c r="Q2" s="94"/>
      <c r="R2" s="94"/>
      <c r="S2" s="94"/>
    </row>
    <row r="3" spans="1:19" ht="12.75" customHeight="1">
      <c r="A3" s="94"/>
      <c r="B3" s="94"/>
      <c r="C3" s="94"/>
      <c r="D3" s="94"/>
      <c r="E3" s="94"/>
      <c r="F3" s="94"/>
      <c r="G3" s="94"/>
      <c r="H3" s="94"/>
      <c r="I3" s="94"/>
      <c r="J3" s="94"/>
      <c r="K3" s="94"/>
      <c r="L3" s="94"/>
      <c r="M3" s="94"/>
      <c r="N3" s="94"/>
      <c r="O3" s="94"/>
      <c r="P3" s="94"/>
      <c r="Q3" s="94"/>
      <c r="R3" s="94"/>
      <c r="S3" s="94"/>
    </row>
    <row r="4" spans="1:19" ht="12.75" customHeight="1">
      <c r="A4" s="94"/>
      <c r="B4" s="94"/>
      <c r="C4" s="94"/>
      <c r="D4" s="94"/>
      <c r="E4" s="94"/>
      <c r="F4" s="94"/>
      <c r="G4" s="94"/>
      <c r="H4" s="94"/>
      <c r="I4" s="94"/>
      <c r="J4" s="94"/>
      <c r="K4" s="94"/>
      <c r="L4" s="94"/>
      <c r="M4" s="94"/>
      <c r="N4" s="94"/>
      <c r="O4" s="94"/>
      <c r="P4" s="94"/>
      <c r="Q4" s="94"/>
      <c r="R4" s="94"/>
      <c r="S4" s="94"/>
    </row>
    <row r="5" spans="1:19" ht="12.75" customHeight="1">
      <c r="A5" s="94"/>
      <c r="B5" s="94"/>
      <c r="C5" s="94"/>
      <c r="D5" s="94"/>
      <c r="E5" s="94"/>
      <c r="F5" s="94"/>
      <c r="G5" s="94"/>
      <c r="H5" s="94"/>
      <c r="I5" s="94"/>
      <c r="J5" s="94"/>
      <c r="K5" s="94"/>
      <c r="L5" s="94"/>
      <c r="M5" s="94"/>
      <c r="N5" s="94"/>
      <c r="O5" s="94"/>
      <c r="P5" s="94"/>
      <c r="Q5" s="94"/>
      <c r="R5" s="94"/>
      <c r="S5" s="94"/>
    </row>
    <row r="6" spans="1:19" ht="12.75" customHeight="1">
      <c r="A6" s="94"/>
      <c r="B6" s="94"/>
      <c r="C6" s="94"/>
      <c r="D6" s="94"/>
      <c r="E6" s="94"/>
      <c r="F6" s="94"/>
      <c r="G6" s="94"/>
      <c r="H6" s="94"/>
      <c r="I6" s="94"/>
      <c r="J6" s="94"/>
      <c r="K6" s="94"/>
      <c r="L6" s="94"/>
      <c r="M6" s="94"/>
      <c r="N6" s="94"/>
      <c r="O6" s="94"/>
      <c r="P6" s="94"/>
      <c r="Q6" s="94"/>
      <c r="R6" s="94"/>
      <c r="S6" s="94"/>
    </row>
    <row r="7" spans="1:19" ht="12.75" customHeight="1">
      <c r="A7" s="94"/>
      <c r="B7" s="94"/>
      <c r="C7" s="94"/>
      <c r="D7" s="94"/>
      <c r="E7" s="94"/>
      <c r="F7" s="94"/>
      <c r="G7" s="94"/>
      <c r="H7" s="94"/>
      <c r="I7" s="94"/>
      <c r="J7" s="94"/>
      <c r="K7" s="94"/>
      <c r="L7" s="94"/>
      <c r="M7" s="94"/>
      <c r="N7" s="94"/>
      <c r="O7" s="94"/>
      <c r="P7" s="94"/>
      <c r="Q7" s="94"/>
      <c r="R7" s="94"/>
      <c r="S7" s="94"/>
    </row>
    <row r="8" spans="1:19" ht="12.75" customHeight="1">
      <c r="A8" s="94"/>
      <c r="B8" s="94"/>
      <c r="C8" s="94"/>
      <c r="D8" s="94"/>
      <c r="E8" s="94"/>
      <c r="F8" s="94"/>
      <c r="G8" s="94"/>
      <c r="H8" s="94"/>
      <c r="I8" s="94"/>
      <c r="J8" s="94"/>
      <c r="K8" s="94"/>
      <c r="L8" s="94"/>
      <c r="M8" s="94"/>
      <c r="N8" s="94"/>
      <c r="O8" s="94"/>
      <c r="P8" s="94"/>
      <c r="Q8" s="94"/>
      <c r="R8" s="94"/>
      <c r="S8" s="94"/>
    </row>
    <row r="9" spans="1:19" ht="12.75" customHeight="1">
      <c r="A9" s="94"/>
      <c r="B9" s="94"/>
      <c r="C9" s="94"/>
      <c r="D9" s="94"/>
      <c r="E9" s="94"/>
      <c r="F9" s="94"/>
      <c r="G9" s="94"/>
      <c r="H9" s="94"/>
      <c r="I9" s="94"/>
      <c r="J9" s="94"/>
      <c r="K9" s="94"/>
      <c r="L9" s="94"/>
      <c r="M9" s="94"/>
      <c r="N9" s="94"/>
      <c r="O9" s="94"/>
      <c r="P9" s="94"/>
      <c r="Q9" s="94"/>
      <c r="R9" s="94"/>
      <c r="S9" s="94"/>
    </row>
    <row r="10" spans="1:19" ht="12.75" customHeight="1">
      <c r="A10" s="94"/>
      <c r="B10" s="94"/>
      <c r="C10" s="94"/>
      <c r="D10" s="94"/>
      <c r="E10" s="94"/>
      <c r="F10" s="94"/>
      <c r="G10" s="94"/>
      <c r="H10" s="94"/>
      <c r="I10" s="94"/>
      <c r="J10" s="94"/>
      <c r="K10" s="94"/>
      <c r="L10" s="94"/>
      <c r="M10" s="94"/>
      <c r="N10" s="94"/>
      <c r="O10" s="94"/>
      <c r="P10" s="94"/>
      <c r="Q10" s="94"/>
      <c r="R10" s="94"/>
      <c r="S10" s="94"/>
    </row>
    <row r="11" spans="1:19" ht="12.75" customHeight="1">
      <c r="A11" s="94"/>
      <c r="B11" s="94"/>
      <c r="C11" s="94"/>
      <c r="D11" s="94"/>
      <c r="E11" s="94"/>
      <c r="F11" s="94"/>
      <c r="G11" s="94"/>
      <c r="H11" s="94"/>
      <c r="I11" s="94"/>
      <c r="J11" s="94"/>
      <c r="K11" s="94"/>
      <c r="L11" s="94"/>
      <c r="M11" s="94"/>
      <c r="N11" s="94"/>
      <c r="O11" s="94"/>
      <c r="P11" s="94"/>
      <c r="Q11" s="94"/>
      <c r="R11" s="94"/>
      <c r="S11" s="94"/>
    </row>
    <row r="12" spans="1:19" ht="12.75" customHeight="1">
      <c r="A12" s="94"/>
      <c r="B12" s="94"/>
      <c r="C12" s="94"/>
      <c r="D12" s="94"/>
      <c r="E12" s="94"/>
      <c r="F12" s="94"/>
      <c r="G12" s="94"/>
      <c r="H12" s="94"/>
      <c r="I12" s="94"/>
      <c r="J12" s="94"/>
      <c r="K12" s="94"/>
      <c r="L12" s="94"/>
      <c r="M12" s="94"/>
      <c r="N12" s="94"/>
      <c r="O12" s="94"/>
      <c r="P12" s="94"/>
      <c r="Q12" s="94"/>
      <c r="R12" s="94"/>
      <c r="S12" s="94"/>
    </row>
    <row r="13" spans="1:19" ht="12.75" customHeight="1">
      <c r="A13" s="94"/>
      <c r="B13" s="94"/>
      <c r="C13" s="94"/>
      <c r="D13" s="94"/>
      <c r="E13" s="94"/>
      <c r="F13" s="94"/>
      <c r="G13" s="94"/>
      <c r="H13" s="94"/>
      <c r="I13" s="94"/>
      <c r="J13" s="94"/>
      <c r="K13" s="94"/>
      <c r="L13" s="94"/>
      <c r="M13" s="94"/>
      <c r="N13" s="94"/>
      <c r="O13" s="94"/>
      <c r="P13" s="94"/>
      <c r="Q13" s="94"/>
      <c r="R13" s="94"/>
      <c r="S13" s="94"/>
    </row>
    <row r="14" spans="1:19" ht="12.75" customHeight="1">
      <c r="A14" s="94"/>
      <c r="B14" s="94"/>
      <c r="C14" s="94"/>
      <c r="D14" s="94"/>
      <c r="E14" s="94"/>
      <c r="F14" s="94"/>
      <c r="G14" s="94"/>
      <c r="H14" s="94"/>
      <c r="I14" s="94"/>
      <c r="J14" s="94"/>
      <c r="K14" s="94"/>
      <c r="L14" s="94"/>
      <c r="M14" s="94"/>
      <c r="N14" s="94"/>
      <c r="O14" s="94"/>
      <c r="P14" s="94"/>
      <c r="Q14" s="94"/>
      <c r="R14" s="94"/>
      <c r="S14" s="94"/>
    </row>
    <row r="15" spans="1:19" ht="12.75" customHeight="1">
      <c r="A15" s="94"/>
      <c r="B15" s="94"/>
      <c r="C15" s="94"/>
      <c r="D15" s="94"/>
      <c r="E15" s="94"/>
      <c r="F15" s="94"/>
      <c r="G15" s="94"/>
      <c r="H15" s="94"/>
      <c r="I15" s="94"/>
      <c r="J15" s="94"/>
      <c r="K15" s="94"/>
      <c r="L15" s="94"/>
      <c r="M15" s="94"/>
      <c r="N15" s="94"/>
      <c r="O15" s="94"/>
      <c r="P15" s="94"/>
      <c r="Q15" s="94"/>
      <c r="R15" s="94"/>
      <c r="S15" s="94"/>
    </row>
    <row r="16" spans="1:19" ht="12.75" customHeight="1">
      <c r="A16" s="94"/>
      <c r="B16" s="94"/>
      <c r="C16" s="94"/>
      <c r="D16" s="94"/>
      <c r="E16" s="94"/>
      <c r="F16" s="94"/>
      <c r="G16" s="94"/>
      <c r="H16" s="94"/>
      <c r="I16" s="94"/>
      <c r="J16" s="94"/>
      <c r="K16" s="94"/>
      <c r="L16" s="94"/>
      <c r="M16" s="94"/>
      <c r="N16" s="94"/>
      <c r="O16" s="94"/>
      <c r="P16" s="94"/>
      <c r="Q16" s="94"/>
      <c r="R16" s="94"/>
      <c r="S16" s="94"/>
    </row>
    <row r="17" spans="1:19" ht="12.75" customHeight="1">
      <c r="A17" s="94"/>
      <c r="B17" s="94"/>
      <c r="C17" s="94"/>
      <c r="D17" s="94"/>
      <c r="E17" s="94"/>
      <c r="F17" s="94"/>
      <c r="G17" s="94"/>
      <c r="H17" s="94"/>
      <c r="I17" s="94"/>
      <c r="J17" s="94"/>
      <c r="K17" s="94"/>
      <c r="L17" s="94"/>
      <c r="M17" s="94"/>
      <c r="N17" s="94"/>
      <c r="O17" s="94"/>
      <c r="P17" s="94"/>
      <c r="Q17" s="94"/>
      <c r="R17" s="94"/>
      <c r="S17" s="94"/>
    </row>
    <row r="18" spans="1:19" ht="12.75" customHeight="1">
      <c r="A18" s="94"/>
      <c r="B18" s="94"/>
      <c r="C18" s="94"/>
      <c r="D18" s="94"/>
      <c r="E18" s="94"/>
      <c r="F18" s="94"/>
      <c r="G18" s="94"/>
      <c r="H18" s="94"/>
      <c r="I18" s="94"/>
      <c r="J18" s="94"/>
      <c r="K18" s="94"/>
      <c r="L18" s="94"/>
      <c r="M18" s="94"/>
      <c r="N18" s="94"/>
      <c r="O18" s="94"/>
      <c r="P18" s="94"/>
      <c r="Q18" s="94"/>
      <c r="R18" s="94"/>
      <c r="S18" s="94"/>
    </row>
    <row r="19" spans="1:19" ht="12.75" customHeight="1">
      <c r="A19" s="94"/>
      <c r="B19" s="94"/>
      <c r="C19" s="94"/>
      <c r="D19" s="94"/>
      <c r="E19" s="94"/>
      <c r="F19" s="94"/>
      <c r="G19" s="94"/>
      <c r="H19" s="94"/>
      <c r="I19" s="94"/>
      <c r="J19" s="94"/>
      <c r="K19" s="94"/>
      <c r="L19" s="94"/>
      <c r="M19" s="94"/>
      <c r="N19" s="94"/>
      <c r="O19" s="94"/>
      <c r="P19" s="94"/>
      <c r="Q19" s="94"/>
      <c r="R19" s="94"/>
      <c r="S19" s="94"/>
    </row>
    <row r="20" spans="1:19" ht="12.75" customHeight="1">
      <c r="A20" s="94"/>
      <c r="B20" s="94"/>
      <c r="C20" s="94"/>
      <c r="D20" s="94"/>
      <c r="E20" s="94"/>
      <c r="F20" s="94"/>
      <c r="G20" s="94"/>
      <c r="H20" s="94"/>
      <c r="I20" s="94"/>
      <c r="J20" s="94"/>
      <c r="K20" s="94"/>
      <c r="L20" s="94"/>
      <c r="M20" s="94"/>
      <c r="N20" s="94"/>
      <c r="O20" s="94"/>
      <c r="P20" s="94"/>
      <c r="Q20" s="94"/>
      <c r="R20" s="94"/>
      <c r="S20" s="94"/>
    </row>
    <row r="21" spans="1:19" ht="12.75" customHeight="1">
      <c r="A21" s="94"/>
      <c r="B21" s="94"/>
      <c r="C21" s="94"/>
      <c r="D21" s="94"/>
      <c r="E21" s="94"/>
      <c r="F21" s="94"/>
      <c r="G21" s="94"/>
      <c r="H21" s="94"/>
      <c r="I21" s="94"/>
      <c r="J21" s="94"/>
      <c r="K21" s="94"/>
      <c r="L21" s="94"/>
      <c r="M21" s="94"/>
      <c r="N21" s="94"/>
      <c r="O21" s="94"/>
      <c r="P21" s="94"/>
      <c r="Q21" s="94"/>
      <c r="R21" s="94"/>
      <c r="S21" s="94"/>
    </row>
    <row r="22" spans="1:19" ht="12.75" customHeight="1">
      <c r="A22" s="94"/>
      <c r="B22" s="94"/>
      <c r="C22" s="94"/>
      <c r="D22" s="94"/>
      <c r="E22" s="94"/>
      <c r="F22" s="94"/>
      <c r="G22" s="94"/>
      <c r="H22" s="94"/>
      <c r="I22" s="94"/>
      <c r="J22" s="94"/>
      <c r="K22" s="94"/>
      <c r="L22" s="94"/>
      <c r="M22" s="94"/>
      <c r="N22" s="94"/>
      <c r="O22" s="94"/>
      <c r="P22" s="94"/>
      <c r="Q22" s="94"/>
      <c r="R22" s="94"/>
      <c r="S22" s="94"/>
    </row>
    <row r="23" spans="1:19" ht="12.75" customHeight="1">
      <c r="A23" s="94"/>
      <c r="B23" s="94"/>
      <c r="C23" s="94"/>
      <c r="D23" s="94"/>
      <c r="E23" s="94"/>
      <c r="F23" s="94"/>
      <c r="G23" s="94"/>
      <c r="H23" s="94"/>
      <c r="I23" s="94"/>
      <c r="J23" s="94"/>
      <c r="K23" s="94"/>
      <c r="L23" s="94"/>
      <c r="M23" s="94"/>
      <c r="N23" s="94"/>
      <c r="O23" s="94"/>
      <c r="P23" s="94"/>
      <c r="Q23" s="94"/>
      <c r="R23" s="94"/>
      <c r="S23" s="94"/>
    </row>
    <row r="24" spans="1:19" ht="12.75" customHeight="1">
      <c r="A24" s="94"/>
      <c r="B24" s="94"/>
      <c r="C24" s="94"/>
      <c r="D24" s="94"/>
      <c r="E24" s="94"/>
      <c r="F24" s="94"/>
      <c r="G24" s="94"/>
      <c r="H24" s="94"/>
      <c r="I24" s="94"/>
      <c r="J24" s="94"/>
      <c r="K24" s="94"/>
      <c r="L24" s="94"/>
      <c r="M24" s="94"/>
      <c r="N24" s="94"/>
      <c r="O24" s="94"/>
      <c r="P24" s="94"/>
      <c r="Q24" s="94"/>
      <c r="R24" s="94"/>
      <c r="S24" s="94"/>
    </row>
    <row r="25" spans="1:19" ht="12.75" customHeight="1">
      <c r="A25" s="94"/>
      <c r="B25" s="94"/>
      <c r="C25" s="94"/>
      <c r="D25" s="94"/>
      <c r="E25" s="94"/>
      <c r="F25" s="94"/>
      <c r="G25" s="94"/>
      <c r="H25" s="94"/>
      <c r="I25" s="94"/>
      <c r="J25" s="94"/>
      <c r="K25" s="94"/>
      <c r="L25" s="94"/>
      <c r="M25" s="94"/>
      <c r="N25" s="94"/>
      <c r="O25" s="94"/>
      <c r="P25" s="94"/>
      <c r="Q25" s="94"/>
      <c r="R25" s="94"/>
      <c r="S25" s="94"/>
    </row>
    <row r="26" spans="1:19" ht="12.75" customHeight="1">
      <c r="A26" s="94"/>
      <c r="B26" s="94"/>
      <c r="C26" s="94"/>
      <c r="D26" s="94"/>
      <c r="E26" s="94"/>
      <c r="F26" s="94"/>
      <c r="G26" s="94"/>
      <c r="H26" s="94"/>
      <c r="I26" s="94"/>
      <c r="J26" s="94"/>
      <c r="K26" s="94"/>
      <c r="L26" s="94"/>
      <c r="M26" s="94"/>
      <c r="N26" s="94"/>
      <c r="O26" s="94"/>
      <c r="P26" s="94"/>
      <c r="Q26" s="94"/>
      <c r="R26" s="94"/>
      <c r="S26" s="94"/>
    </row>
    <row r="27" spans="1:19" ht="12.75" customHeight="1">
      <c r="A27" s="94"/>
      <c r="B27" s="94"/>
      <c r="C27" s="94"/>
      <c r="D27" s="94"/>
      <c r="E27" s="94"/>
      <c r="F27" s="94"/>
      <c r="G27" s="94"/>
      <c r="H27" s="94"/>
      <c r="I27" s="94"/>
      <c r="J27" s="94"/>
      <c r="K27" s="94"/>
      <c r="L27" s="94"/>
      <c r="M27" s="94"/>
      <c r="N27" s="94"/>
      <c r="O27" s="94"/>
      <c r="P27" s="94"/>
      <c r="Q27" s="94"/>
      <c r="R27" s="94"/>
      <c r="S27" s="94"/>
    </row>
    <row r="28" spans="1:19" ht="12.75" customHeight="1">
      <c r="A28" s="94"/>
      <c r="B28" s="94"/>
      <c r="C28" s="94"/>
      <c r="D28" s="94"/>
      <c r="E28" s="94"/>
      <c r="F28" s="94"/>
      <c r="G28" s="94"/>
      <c r="H28" s="94"/>
      <c r="I28" s="94"/>
      <c r="J28" s="94"/>
      <c r="K28" s="94"/>
      <c r="L28" s="94"/>
      <c r="M28" s="94"/>
      <c r="N28" s="94"/>
      <c r="O28" s="94"/>
      <c r="P28" s="94"/>
      <c r="Q28" s="94"/>
      <c r="R28" s="94"/>
      <c r="S28" s="94"/>
    </row>
    <row r="29" spans="1:19" ht="12.75" customHeight="1">
      <c r="A29" s="94"/>
      <c r="B29" s="94"/>
      <c r="C29" s="94"/>
      <c r="D29" s="94"/>
      <c r="E29" s="94"/>
      <c r="F29" s="94"/>
      <c r="G29" s="94"/>
      <c r="H29" s="94"/>
      <c r="I29" s="94"/>
      <c r="J29" s="94"/>
      <c r="K29" s="94"/>
      <c r="L29" s="94"/>
      <c r="M29" s="94"/>
      <c r="N29" s="94"/>
      <c r="O29" s="94"/>
      <c r="P29" s="94"/>
      <c r="Q29" s="94"/>
      <c r="R29" s="94"/>
      <c r="S29" s="94"/>
    </row>
    <row r="30" spans="1:19" ht="12.75" customHeight="1">
      <c r="A30" s="94"/>
      <c r="B30" s="94"/>
      <c r="C30" s="94"/>
      <c r="D30" s="94"/>
      <c r="E30" s="94"/>
      <c r="F30" s="94"/>
      <c r="G30" s="94"/>
      <c r="H30" s="94"/>
      <c r="I30" s="94"/>
      <c r="J30" s="94"/>
      <c r="K30" s="94"/>
      <c r="L30" s="94"/>
      <c r="M30" s="94"/>
      <c r="N30" s="94"/>
      <c r="O30" s="94"/>
      <c r="P30" s="94"/>
      <c r="Q30" s="94"/>
      <c r="R30" s="94"/>
      <c r="S30" s="94"/>
    </row>
    <row r="31" spans="1:19" ht="12.75" customHeight="1">
      <c r="A31" s="94"/>
      <c r="B31" s="94"/>
      <c r="C31" s="94"/>
      <c r="D31" s="94"/>
      <c r="E31" s="94"/>
      <c r="F31" s="94"/>
      <c r="G31" s="94"/>
      <c r="H31" s="94"/>
      <c r="I31" s="94"/>
      <c r="J31" s="94"/>
      <c r="K31" s="94"/>
      <c r="L31" s="94"/>
      <c r="M31" s="94"/>
      <c r="N31" s="94"/>
      <c r="O31" s="94"/>
      <c r="P31" s="94"/>
      <c r="Q31" s="94"/>
      <c r="R31" s="94"/>
      <c r="S31" s="94"/>
    </row>
    <row r="32" spans="1:19" ht="12.75" customHeight="1">
      <c r="A32" s="94"/>
      <c r="B32" s="94"/>
      <c r="C32" s="94"/>
      <c r="D32" s="94"/>
      <c r="E32" s="94"/>
      <c r="F32" s="94"/>
      <c r="G32" s="94"/>
      <c r="H32" s="94"/>
      <c r="I32" s="94"/>
      <c r="J32" s="94"/>
      <c r="K32" s="94"/>
      <c r="L32" s="94"/>
      <c r="M32" s="94"/>
      <c r="N32" s="94"/>
      <c r="O32" s="94"/>
      <c r="P32" s="94"/>
      <c r="Q32" s="94"/>
      <c r="R32" s="94"/>
      <c r="S32" s="94"/>
    </row>
    <row r="33" spans="1:19" ht="12.75" customHeight="1">
      <c r="A33" s="94"/>
      <c r="B33" s="94"/>
      <c r="C33" s="94"/>
      <c r="D33" s="94"/>
      <c r="E33" s="94"/>
      <c r="F33" s="94"/>
      <c r="G33" s="94"/>
      <c r="H33" s="94"/>
      <c r="I33" s="94"/>
      <c r="J33" s="94"/>
      <c r="K33" s="94"/>
      <c r="L33" s="94"/>
      <c r="M33" s="94"/>
      <c r="N33" s="94"/>
      <c r="O33" s="94"/>
      <c r="P33" s="94"/>
      <c r="Q33" s="94"/>
      <c r="R33" s="94"/>
      <c r="S33" s="94"/>
    </row>
    <row r="34" spans="1:19" ht="12.75" customHeight="1">
      <c r="A34" s="94"/>
      <c r="B34" s="94"/>
      <c r="C34" s="94"/>
      <c r="D34" s="94"/>
      <c r="E34" s="94"/>
      <c r="F34" s="94"/>
      <c r="G34" s="94"/>
      <c r="H34" s="94"/>
      <c r="I34" s="94"/>
      <c r="J34" s="94"/>
      <c r="K34" s="94"/>
      <c r="L34" s="94"/>
      <c r="M34" s="94"/>
      <c r="N34" s="94"/>
      <c r="O34" s="94"/>
      <c r="P34" s="94"/>
      <c r="Q34" s="94"/>
      <c r="R34" s="94"/>
      <c r="S34" s="94"/>
    </row>
    <row r="35" spans="1:19" ht="12.75" customHeight="1">
      <c r="A35" s="94"/>
      <c r="B35" s="94"/>
      <c r="C35" s="94"/>
      <c r="D35" s="94"/>
      <c r="E35" s="94"/>
      <c r="F35" s="94"/>
      <c r="G35" s="94"/>
      <c r="H35" s="94"/>
      <c r="I35" s="94"/>
      <c r="J35" s="94"/>
      <c r="K35" s="94"/>
      <c r="L35" s="94"/>
      <c r="M35" s="94"/>
      <c r="N35" s="94"/>
      <c r="O35" s="94"/>
      <c r="P35" s="94"/>
      <c r="Q35" s="94"/>
      <c r="R35" s="94"/>
      <c r="S35" s="94"/>
    </row>
    <row r="36" spans="1:19" ht="12.75" customHeight="1">
      <c r="A36" s="94"/>
      <c r="B36" s="94"/>
      <c r="C36" s="94"/>
      <c r="D36" s="94"/>
      <c r="E36" s="94"/>
      <c r="F36" s="94"/>
      <c r="G36" s="94"/>
      <c r="H36" s="94"/>
      <c r="I36" s="94"/>
      <c r="J36" s="94"/>
      <c r="K36" s="94"/>
      <c r="L36" s="94"/>
      <c r="M36" s="94"/>
      <c r="N36" s="94"/>
      <c r="O36" s="94"/>
      <c r="P36" s="94"/>
      <c r="Q36" s="94"/>
      <c r="R36" s="94"/>
      <c r="S36" s="94"/>
    </row>
    <row r="37" spans="1:19" ht="12.75" customHeight="1">
      <c r="A37" s="94"/>
      <c r="B37" s="94"/>
      <c r="C37" s="94"/>
      <c r="D37" s="94"/>
      <c r="E37" s="94"/>
      <c r="F37" s="94"/>
      <c r="G37" s="94"/>
      <c r="H37" s="94"/>
      <c r="I37" s="94"/>
      <c r="J37" s="94"/>
      <c r="K37" s="94"/>
      <c r="L37" s="94"/>
      <c r="M37" s="94"/>
      <c r="N37" s="94"/>
      <c r="O37" s="94"/>
      <c r="P37" s="94"/>
      <c r="Q37" s="94"/>
      <c r="R37" s="94"/>
      <c r="S37" s="94"/>
    </row>
    <row r="38" spans="1:19" ht="12.75" customHeight="1">
      <c r="A38" s="94"/>
      <c r="B38" s="94"/>
      <c r="C38" s="94"/>
      <c r="D38" s="94"/>
      <c r="E38" s="94"/>
      <c r="F38" s="94"/>
      <c r="G38" s="94"/>
      <c r="H38" s="94"/>
      <c r="I38" s="94"/>
      <c r="J38" s="94"/>
      <c r="K38" s="94"/>
      <c r="L38" s="94"/>
      <c r="M38" s="94"/>
      <c r="N38" s="94"/>
      <c r="O38" s="94"/>
      <c r="P38" s="94"/>
      <c r="Q38" s="94"/>
      <c r="R38" s="94"/>
      <c r="S38" s="94"/>
    </row>
    <row r="39" spans="1:19" ht="12.75" customHeight="1">
      <c r="A39" s="94"/>
      <c r="B39" s="94"/>
      <c r="C39" s="94"/>
      <c r="D39" s="94"/>
      <c r="E39" s="94"/>
      <c r="F39" s="94"/>
      <c r="G39" s="94"/>
      <c r="H39" s="94"/>
      <c r="I39" s="94"/>
      <c r="J39" s="94"/>
      <c r="K39" s="94"/>
      <c r="L39" s="94"/>
      <c r="M39" s="94"/>
      <c r="N39" s="94"/>
      <c r="O39" s="94"/>
      <c r="P39" s="94"/>
      <c r="Q39" s="94"/>
      <c r="R39" s="94"/>
      <c r="S39" s="94"/>
    </row>
    <row r="40" spans="1:19" ht="12.75" customHeight="1">
      <c r="A40" s="94"/>
      <c r="B40" s="94"/>
      <c r="C40" s="94"/>
      <c r="D40" s="94"/>
      <c r="E40" s="94"/>
      <c r="F40" s="94"/>
      <c r="G40" s="94"/>
      <c r="H40" s="94"/>
      <c r="I40" s="94"/>
      <c r="J40" s="94"/>
      <c r="K40" s="94"/>
      <c r="L40" s="94"/>
      <c r="M40" s="94"/>
      <c r="N40" s="94"/>
      <c r="O40" s="94"/>
      <c r="P40" s="94"/>
      <c r="Q40" s="94"/>
      <c r="R40" s="94"/>
      <c r="S40" s="94"/>
    </row>
    <row r="41" spans="1:19" ht="12.75" customHeight="1">
      <c r="A41" s="94"/>
      <c r="B41" s="94"/>
      <c r="C41" s="94"/>
      <c r="D41" s="94"/>
      <c r="E41" s="94"/>
      <c r="F41" s="94"/>
      <c r="G41" s="94"/>
      <c r="H41" s="94"/>
      <c r="I41" s="94"/>
      <c r="J41" s="94"/>
      <c r="K41" s="94"/>
      <c r="L41" s="94"/>
      <c r="M41" s="94"/>
      <c r="N41" s="94"/>
      <c r="O41" s="94"/>
      <c r="P41" s="94"/>
      <c r="Q41" s="94"/>
      <c r="R41" s="94"/>
      <c r="S41" s="94"/>
    </row>
    <row r="42" spans="1:19" ht="12.75" customHeight="1">
      <c r="A42" s="94"/>
      <c r="B42" s="94"/>
      <c r="C42" s="94"/>
      <c r="D42" s="94"/>
      <c r="E42" s="94"/>
      <c r="F42" s="94"/>
      <c r="G42" s="94"/>
      <c r="H42" s="94"/>
      <c r="I42" s="94"/>
      <c r="J42" s="94"/>
      <c r="K42" s="94"/>
      <c r="L42" s="94"/>
      <c r="M42" s="94"/>
      <c r="N42" s="94"/>
      <c r="O42" s="94"/>
      <c r="P42" s="94"/>
      <c r="Q42" s="94"/>
      <c r="R42" s="94"/>
      <c r="S42" s="94"/>
    </row>
    <row r="43" spans="1:19" ht="12.75" customHeight="1">
      <c r="A43" s="94"/>
      <c r="B43" s="94"/>
      <c r="C43" s="94"/>
      <c r="D43" s="94"/>
      <c r="E43" s="94"/>
      <c r="F43" s="94"/>
      <c r="G43" s="94"/>
      <c r="H43" s="94"/>
      <c r="I43" s="94"/>
      <c r="J43" s="94"/>
      <c r="K43" s="94"/>
      <c r="L43" s="94"/>
      <c r="M43" s="94"/>
      <c r="N43" s="94"/>
      <c r="O43" s="94"/>
      <c r="P43" s="94"/>
      <c r="Q43" s="94"/>
      <c r="R43" s="94"/>
      <c r="S43" s="94"/>
    </row>
  </sheetData>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A49C"/>
  </sheetPr>
  <dimension ref="B2:E21"/>
  <sheetViews>
    <sheetView workbookViewId="0" topLeftCell="A1">
      <selection activeCell="D22" sqref="D22:D23"/>
    </sheetView>
  </sheetViews>
  <sheetFormatPr defaultColWidth="9.140625" defaultRowHeight="12.75"/>
  <cols>
    <col min="1" max="2" width="3.7109375" style="1" customWidth="1"/>
    <col min="3" max="4" width="57.421875" style="1" customWidth="1"/>
    <col min="5" max="5" width="3.7109375" style="1" customWidth="1"/>
    <col min="6" max="16384" width="9.140625" style="1" customWidth="1"/>
  </cols>
  <sheetData>
    <row r="1" ht="17.25" thickBot="1"/>
    <row r="2" ht="17.25" thickBot="1">
      <c r="C2" s="204" t="s">
        <v>28</v>
      </c>
    </row>
    <row r="3" ht="17.25" thickBot="1">
      <c r="C3" s="205"/>
    </row>
    <row r="4" ht="17.25" thickBot="1">
      <c r="C4" s="204" t="s">
        <v>24</v>
      </c>
    </row>
    <row r="5" ht="17.25" thickBot="1">
      <c r="C5" s="2"/>
    </row>
    <row r="6" spans="2:5" ht="12.75">
      <c r="B6" s="191"/>
      <c r="C6" s="192"/>
      <c r="D6" s="192"/>
      <c r="E6" s="193"/>
    </row>
    <row r="7" spans="2:5" ht="12.75">
      <c r="B7" s="194"/>
      <c r="C7" s="896" t="s">
        <v>29</v>
      </c>
      <c r="D7" s="896"/>
      <c r="E7" s="195"/>
    </row>
    <row r="8" spans="2:5" ht="12.75">
      <c r="B8" s="194"/>
      <c r="C8" s="897" t="s">
        <v>116</v>
      </c>
      <c r="D8" s="898"/>
      <c r="E8" s="195"/>
    </row>
    <row r="9" spans="2:5" ht="12.75">
      <c r="B9" s="194"/>
      <c r="C9" s="196"/>
      <c r="D9" s="197"/>
      <c r="E9" s="195"/>
    </row>
    <row r="10" spans="2:5" ht="12.75">
      <c r="B10" s="194"/>
      <c r="C10" s="197" t="s">
        <v>37</v>
      </c>
      <c r="D10" s="197"/>
      <c r="E10" s="195"/>
    </row>
    <row r="11" spans="2:5" s="3" customFormat="1" ht="97.5" customHeight="1">
      <c r="B11" s="198"/>
      <c r="C11" s="899" t="s">
        <v>464</v>
      </c>
      <c r="D11" s="900"/>
      <c r="E11" s="199"/>
    </row>
    <row r="12" spans="2:5" ht="12.75">
      <c r="B12" s="194"/>
      <c r="C12" s="200"/>
      <c r="D12" s="200"/>
      <c r="E12" s="195"/>
    </row>
    <row r="13" spans="2:5" ht="12.75">
      <c r="B13" s="194"/>
      <c r="C13" s="197" t="s">
        <v>30</v>
      </c>
      <c r="D13" s="200"/>
      <c r="E13" s="195"/>
    </row>
    <row r="14" spans="2:5" ht="12.75">
      <c r="B14" s="194"/>
      <c r="C14" s="576" t="s">
        <v>31</v>
      </c>
      <c r="D14" s="581" t="s">
        <v>32</v>
      </c>
      <c r="E14" s="195"/>
    </row>
    <row r="15" spans="2:5" ht="12.75">
      <c r="B15" s="194"/>
      <c r="C15" s="577" t="s">
        <v>33</v>
      </c>
      <c r="D15" s="578" t="s">
        <v>34</v>
      </c>
      <c r="E15" s="195"/>
    </row>
    <row r="16" spans="2:5" ht="12.75">
      <c r="B16" s="194"/>
      <c r="C16" s="579" t="s">
        <v>35</v>
      </c>
      <c r="D16" s="580" t="s">
        <v>36</v>
      </c>
      <c r="E16" s="195"/>
    </row>
    <row r="17" spans="2:5" ht="17.25" thickBot="1">
      <c r="B17" s="201"/>
      <c r="C17" s="202"/>
      <c r="D17" s="202"/>
      <c r="E17" s="203"/>
    </row>
    <row r="18" ht="17.25" thickBot="1"/>
    <row r="19" ht="17.25" thickBot="1">
      <c r="C19" s="204" t="s">
        <v>285</v>
      </c>
    </row>
    <row r="20" ht="12.75">
      <c r="C20" s="709" t="s">
        <v>286</v>
      </c>
    </row>
    <row r="21" ht="17.25" thickBot="1">
      <c r="C21" s="708" t="s">
        <v>287</v>
      </c>
    </row>
  </sheetData>
  <mergeCells count="3">
    <mergeCell ref="C7:D7"/>
    <mergeCell ref="C8:D8"/>
    <mergeCell ref="C11:D11"/>
  </mergeCells>
  <hyperlinks>
    <hyperlink ref="C4" location="Navigation!A1" display="NAVIGATION"/>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A49C"/>
  </sheetPr>
  <dimension ref="B2:J22"/>
  <sheetViews>
    <sheetView workbookViewId="0" topLeftCell="A1">
      <selection activeCell="G11" sqref="G11"/>
    </sheetView>
  </sheetViews>
  <sheetFormatPr defaultColWidth="9.140625" defaultRowHeight="12.75"/>
  <cols>
    <col min="1" max="2" width="3.7109375" style="30" customWidth="1"/>
    <col min="3" max="3" width="26.00390625" style="31" customWidth="1"/>
    <col min="4" max="4" width="6.7109375" style="30" customWidth="1"/>
    <col min="5" max="5" width="43.421875" style="30" customWidth="1"/>
    <col min="6" max="6" width="14.7109375" style="30" customWidth="1"/>
    <col min="7" max="7" width="38.7109375" style="30" customWidth="1"/>
    <col min="8" max="8" width="8.421875" style="30" customWidth="1"/>
    <col min="9" max="9" width="48.8515625" style="30" bestFit="1" customWidth="1"/>
    <col min="10" max="10" width="3.7109375" style="30" customWidth="1"/>
    <col min="11" max="16384" width="9.140625" style="30" customWidth="1"/>
  </cols>
  <sheetData>
    <row r="1" ht="15.75" thickBot="1"/>
    <row r="2" ht="16.5" thickBot="1">
      <c r="C2" s="561" t="s">
        <v>24</v>
      </c>
    </row>
    <row r="3" ht="16.5" thickBot="1">
      <c r="C3" s="283"/>
    </row>
    <row r="4" ht="16.5" thickBot="1">
      <c r="C4" s="561" t="s">
        <v>25</v>
      </c>
    </row>
    <row r="5" ht="15.75" thickBot="1">
      <c r="C5" s="32"/>
    </row>
    <row r="6" spans="2:10" ht="12.75">
      <c r="B6" s="562"/>
      <c r="C6" s="563"/>
      <c r="D6" s="564"/>
      <c r="E6" s="564"/>
      <c r="F6" s="564"/>
      <c r="G6" s="564"/>
      <c r="H6" s="564"/>
      <c r="I6" s="564"/>
      <c r="J6" s="565"/>
    </row>
    <row r="7" spans="2:10" ht="12.75">
      <c r="B7" s="566"/>
      <c r="C7" s="567" t="s">
        <v>26</v>
      </c>
      <c r="D7" s="567"/>
      <c r="E7" s="567" t="s">
        <v>40</v>
      </c>
      <c r="F7" s="567"/>
      <c r="G7" s="567" t="s">
        <v>38</v>
      </c>
      <c r="H7" s="567"/>
      <c r="I7" s="567" t="s">
        <v>117</v>
      </c>
      <c r="J7" s="568"/>
    </row>
    <row r="8" spans="2:10" ht="15.75" thickBot="1">
      <c r="B8" s="566"/>
      <c r="C8" s="569"/>
      <c r="D8" s="569"/>
      <c r="E8" s="569"/>
      <c r="F8" s="569"/>
      <c r="G8" s="569"/>
      <c r="H8" s="569"/>
      <c r="I8" s="569"/>
      <c r="J8" s="568"/>
    </row>
    <row r="9" spans="2:10" ht="15.75" thickBot="1">
      <c r="B9" s="566"/>
      <c r="C9" s="493" t="s">
        <v>27</v>
      </c>
      <c r="D9" s="570"/>
      <c r="E9" s="495" t="s">
        <v>85</v>
      </c>
      <c r="F9" s="570"/>
      <c r="G9" s="495" t="s">
        <v>217</v>
      </c>
      <c r="H9" s="570"/>
      <c r="I9" s="569"/>
      <c r="J9" s="568"/>
    </row>
    <row r="10" spans="2:10" ht="15.75" thickBot="1">
      <c r="B10" s="566"/>
      <c r="C10" s="570"/>
      <c r="D10" s="570"/>
      <c r="E10" s="571"/>
      <c r="F10" s="570"/>
      <c r="G10" s="570"/>
      <c r="H10" s="570"/>
      <c r="I10" s="570"/>
      <c r="J10" s="568"/>
    </row>
    <row r="11" spans="2:10" ht="15.75" thickBot="1">
      <c r="B11" s="566"/>
      <c r="C11" s="494" t="s">
        <v>24</v>
      </c>
      <c r="D11" s="570"/>
      <c r="E11" s="495" t="s">
        <v>142</v>
      </c>
      <c r="F11" s="570"/>
      <c r="G11" s="495" t="s">
        <v>218</v>
      </c>
      <c r="H11" s="570"/>
      <c r="I11" s="496" t="s">
        <v>224</v>
      </c>
      <c r="J11" s="568"/>
    </row>
    <row r="12" spans="2:10" ht="15.75" thickBot="1">
      <c r="B12" s="566"/>
      <c r="C12" s="570"/>
      <c r="D12" s="570"/>
      <c r="E12" s="571"/>
      <c r="F12" s="570"/>
      <c r="G12" s="570"/>
      <c r="H12" s="570"/>
      <c r="I12" s="570"/>
      <c r="J12" s="568"/>
    </row>
    <row r="13" spans="2:10" ht="15.75" thickBot="1">
      <c r="B13" s="566"/>
      <c r="C13" s="570"/>
      <c r="D13" s="570"/>
      <c r="E13" s="495" t="s">
        <v>39</v>
      </c>
      <c r="F13" s="570"/>
      <c r="G13" s="495" t="s">
        <v>138</v>
      </c>
      <c r="H13" s="570"/>
      <c r="I13" s="570"/>
      <c r="J13" s="568"/>
    </row>
    <row r="14" spans="2:10" ht="15.75" thickBot="1">
      <c r="B14" s="566"/>
      <c r="C14" s="570"/>
      <c r="D14" s="570"/>
      <c r="E14" s="571"/>
      <c r="F14" s="570"/>
      <c r="G14" s="570"/>
      <c r="H14" s="570"/>
      <c r="I14" s="570"/>
      <c r="J14" s="568"/>
    </row>
    <row r="15" spans="2:10" ht="15.75" thickBot="1">
      <c r="B15" s="566"/>
      <c r="C15" s="570"/>
      <c r="D15" s="570"/>
      <c r="E15" s="495" t="s">
        <v>51</v>
      </c>
      <c r="F15" s="570"/>
      <c r="G15" s="495" t="s">
        <v>137</v>
      </c>
      <c r="H15" s="570"/>
      <c r="I15" s="570"/>
      <c r="J15" s="568"/>
    </row>
    <row r="16" spans="2:10" ht="15.75" thickBot="1">
      <c r="B16" s="566"/>
      <c r="C16" s="570"/>
      <c r="D16" s="570"/>
      <c r="E16" s="571"/>
      <c r="F16" s="570"/>
      <c r="G16" s="570"/>
      <c r="H16" s="570"/>
      <c r="I16" s="570"/>
      <c r="J16" s="568"/>
    </row>
    <row r="17" spans="2:10" ht="15" customHeight="1" thickBot="1">
      <c r="B17" s="566"/>
      <c r="C17" s="570"/>
      <c r="D17" s="570"/>
      <c r="E17" s="495" t="s">
        <v>112</v>
      </c>
      <c r="F17" s="570"/>
      <c r="G17" s="570"/>
      <c r="H17" s="570"/>
      <c r="I17" s="570"/>
      <c r="J17" s="568"/>
    </row>
    <row r="18" spans="2:10" ht="15" customHeight="1" thickBot="1">
      <c r="B18" s="566"/>
      <c r="C18" s="570"/>
      <c r="D18" s="570"/>
      <c r="E18" s="571"/>
      <c r="F18" s="570"/>
      <c r="G18" s="570"/>
      <c r="H18" s="570"/>
      <c r="I18" s="570"/>
      <c r="J18" s="568"/>
    </row>
    <row r="19" spans="2:10" ht="15" customHeight="1" thickBot="1">
      <c r="B19" s="566"/>
      <c r="C19" s="570"/>
      <c r="D19" s="570"/>
      <c r="E19" s="495" t="s">
        <v>219</v>
      </c>
      <c r="F19" s="570"/>
      <c r="G19" s="570"/>
      <c r="H19" s="570"/>
      <c r="I19" s="570"/>
      <c r="J19" s="568"/>
    </row>
    <row r="20" spans="2:10" ht="15" customHeight="1" thickBot="1">
      <c r="B20" s="566"/>
      <c r="C20" s="570"/>
      <c r="D20" s="570"/>
      <c r="E20" s="571"/>
      <c r="F20" s="570"/>
      <c r="G20" s="570"/>
      <c r="H20" s="570"/>
      <c r="I20" s="570"/>
      <c r="J20" s="568"/>
    </row>
    <row r="21" spans="2:10" ht="15" customHeight="1" thickBot="1">
      <c r="B21" s="566"/>
      <c r="C21" s="570"/>
      <c r="D21" s="570"/>
      <c r="E21" s="495" t="s">
        <v>128</v>
      </c>
      <c r="F21" s="570"/>
      <c r="G21" s="570"/>
      <c r="H21" s="570"/>
      <c r="I21" s="570"/>
      <c r="J21" s="568"/>
    </row>
    <row r="22" spans="2:10" ht="15.75" thickBot="1">
      <c r="B22" s="572"/>
      <c r="C22" s="573"/>
      <c r="D22" s="574"/>
      <c r="E22" s="574"/>
      <c r="F22" s="574"/>
      <c r="G22" s="574"/>
      <c r="H22" s="574"/>
      <c r="I22" s="574"/>
      <c r="J22" s="575"/>
    </row>
  </sheetData>
  <hyperlinks>
    <hyperlink ref="C11" location="Navigation!A1" display="NAVIGATION"/>
    <hyperlink ref="C2" location="Navigation!A1" display="NAVIGATION"/>
    <hyperlink ref="C4" location="Comments!A1" display="COMMENTS"/>
    <hyperlink ref="C9" location="COVER!A1" display="COVER"/>
    <hyperlink ref="E9" location="'CONSTANTS and MENUS'!A1" display="CONSTANTS and MENUS"/>
    <hyperlink ref="E11" location="'AHRI Shipments'!A1" display="AHRI SHIPMENTS"/>
    <hyperlink ref="E13" location="'Housing Stock'!A1" display="HOUSING STOCK"/>
    <hyperlink ref="E21" location="'Saturations and Allocations'!A1" display="SATURATION SUMMARY"/>
    <hyperlink ref="E15" location="Lifetimes!A1" display="LIFETIMES"/>
    <hyperlink ref="E17" location="'1992 Saturation Data'!A1" display="1992 SATURATION DATA"/>
    <hyperlink ref="G9" location="'FAF - Electric'!A1" display="FORCED AIR FURNACE"/>
    <hyperlink ref="G13" location="'Air Source Heat Pump'!A1" display="AIR SOURCE HEAT PUMP"/>
    <hyperlink ref="G15" location="'Central AC'!A1" display="Central AC"/>
    <hyperlink ref="I11" location="'Conversions and Upgrades'!A1" display="CONVERSIONS AND UPGRADES"/>
    <hyperlink ref="G11" location="'FAF - Gas'!A1" display="FORCED AIR FURNACE - GAS"/>
    <hyperlink ref="E19" location="'2011 Saturation Data'!A1" display="2011 SATURATION DAT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H88"/>
  <sheetViews>
    <sheetView workbookViewId="0" topLeftCell="A1">
      <selection activeCell="C26" sqref="C26"/>
    </sheetView>
  </sheetViews>
  <sheetFormatPr defaultColWidth="9.140625" defaultRowHeight="12.75"/>
  <cols>
    <col min="1" max="2" width="3.7109375" style="26" customWidth="1"/>
    <col min="3" max="3" width="36.7109375" style="26" bestFit="1" customWidth="1"/>
    <col min="4" max="6" width="3.7109375" style="26" customWidth="1"/>
    <col min="7" max="7" width="10.7109375" style="26" bestFit="1" customWidth="1"/>
    <col min="8" max="8" width="3.7109375" style="26" customWidth="1"/>
    <col min="9" max="16384" width="9.140625" style="26" customWidth="1"/>
  </cols>
  <sheetData>
    <row r="1" ht="13.5" thickBot="1"/>
    <row r="2" spans="2:4" ht="13.5" thickBot="1">
      <c r="B2" s="901" t="s">
        <v>85</v>
      </c>
      <c r="C2" s="902"/>
      <c r="D2" s="903"/>
    </row>
    <row r="3" ht="13.5" thickBot="1"/>
    <row r="4" spans="2:4" ht="13.5" thickBot="1">
      <c r="B4" s="904" t="s">
        <v>24</v>
      </c>
      <c r="C4" s="905"/>
      <c r="D4" s="906"/>
    </row>
    <row r="5" ht="13.5" thickBot="1"/>
    <row r="6" spans="2:8" ht="12.75">
      <c r="B6" s="210"/>
      <c r="C6" s="211"/>
      <c r="D6" s="212"/>
      <c r="F6" s="210"/>
      <c r="G6" s="211"/>
      <c r="H6" s="212"/>
    </row>
    <row r="7" spans="2:8" ht="12.75">
      <c r="B7" s="213"/>
      <c r="C7" s="214" t="s">
        <v>18</v>
      </c>
      <c r="D7" s="215"/>
      <c r="E7" s="27"/>
      <c r="F7" s="213"/>
      <c r="G7" s="214" t="s">
        <v>88</v>
      </c>
      <c r="H7" s="215"/>
    </row>
    <row r="8" spans="2:8" ht="12.75">
      <c r="B8" s="213"/>
      <c r="C8" s="207" t="s">
        <v>13</v>
      </c>
      <c r="D8" s="216"/>
      <c r="E8" s="17"/>
      <c r="F8" s="213"/>
      <c r="G8" s="206">
        <v>1955</v>
      </c>
      <c r="H8" s="216"/>
    </row>
    <row r="9" spans="2:8" ht="12.75">
      <c r="B9" s="213"/>
      <c r="C9" s="207" t="s">
        <v>14</v>
      </c>
      <c r="D9" s="217"/>
      <c r="E9" s="18"/>
      <c r="F9" s="213"/>
      <c r="G9" s="206">
        <v>1956</v>
      </c>
      <c r="H9" s="216"/>
    </row>
    <row r="10" spans="2:8" ht="12.75">
      <c r="B10" s="213"/>
      <c r="C10" s="218"/>
      <c r="D10" s="216"/>
      <c r="F10" s="213"/>
      <c r="G10" s="206">
        <v>1957</v>
      </c>
      <c r="H10" s="216"/>
    </row>
    <row r="11" spans="2:8" ht="12.75">
      <c r="B11" s="213"/>
      <c r="C11" s="214" t="s">
        <v>87</v>
      </c>
      <c r="D11" s="216"/>
      <c r="F11" s="213"/>
      <c r="G11" s="206">
        <v>1958</v>
      </c>
      <c r="H11" s="216"/>
    </row>
    <row r="12" spans="2:8" ht="12.75">
      <c r="B12" s="213"/>
      <c r="C12" s="208" t="s">
        <v>0</v>
      </c>
      <c r="D12" s="216"/>
      <c r="F12" s="213"/>
      <c r="G12" s="206">
        <v>1959</v>
      </c>
      <c r="H12" s="216"/>
    </row>
    <row r="13" spans="2:8" ht="12.75">
      <c r="B13" s="213"/>
      <c r="C13" s="208" t="s">
        <v>22</v>
      </c>
      <c r="D13" s="216"/>
      <c r="F13" s="213"/>
      <c r="G13" s="206">
        <v>1960</v>
      </c>
      <c r="H13" s="216"/>
    </row>
    <row r="14" spans="2:8" ht="12.75">
      <c r="B14" s="213"/>
      <c r="C14" s="208" t="s">
        <v>20</v>
      </c>
      <c r="D14" s="216"/>
      <c r="F14" s="213"/>
      <c r="G14" s="206">
        <v>1961</v>
      </c>
      <c r="H14" s="216"/>
    </row>
    <row r="15" spans="2:8" ht="12.75">
      <c r="B15" s="213"/>
      <c r="C15" s="218"/>
      <c r="D15" s="216"/>
      <c r="F15" s="213"/>
      <c r="G15" s="206">
        <v>1962</v>
      </c>
      <c r="H15" s="216"/>
    </row>
    <row r="16" spans="2:8" ht="12.75">
      <c r="B16" s="213"/>
      <c r="C16" s="214" t="s">
        <v>90</v>
      </c>
      <c r="D16" s="216"/>
      <c r="F16" s="213"/>
      <c r="G16" s="206">
        <v>1963</v>
      </c>
      <c r="H16" s="216"/>
    </row>
    <row r="17" spans="2:8" ht="12.75">
      <c r="B17" s="213"/>
      <c r="C17" s="209">
        <f>COUNTA(HOUSING_TYPES)</f>
        <v>3</v>
      </c>
      <c r="D17" s="216"/>
      <c r="F17" s="213"/>
      <c r="G17" s="206">
        <v>1964</v>
      </c>
      <c r="H17" s="216"/>
    </row>
    <row r="18" spans="2:8" ht="12.75">
      <c r="B18" s="213"/>
      <c r="C18" s="218"/>
      <c r="D18" s="216"/>
      <c r="F18" s="213"/>
      <c r="G18" s="206">
        <v>1965</v>
      </c>
      <c r="H18" s="216"/>
    </row>
    <row r="19" spans="2:8" ht="12.75">
      <c r="B19" s="213"/>
      <c r="C19" s="214" t="s">
        <v>106</v>
      </c>
      <c r="D19" s="216"/>
      <c r="F19" s="213"/>
      <c r="G19" s="206">
        <v>1966</v>
      </c>
      <c r="H19" s="216"/>
    </row>
    <row r="20" spans="2:8" ht="12.75">
      <c r="B20" s="213"/>
      <c r="C20" s="208" t="s">
        <v>171</v>
      </c>
      <c r="D20" s="216"/>
      <c r="F20" s="213"/>
      <c r="G20" s="206">
        <v>1967</v>
      </c>
      <c r="H20" s="216"/>
    </row>
    <row r="21" spans="2:8" ht="12.75">
      <c r="B21" s="213"/>
      <c r="C21" s="208" t="s">
        <v>172</v>
      </c>
      <c r="D21" s="216"/>
      <c r="F21" s="213"/>
      <c r="G21" s="206">
        <v>1968</v>
      </c>
      <c r="H21" s="216"/>
    </row>
    <row r="22" spans="2:8" ht="12.75">
      <c r="B22" s="213"/>
      <c r="C22" s="208" t="s">
        <v>173</v>
      </c>
      <c r="D22" s="216"/>
      <c r="F22" s="213"/>
      <c r="G22" s="206">
        <v>1969</v>
      </c>
      <c r="H22" s="216"/>
    </row>
    <row r="23" spans="2:8" ht="12.75">
      <c r="B23" s="213"/>
      <c r="C23" s="218"/>
      <c r="D23" s="216"/>
      <c r="F23" s="213"/>
      <c r="G23" s="206">
        <v>1970</v>
      </c>
      <c r="H23" s="216"/>
    </row>
    <row r="24" spans="2:8" ht="12.75">
      <c r="B24" s="213"/>
      <c r="C24" s="214" t="s">
        <v>105</v>
      </c>
      <c r="D24" s="216"/>
      <c r="F24" s="213"/>
      <c r="G24" s="206">
        <v>1971</v>
      </c>
      <c r="H24" s="216"/>
    </row>
    <row r="25" spans="2:8" ht="12.75">
      <c r="B25" s="213"/>
      <c r="C25" s="208" t="s">
        <v>94</v>
      </c>
      <c r="D25" s="216"/>
      <c r="F25" s="213"/>
      <c r="G25" s="206">
        <v>1972</v>
      </c>
      <c r="H25" s="216"/>
    </row>
    <row r="26" spans="2:8" ht="12.75">
      <c r="B26" s="213"/>
      <c r="C26" s="208" t="s">
        <v>98</v>
      </c>
      <c r="D26" s="216"/>
      <c r="F26" s="213"/>
      <c r="G26" s="206">
        <v>1973</v>
      </c>
      <c r="H26" s="216"/>
    </row>
    <row r="27" spans="2:8" ht="12.75">
      <c r="B27" s="213"/>
      <c r="C27" s="208" t="s">
        <v>99</v>
      </c>
      <c r="D27" s="216"/>
      <c r="F27" s="213"/>
      <c r="G27" s="206">
        <v>1974</v>
      </c>
      <c r="H27" s="216"/>
    </row>
    <row r="28" spans="2:8" ht="12.75">
      <c r="B28" s="213"/>
      <c r="C28" s="208" t="s">
        <v>103</v>
      </c>
      <c r="D28" s="216"/>
      <c r="F28" s="213"/>
      <c r="G28" s="206">
        <v>1975</v>
      </c>
      <c r="H28" s="216"/>
    </row>
    <row r="29" spans="2:8" ht="12.75">
      <c r="B29" s="213"/>
      <c r="C29" s="208" t="s">
        <v>95</v>
      </c>
      <c r="D29" s="216"/>
      <c r="F29" s="213"/>
      <c r="G29" s="206">
        <v>1976</v>
      </c>
      <c r="H29" s="216"/>
    </row>
    <row r="30" spans="2:8" ht="12.75">
      <c r="B30" s="213"/>
      <c r="C30" s="208" t="s">
        <v>96</v>
      </c>
      <c r="D30" s="216"/>
      <c r="F30" s="213"/>
      <c r="G30" s="206">
        <v>1977</v>
      </c>
      <c r="H30" s="216"/>
    </row>
    <row r="31" spans="2:8" ht="12.75">
      <c r="B31" s="213"/>
      <c r="C31" s="208" t="s">
        <v>97</v>
      </c>
      <c r="D31" s="216"/>
      <c r="F31" s="213"/>
      <c r="G31" s="206">
        <v>1978</v>
      </c>
      <c r="H31" s="216"/>
    </row>
    <row r="32" spans="2:8" ht="12.75">
      <c r="B32" s="213"/>
      <c r="C32" s="208" t="s">
        <v>104</v>
      </c>
      <c r="D32" s="216"/>
      <c r="F32" s="213"/>
      <c r="G32" s="206">
        <v>1979</v>
      </c>
      <c r="H32" s="216"/>
    </row>
    <row r="33" spans="2:8" ht="12.75">
      <c r="B33" s="213"/>
      <c r="C33" s="218"/>
      <c r="D33" s="216"/>
      <c r="F33" s="213"/>
      <c r="G33" s="206">
        <v>1980</v>
      </c>
      <c r="H33" s="216"/>
    </row>
    <row r="34" spans="2:8" ht="12.75">
      <c r="B34" s="213"/>
      <c r="C34" s="214" t="s">
        <v>89</v>
      </c>
      <c r="D34" s="216"/>
      <c r="F34" s="213"/>
      <c r="G34" s="206">
        <v>1981</v>
      </c>
      <c r="H34" s="216"/>
    </row>
    <row r="35" spans="2:8" ht="12.75">
      <c r="B35" s="213"/>
      <c r="C35" s="208" t="s">
        <v>44</v>
      </c>
      <c r="D35" s="216"/>
      <c r="F35" s="213"/>
      <c r="G35" s="206">
        <v>1982</v>
      </c>
      <c r="H35" s="216"/>
    </row>
    <row r="36" spans="2:8" ht="12.75">
      <c r="B36" s="213"/>
      <c r="C36" s="208" t="s">
        <v>93</v>
      </c>
      <c r="D36" s="216"/>
      <c r="F36" s="213"/>
      <c r="G36" s="206">
        <v>1983</v>
      </c>
      <c r="H36" s="216"/>
    </row>
    <row r="37" spans="2:8" ht="12.75">
      <c r="B37" s="213"/>
      <c r="C37" s="208" t="s">
        <v>92</v>
      </c>
      <c r="D37" s="216"/>
      <c r="F37" s="213"/>
      <c r="G37" s="206">
        <v>1984</v>
      </c>
      <c r="H37" s="216"/>
    </row>
    <row r="38" spans="2:8" ht="12.75">
      <c r="B38" s="213"/>
      <c r="C38" s="208" t="s">
        <v>43</v>
      </c>
      <c r="D38" s="216"/>
      <c r="F38" s="213"/>
      <c r="G38" s="206">
        <v>1985</v>
      </c>
      <c r="H38" s="216"/>
    </row>
    <row r="39" spans="2:8" ht="12.75">
      <c r="B39" s="213"/>
      <c r="C39" s="208" t="s">
        <v>86</v>
      </c>
      <c r="D39" s="216"/>
      <c r="F39" s="213"/>
      <c r="G39" s="206">
        <v>1986</v>
      </c>
      <c r="H39" s="216"/>
    </row>
    <row r="40" spans="2:8" ht="12.75">
      <c r="B40" s="213"/>
      <c r="C40" s="208" t="s">
        <v>91</v>
      </c>
      <c r="D40" s="216"/>
      <c r="F40" s="213"/>
      <c r="G40" s="206">
        <v>1987</v>
      </c>
      <c r="H40" s="216"/>
    </row>
    <row r="41" spans="2:8" ht="13.5" thickBot="1">
      <c r="B41" s="219"/>
      <c r="C41" s="220"/>
      <c r="D41" s="221"/>
      <c r="F41" s="213"/>
      <c r="G41" s="206">
        <v>1988</v>
      </c>
      <c r="H41" s="216"/>
    </row>
    <row r="42" spans="6:8" ht="12.75">
      <c r="F42" s="213"/>
      <c r="G42" s="206">
        <v>1989</v>
      </c>
      <c r="H42" s="216"/>
    </row>
    <row r="43" spans="6:8" ht="12.75">
      <c r="F43" s="213"/>
      <c r="G43" s="206">
        <v>1990</v>
      </c>
      <c r="H43" s="216"/>
    </row>
    <row r="44" spans="6:8" ht="12.75">
      <c r="F44" s="213"/>
      <c r="G44" s="206">
        <v>1991</v>
      </c>
      <c r="H44" s="216"/>
    </row>
    <row r="45" spans="6:8" ht="12.75">
      <c r="F45" s="213"/>
      <c r="G45" s="206">
        <v>1992</v>
      </c>
      <c r="H45" s="216"/>
    </row>
    <row r="46" spans="6:8" ht="12.75">
      <c r="F46" s="213"/>
      <c r="G46" s="206">
        <v>1993</v>
      </c>
      <c r="H46" s="216"/>
    </row>
    <row r="47" spans="6:8" ht="12.75">
      <c r="F47" s="213"/>
      <c r="G47" s="206">
        <v>1994</v>
      </c>
      <c r="H47" s="216"/>
    </row>
    <row r="48" spans="6:8" ht="12.75">
      <c r="F48" s="213"/>
      <c r="G48" s="206">
        <v>1995</v>
      </c>
      <c r="H48" s="216"/>
    </row>
    <row r="49" spans="6:8" ht="12.75">
      <c r="F49" s="213"/>
      <c r="G49" s="206">
        <v>1996</v>
      </c>
      <c r="H49" s="216"/>
    </row>
    <row r="50" spans="6:8" ht="12.75">
      <c r="F50" s="213"/>
      <c r="G50" s="206">
        <v>1997</v>
      </c>
      <c r="H50" s="216"/>
    </row>
    <row r="51" spans="6:8" ht="12.75">
      <c r="F51" s="213"/>
      <c r="G51" s="206">
        <v>1998</v>
      </c>
      <c r="H51" s="216"/>
    </row>
    <row r="52" spans="6:8" ht="12.75">
      <c r="F52" s="213"/>
      <c r="G52" s="206">
        <v>1999</v>
      </c>
      <c r="H52" s="216"/>
    </row>
    <row r="53" spans="6:8" ht="12.75">
      <c r="F53" s="213"/>
      <c r="G53" s="206">
        <v>2000</v>
      </c>
      <c r="H53" s="216"/>
    </row>
    <row r="54" spans="6:8" ht="12.75">
      <c r="F54" s="213"/>
      <c r="G54" s="206">
        <v>2001</v>
      </c>
      <c r="H54" s="216"/>
    </row>
    <row r="55" spans="6:8" ht="12.75">
      <c r="F55" s="213"/>
      <c r="G55" s="206">
        <v>2002</v>
      </c>
      <c r="H55" s="216"/>
    </row>
    <row r="56" spans="6:8" ht="12.75">
      <c r="F56" s="213"/>
      <c r="G56" s="206">
        <v>2003</v>
      </c>
      <c r="H56" s="216"/>
    </row>
    <row r="57" spans="6:8" ht="12.75">
      <c r="F57" s="213"/>
      <c r="G57" s="206">
        <v>2004</v>
      </c>
      <c r="H57" s="216"/>
    </row>
    <row r="58" spans="6:8" ht="12.75">
      <c r="F58" s="213"/>
      <c r="G58" s="206">
        <v>2005</v>
      </c>
      <c r="H58" s="216"/>
    </row>
    <row r="59" spans="6:8" ht="12.75">
      <c r="F59" s="213"/>
      <c r="G59" s="206">
        <v>2006</v>
      </c>
      <c r="H59" s="216"/>
    </row>
    <row r="60" spans="6:8" ht="12.75">
      <c r="F60" s="213"/>
      <c r="G60" s="206">
        <v>2007</v>
      </c>
      <c r="H60" s="216"/>
    </row>
    <row r="61" spans="6:8" ht="12.75">
      <c r="F61" s="213"/>
      <c r="G61" s="206">
        <v>2008</v>
      </c>
      <c r="H61" s="216"/>
    </row>
    <row r="62" spans="6:8" ht="12.75">
      <c r="F62" s="213"/>
      <c r="G62" s="206">
        <v>2009</v>
      </c>
      <c r="H62" s="216"/>
    </row>
    <row r="63" spans="6:8" ht="12.75">
      <c r="F63" s="213"/>
      <c r="G63" s="206">
        <v>2010</v>
      </c>
      <c r="H63" s="216"/>
    </row>
    <row r="64" spans="6:8" ht="12.75">
      <c r="F64" s="213"/>
      <c r="G64" s="206">
        <v>2011</v>
      </c>
      <c r="H64" s="216"/>
    </row>
    <row r="65" spans="6:8" ht="12.75">
      <c r="F65" s="213"/>
      <c r="G65" s="206">
        <v>2012</v>
      </c>
      <c r="H65" s="216"/>
    </row>
    <row r="66" spans="6:8" ht="12.75">
      <c r="F66" s="213"/>
      <c r="G66" s="206">
        <v>2013</v>
      </c>
      <c r="H66" s="216"/>
    </row>
    <row r="67" spans="6:8" ht="12.75">
      <c r="F67" s="213"/>
      <c r="G67" s="206">
        <v>2014</v>
      </c>
      <c r="H67" s="216"/>
    </row>
    <row r="68" spans="6:8" ht="12.75">
      <c r="F68" s="213"/>
      <c r="G68" s="206">
        <v>2015</v>
      </c>
      <c r="H68" s="216"/>
    </row>
    <row r="69" spans="6:8" ht="12.75">
      <c r="F69" s="213"/>
      <c r="G69" s="206">
        <v>2016</v>
      </c>
      <c r="H69" s="216"/>
    </row>
    <row r="70" spans="6:8" ht="12.75">
      <c r="F70" s="213"/>
      <c r="G70" s="206">
        <v>2017</v>
      </c>
      <c r="H70" s="216"/>
    </row>
    <row r="71" spans="6:8" ht="12.75">
      <c r="F71" s="213"/>
      <c r="G71" s="206">
        <v>2018</v>
      </c>
      <c r="H71" s="216"/>
    </row>
    <row r="72" spans="6:8" ht="12.75">
      <c r="F72" s="213"/>
      <c r="G72" s="206">
        <v>2019</v>
      </c>
      <c r="H72" s="216"/>
    </row>
    <row r="73" spans="6:8" ht="12.75">
      <c r="F73" s="213"/>
      <c r="G73" s="206">
        <v>2020</v>
      </c>
      <c r="H73" s="216"/>
    </row>
    <row r="74" spans="6:8" ht="12.75">
      <c r="F74" s="213"/>
      <c r="G74" s="206">
        <v>2021</v>
      </c>
      <c r="H74" s="216"/>
    </row>
    <row r="75" spans="6:8" ht="12.75">
      <c r="F75" s="213"/>
      <c r="G75" s="206">
        <v>2022</v>
      </c>
      <c r="H75" s="216"/>
    </row>
    <row r="76" spans="6:8" ht="12.75">
      <c r="F76" s="213"/>
      <c r="G76" s="206">
        <v>2023</v>
      </c>
      <c r="H76" s="216"/>
    </row>
    <row r="77" spans="6:8" ht="12.75">
      <c r="F77" s="213"/>
      <c r="G77" s="206">
        <v>2024</v>
      </c>
      <c r="H77" s="216"/>
    </row>
    <row r="78" spans="6:8" ht="12.75">
      <c r="F78" s="213"/>
      <c r="G78" s="206">
        <v>2025</v>
      </c>
      <c r="H78" s="216"/>
    </row>
    <row r="79" spans="6:8" ht="12.75">
      <c r="F79" s="213"/>
      <c r="G79" s="206">
        <v>2026</v>
      </c>
      <c r="H79" s="216"/>
    </row>
    <row r="80" spans="6:8" ht="12.75">
      <c r="F80" s="213"/>
      <c r="G80" s="206">
        <v>2027</v>
      </c>
      <c r="H80" s="216"/>
    </row>
    <row r="81" spans="6:8" ht="12.75">
      <c r="F81" s="213"/>
      <c r="G81" s="206">
        <v>2028</v>
      </c>
      <c r="H81" s="216"/>
    </row>
    <row r="82" spans="6:8" ht="12.75">
      <c r="F82" s="213"/>
      <c r="G82" s="206">
        <v>2029</v>
      </c>
      <c r="H82" s="216"/>
    </row>
    <row r="83" spans="6:8" ht="12.75">
      <c r="F83" s="213"/>
      <c r="G83" s="206">
        <v>2030</v>
      </c>
      <c r="H83" s="216"/>
    </row>
    <row r="84" spans="6:8" ht="12.75">
      <c r="F84" s="213"/>
      <c r="G84" s="206">
        <v>2031</v>
      </c>
      <c r="H84" s="216"/>
    </row>
    <row r="85" spans="6:8" ht="12.75">
      <c r="F85" s="213"/>
      <c r="G85" s="206">
        <v>2032</v>
      </c>
      <c r="H85" s="216"/>
    </row>
    <row r="86" spans="6:8" ht="12.75">
      <c r="F86" s="213"/>
      <c r="G86" s="206">
        <v>2033</v>
      </c>
      <c r="H86" s="216"/>
    </row>
    <row r="87" spans="6:8" ht="12.75">
      <c r="F87" s="213"/>
      <c r="G87" s="206">
        <v>2034</v>
      </c>
      <c r="H87" s="216"/>
    </row>
    <row r="88" spans="6:8" ht="13.5" thickBot="1">
      <c r="F88" s="219"/>
      <c r="G88" s="220"/>
      <c r="H88" s="221"/>
    </row>
  </sheetData>
  <mergeCells count="2">
    <mergeCell ref="B2:D2"/>
    <mergeCell ref="B4:D4"/>
  </mergeCells>
  <hyperlinks>
    <hyperlink ref="B4:D4" location="Navigation!A1" display="NAVIGATION"/>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M13"/>
  <sheetViews>
    <sheetView workbookViewId="0" topLeftCell="A1">
      <selection activeCell="D27" sqref="D27"/>
    </sheetView>
  </sheetViews>
  <sheetFormatPr defaultColWidth="9.140625" defaultRowHeight="12.75"/>
  <cols>
    <col min="1" max="2" width="3.7109375" style="17" customWidth="1"/>
    <col min="3" max="3" width="30.7109375" style="17" customWidth="1"/>
    <col min="4" max="8" width="8.7109375" style="17" customWidth="1"/>
    <col min="9" max="9" width="3.7109375" style="17" customWidth="1"/>
    <col min="10" max="10" width="32.28125" style="17" bestFit="1" customWidth="1"/>
    <col min="11" max="11" width="3.7109375" style="17" customWidth="1"/>
    <col min="12" max="12" width="32.28125" style="17" customWidth="1"/>
    <col min="13" max="13" width="3.7109375" style="17" customWidth="1"/>
    <col min="14" max="16" width="11.7109375" style="17" customWidth="1"/>
    <col min="17" max="19" width="3.7109375" style="17" customWidth="1"/>
    <col min="20" max="33" width="11.7109375" style="17" customWidth="1"/>
    <col min="34" max="36" width="3.7109375" style="17" customWidth="1"/>
    <col min="37" max="50" width="11.7109375" style="17" customWidth="1"/>
    <col min="51" max="51" width="3.7109375" style="17" customWidth="1"/>
    <col min="52" max="16384" width="9.140625" style="17" customWidth="1"/>
  </cols>
  <sheetData>
    <row r="1" ht="13.5" thickBot="1"/>
    <row r="2" spans="2:4" ht="13.5" thickBot="1">
      <c r="B2" s="907" t="s">
        <v>142</v>
      </c>
      <c r="C2" s="908"/>
      <c r="D2" s="28"/>
    </row>
    <row r="3" ht="13.5" thickBot="1"/>
    <row r="4" spans="2:3" ht="13.5" thickBot="1">
      <c r="B4" s="907" t="s">
        <v>24</v>
      </c>
      <c r="C4" s="908"/>
    </row>
    <row r="5" ht="13.5" thickBot="1"/>
    <row r="6" spans="2:13" ht="12.75">
      <c r="B6" s="210"/>
      <c r="C6" s="260"/>
      <c r="D6" s="211"/>
      <c r="E6" s="211"/>
      <c r="F6" s="211"/>
      <c r="G6" s="211"/>
      <c r="H6" s="211"/>
      <c r="I6" s="211"/>
      <c r="J6" s="211"/>
      <c r="K6" s="211"/>
      <c r="L6" s="211"/>
      <c r="M6" s="212"/>
    </row>
    <row r="7" spans="2:13" ht="12.75">
      <c r="B7" s="213"/>
      <c r="C7" s="244" t="s">
        <v>114</v>
      </c>
      <c r="D7" s="261">
        <v>2010</v>
      </c>
      <c r="E7" s="261">
        <v>2011</v>
      </c>
      <c r="F7" s="261">
        <v>2012</v>
      </c>
      <c r="G7" s="261">
        <v>2013</v>
      </c>
      <c r="H7" s="261">
        <v>2014</v>
      </c>
      <c r="I7" s="261"/>
      <c r="J7" s="261" t="s">
        <v>139</v>
      </c>
      <c r="K7" s="261"/>
      <c r="L7" s="261" t="s">
        <v>141</v>
      </c>
      <c r="M7" s="216"/>
    </row>
    <row r="8" spans="2:13" ht="12.75">
      <c r="B8" s="262"/>
      <c r="C8" s="263" t="s">
        <v>171</v>
      </c>
      <c r="D8" s="222"/>
      <c r="E8" s="222"/>
      <c r="F8" s="222"/>
      <c r="G8" s="222"/>
      <c r="H8" s="222"/>
      <c r="I8" s="261"/>
      <c r="J8" s="261"/>
      <c r="K8" s="261"/>
      <c r="L8" s="261"/>
      <c r="M8" s="216"/>
    </row>
    <row r="9" spans="2:13" ht="12.75">
      <c r="B9" s="262"/>
      <c r="C9" s="263" t="s">
        <v>172</v>
      </c>
      <c r="D9" s="223">
        <v>90123</v>
      </c>
      <c r="E9" s="223">
        <v>81605</v>
      </c>
      <c r="F9" s="223">
        <v>84605</v>
      </c>
      <c r="G9" s="223">
        <v>101355</v>
      </c>
      <c r="H9" s="223">
        <v>101401</v>
      </c>
      <c r="I9" s="261"/>
      <c r="J9" s="804">
        <v>1</v>
      </c>
      <c r="K9" s="261"/>
      <c r="L9" s="224" t="s">
        <v>13</v>
      </c>
      <c r="M9" s="216"/>
    </row>
    <row r="10" spans="2:13" ht="12.75">
      <c r="B10" s="262"/>
      <c r="C10" s="263" t="s">
        <v>173</v>
      </c>
      <c r="D10" s="223">
        <v>43386</v>
      </c>
      <c r="E10" s="223">
        <v>40297</v>
      </c>
      <c r="F10" s="223">
        <v>42628</v>
      </c>
      <c r="G10" s="223">
        <v>49098</v>
      </c>
      <c r="H10" s="223">
        <v>66925</v>
      </c>
      <c r="I10" s="261"/>
      <c r="J10" s="224">
        <v>0.93</v>
      </c>
      <c r="K10" s="261"/>
      <c r="L10" s="224" t="s">
        <v>13</v>
      </c>
      <c r="M10" s="216"/>
    </row>
    <row r="11" spans="2:13" ht="12.75">
      <c r="B11" s="262"/>
      <c r="C11" s="263"/>
      <c r="D11" s="263"/>
      <c r="E11" s="263"/>
      <c r="F11" s="263"/>
      <c r="G11" s="263"/>
      <c r="H11" s="263"/>
      <c r="I11" s="263"/>
      <c r="J11" s="263"/>
      <c r="K11" s="263"/>
      <c r="L11" s="263"/>
      <c r="M11" s="216"/>
    </row>
    <row r="12" spans="2:13" ht="51">
      <c r="B12" s="262"/>
      <c r="C12" s="264" t="s">
        <v>197</v>
      </c>
      <c r="D12" s="909" t="s">
        <v>225</v>
      </c>
      <c r="E12" s="909"/>
      <c r="F12" s="909"/>
      <c r="G12" s="909"/>
      <c r="H12" s="909"/>
      <c r="I12" s="263"/>
      <c r="J12" s="265" t="s">
        <v>226</v>
      </c>
      <c r="K12" s="263"/>
      <c r="L12" s="263"/>
      <c r="M12" s="216"/>
    </row>
    <row r="13" spans="2:13" ht="13.5" thickBot="1">
      <c r="B13" s="266"/>
      <c r="C13" s="267"/>
      <c r="D13" s="268"/>
      <c r="E13" s="268"/>
      <c r="F13" s="268"/>
      <c r="G13" s="268"/>
      <c r="H13" s="268"/>
      <c r="I13" s="268"/>
      <c r="J13" s="268"/>
      <c r="K13" s="268"/>
      <c r="L13" s="268"/>
      <c r="M13" s="221"/>
    </row>
  </sheetData>
  <mergeCells count="3">
    <mergeCell ref="B2:C2"/>
    <mergeCell ref="B4:C4"/>
    <mergeCell ref="D12:H12"/>
  </mergeCells>
  <dataValidations count="1">
    <dataValidation type="list" allowBlank="1" showInputMessage="1" showErrorMessage="1" sqref="L9:L10">
      <formula1>'Constants and Menus'!$C$8:$C$9</formula1>
    </dataValidation>
  </dataValidations>
  <hyperlinks>
    <hyperlink ref="B4:C4" location="Navigation!A1" display="NAVIGATION"/>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AF80"/>
  <sheetViews>
    <sheetView zoomScale="96" zoomScaleNormal="96" workbookViewId="0" topLeftCell="A1">
      <selection activeCell="U25" sqref="U25"/>
    </sheetView>
  </sheetViews>
  <sheetFormatPr defaultColWidth="8.7109375" defaultRowHeight="12.75"/>
  <cols>
    <col min="1" max="2" width="3.7109375" style="17" customWidth="1"/>
    <col min="3" max="3" width="8.7109375" style="17" customWidth="1"/>
    <col min="4" max="7" width="10.7109375" style="17" customWidth="1"/>
    <col min="8" max="8" width="10.7109375" style="19" customWidth="1"/>
    <col min="9" max="9" width="3.7109375" style="17" customWidth="1"/>
    <col min="10" max="10" width="8.7109375" style="17" customWidth="1"/>
    <col min="11" max="15" width="10.7109375" style="17" customWidth="1"/>
    <col min="16" max="16" width="3.7109375" style="17" customWidth="1"/>
    <col min="17" max="17" width="8.7109375" style="17" customWidth="1"/>
    <col min="18" max="22" width="10.7109375" style="17" customWidth="1"/>
    <col min="23" max="23" width="3.7109375" style="17" customWidth="1"/>
    <col min="24" max="24" width="3.7109375" style="19" customWidth="1"/>
    <col min="25" max="25" width="3.7109375" style="17" customWidth="1"/>
    <col min="26" max="28" width="10.7109375" style="17" customWidth="1"/>
    <col min="29" max="31" width="3.7109375" style="17" customWidth="1"/>
    <col min="32" max="32" width="8.7109375" style="19" customWidth="1"/>
    <col min="33" max="35" width="10.7109375" style="17" customWidth="1"/>
    <col min="36" max="36" width="3.7109375" style="17" customWidth="1"/>
    <col min="37" max="37" width="5.421875" style="17" customWidth="1"/>
    <col min="38" max="16384" width="8.7109375" style="17" customWidth="1"/>
  </cols>
  <sheetData>
    <row r="1" ht="13.5" thickBot="1"/>
    <row r="2" spans="2:32" ht="13.5" thickBot="1">
      <c r="B2" s="907" t="s">
        <v>39</v>
      </c>
      <c r="C2" s="910"/>
      <c r="D2" s="908"/>
      <c r="R2" s="20"/>
      <c r="X2" s="17"/>
      <c r="Y2" s="210"/>
      <c r="Z2" s="231"/>
      <c r="AA2" s="237"/>
      <c r="AB2" s="211"/>
      <c r="AC2" s="212"/>
      <c r="AF2" s="17"/>
    </row>
    <row r="3" spans="24:32" ht="13.5" thickBot="1">
      <c r="X3" s="17"/>
      <c r="Y3" s="213"/>
      <c r="Z3" s="232" t="s">
        <v>17</v>
      </c>
      <c r="AA3" s="218"/>
      <c r="AB3" s="218"/>
      <c r="AC3" s="216"/>
      <c r="AF3" s="17"/>
    </row>
    <row r="4" spans="2:32" ht="13.5" thickBot="1">
      <c r="B4" s="907" t="s">
        <v>24</v>
      </c>
      <c r="C4" s="910"/>
      <c r="D4" s="908"/>
      <c r="X4" s="17"/>
      <c r="Y4" s="213"/>
      <c r="Z4" s="232"/>
      <c r="AA4" s="218"/>
      <c r="AB4" s="218"/>
      <c r="AC4" s="216"/>
      <c r="AF4" s="17"/>
    </row>
    <row r="5" spans="24:32" ht="13.5" thickBot="1">
      <c r="X5" s="17"/>
      <c r="Y5" s="213"/>
      <c r="Z5" s="232"/>
      <c r="AA5" s="218"/>
      <c r="AB5" s="218"/>
      <c r="AC5" s="216"/>
      <c r="AF5" s="17"/>
    </row>
    <row r="6" spans="2:32" ht="12.75">
      <c r="B6" s="210"/>
      <c r="C6" s="211"/>
      <c r="D6" s="211"/>
      <c r="E6" s="211"/>
      <c r="F6" s="211"/>
      <c r="G6" s="211"/>
      <c r="H6" s="231"/>
      <c r="I6" s="211"/>
      <c r="J6" s="211"/>
      <c r="K6" s="211"/>
      <c r="L6" s="211"/>
      <c r="M6" s="211"/>
      <c r="N6" s="211"/>
      <c r="O6" s="211"/>
      <c r="P6" s="211"/>
      <c r="Q6" s="211"/>
      <c r="R6" s="211"/>
      <c r="S6" s="211"/>
      <c r="T6" s="211"/>
      <c r="U6" s="211"/>
      <c r="V6" s="211"/>
      <c r="W6" s="212"/>
      <c r="X6" s="17"/>
      <c r="Y6" s="213"/>
      <c r="Z6" s="233"/>
      <c r="AA6" s="250" t="s">
        <v>5</v>
      </c>
      <c r="AB6" s="250" t="s">
        <v>6</v>
      </c>
      <c r="AC6" s="216"/>
      <c r="AF6" s="17"/>
    </row>
    <row r="7" spans="2:32" ht="12.75">
      <c r="B7" s="213"/>
      <c r="C7" s="232" t="s">
        <v>12</v>
      </c>
      <c r="D7" s="218"/>
      <c r="E7" s="218"/>
      <c r="F7" s="218"/>
      <c r="G7" s="225" t="s">
        <v>13</v>
      </c>
      <c r="H7" s="233"/>
      <c r="I7" s="233"/>
      <c r="J7" s="232" t="s">
        <v>50</v>
      </c>
      <c r="K7" s="218"/>
      <c r="L7" s="218"/>
      <c r="M7" s="218"/>
      <c r="N7" s="226">
        <v>0.01</v>
      </c>
      <c r="O7" s="218"/>
      <c r="P7" s="218"/>
      <c r="Q7" s="232" t="s">
        <v>15</v>
      </c>
      <c r="R7" s="218"/>
      <c r="S7" s="234" t="s">
        <v>16</v>
      </c>
      <c r="T7" s="218"/>
      <c r="U7" s="218"/>
      <c r="V7" s="218"/>
      <c r="W7" s="216"/>
      <c r="X7" s="17"/>
      <c r="Y7" s="213"/>
      <c r="Z7" s="233"/>
      <c r="AA7" s="258">
        <v>-0.002270781301799791</v>
      </c>
      <c r="AB7" s="258">
        <v>-0.01068698647741899</v>
      </c>
      <c r="AC7" s="216"/>
      <c r="AF7" s="17"/>
    </row>
    <row r="8" spans="2:32" ht="13.5" thickBot="1">
      <c r="B8" s="219"/>
      <c r="C8" s="220"/>
      <c r="D8" s="220"/>
      <c r="E8" s="220"/>
      <c r="F8" s="220"/>
      <c r="G8" s="220"/>
      <c r="H8" s="235"/>
      <c r="I8" s="220"/>
      <c r="J8" s="220"/>
      <c r="K8" s="220"/>
      <c r="L8" s="236"/>
      <c r="M8" s="220"/>
      <c r="N8" s="220"/>
      <c r="O8" s="220"/>
      <c r="P8" s="220"/>
      <c r="Q8" s="220"/>
      <c r="R8" s="220"/>
      <c r="S8" s="220"/>
      <c r="T8" s="220"/>
      <c r="U8" s="220"/>
      <c r="V8" s="220"/>
      <c r="W8" s="221"/>
      <c r="X8" s="17"/>
      <c r="Y8" s="219"/>
      <c r="Z8" s="235"/>
      <c r="AA8" s="220"/>
      <c r="AB8" s="220"/>
      <c r="AC8" s="221"/>
      <c r="AF8" s="17"/>
    </row>
    <row r="9" spans="3:31" ht="13.5" thickBot="1">
      <c r="C9" s="21"/>
      <c r="D9" s="21"/>
      <c r="E9" s="22"/>
      <c r="F9" s="21"/>
      <c r="G9" s="21"/>
      <c r="I9" s="21"/>
      <c r="J9" s="21"/>
      <c r="K9" s="21"/>
      <c r="L9" s="21"/>
      <c r="M9" s="21"/>
      <c r="N9" s="21"/>
      <c r="O9" s="21"/>
      <c r="P9" s="21"/>
      <c r="Q9" s="21"/>
      <c r="R9" s="21"/>
      <c r="S9" s="21"/>
      <c r="T9" s="21"/>
      <c r="V9" s="21"/>
      <c r="W9" s="21"/>
      <c r="Z9" s="21"/>
      <c r="AA9" s="21"/>
      <c r="AB9" s="21"/>
      <c r="AC9" s="21"/>
      <c r="AD9" s="21"/>
      <c r="AE9" s="21"/>
    </row>
    <row r="10" spans="2:32" ht="12.75">
      <c r="B10" s="210"/>
      <c r="C10" s="237"/>
      <c r="D10" s="237"/>
      <c r="E10" s="238"/>
      <c r="F10" s="237"/>
      <c r="G10" s="237"/>
      <c r="H10" s="231"/>
      <c r="I10" s="237"/>
      <c r="J10" s="237"/>
      <c r="K10" s="237"/>
      <c r="L10" s="237"/>
      <c r="M10" s="237"/>
      <c r="N10" s="237"/>
      <c r="O10" s="237"/>
      <c r="P10" s="237"/>
      <c r="Q10" s="231"/>
      <c r="R10" s="237"/>
      <c r="S10" s="237"/>
      <c r="T10" s="237"/>
      <c r="U10" s="237"/>
      <c r="V10" s="237"/>
      <c r="W10" s="239"/>
      <c r="X10" s="21"/>
      <c r="Y10" s="251"/>
      <c r="Z10" s="231"/>
      <c r="AA10" s="211"/>
      <c r="AB10" s="211"/>
      <c r="AC10" s="212"/>
      <c r="AF10" s="17"/>
    </row>
    <row r="11" spans="2:32" ht="12.75">
      <c r="B11" s="213"/>
      <c r="C11" s="240" t="s">
        <v>0</v>
      </c>
      <c r="D11" s="241"/>
      <c r="E11" s="241"/>
      <c r="F11" s="241"/>
      <c r="G11" s="241"/>
      <c r="H11" s="233"/>
      <c r="I11" s="241"/>
      <c r="J11" s="240" t="s">
        <v>22</v>
      </c>
      <c r="K11" s="241"/>
      <c r="L11" s="241"/>
      <c r="M11" s="241"/>
      <c r="N11" s="241"/>
      <c r="O11" s="233"/>
      <c r="P11" s="241"/>
      <c r="Q11" s="240" t="s">
        <v>20</v>
      </c>
      <c r="R11" s="241"/>
      <c r="S11" s="241"/>
      <c r="T11" s="241"/>
      <c r="U11" s="241"/>
      <c r="V11" s="233"/>
      <c r="W11" s="242"/>
      <c r="X11" s="21"/>
      <c r="Y11" s="252"/>
      <c r="Z11" s="233"/>
      <c r="AA11" s="253" t="s">
        <v>7</v>
      </c>
      <c r="AB11" s="254"/>
      <c r="AC11" s="216"/>
      <c r="AF11" s="17"/>
    </row>
    <row r="12" spans="2:29" s="18" customFormat="1" ht="37.5" customHeight="1">
      <c r="B12" s="243"/>
      <c r="C12" s="244"/>
      <c r="D12" s="244" t="s">
        <v>10</v>
      </c>
      <c r="E12" s="244" t="s">
        <v>9</v>
      </c>
      <c r="F12" s="244" t="s">
        <v>4</v>
      </c>
      <c r="G12" s="244" t="s">
        <v>11</v>
      </c>
      <c r="H12" s="245" t="s">
        <v>19</v>
      </c>
      <c r="I12" s="246"/>
      <c r="J12" s="244"/>
      <c r="K12" s="244"/>
      <c r="L12" s="244" t="s">
        <v>9</v>
      </c>
      <c r="M12" s="244" t="s">
        <v>8</v>
      </c>
      <c r="N12" s="244" t="s">
        <v>11</v>
      </c>
      <c r="O12" s="245" t="s">
        <v>19</v>
      </c>
      <c r="P12" s="246"/>
      <c r="Q12" s="244"/>
      <c r="R12" s="244" t="s">
        <v>10</v>
      </c>
      <c r="S12" s="244" t="s">
        <v>9</v>
      </c>
      <c r="T12" s="244" t="s">
        <v>8</v>
      </c>
      <c r="U12" s="244" t="s">
        <v>11</v>
      </c>
      <c r="V12" s="245" t="s">
        <v>19</v>
      </c>
      <c r="W12" s="247"/>
      <c r="X12" s="23"/>
      <c r="Y12" s="255"/>
      <c r="Z12" s="250"/>
      <c r="AA12" s="250" t="s">
        <v>5</v>
      </c>
      <c r="AB12" s="250" t="s">
        <v>6</v>
      </c>
      <c r="AC12" s="256"/>
    </row>
    <row r="13" spans="2:32" ht="12.75">
      <c r="B13" s="213"/>
      <c r="C13" s="214">
        <v>1980</v>
      </c>
      <c r="D13" s="227"/>
      <c r="E13" s="227"/>
      <c r="F13" s="227"/>
      <c r="G13" s="228">
        <v>2612400</v>
      </c>
      <c r="H13" s="209"/>
      <c r="I13" s="218"/>
      <c r="J13" s="214">
        <v>1980</v>
      </c>
      <c r="K13" s="227"/>
      <c r="L13" s="227"/>
      <c r="M13" s="227"/>
      <c r="N13" s="228">
        <v>275356</v>
      </c>
      <c r="O13" s="209"/>
      <c r="P13" s="218"/>
      <c r="Q13" s="214">
        <v>1980</v>
      </c>
      <c r="R13" s="227"/>
      <c r="S13" s="227"/>
      <c r="T13" s="227"/>
      <c r="U13" s="228">
        <f>G13+N13</f>
        <v>2887756</v>
      </c>
      <c r="V13" s="209"/>
      <c r="W13" s="216"/>
      <c r="X13" s="17"/>
      <c r="Y13" s="213"/>
      <c r="Z13" s="214">
        <v>1980</v>
      </c>
      <c r="AA13" s="259">
        <f>G13</f>
        <v>2612400</v>
      </c>
      <c r="AB13" s="259">
        <f>N13</f>
        <v>275356</v>
      </c>
      <c r="AC13" s="216"/>
      <c r="AE13" s="24"/>
      <c r="AF13" s="24"/>
    </row>
    <row r="14" spans="2:32" ht="12.75">
      <c r="B14" s="213"/>
      <c r="C14" s="214">
        <v>1981</v>
      </c>
      <c r="D14" s="229">
        <f>G13</f>
        <v>2612400</v>
      </c>
      <c r="E14" s="229">
        <f aca="true" t="shared" si="0" ref="E14:E45">IF($G$7="YES",AA13-AA14,0)</f>
        <v>5932.189072821755</v>
      </c>
      <c r="F14" s="228">
        <v>32998.3</v>
      </c>
      <c r="G14" s="229">
        <f>D14-E14+F14</f>
        <v>2639466.110927178</v>
      </c>
      <c r="H14" s="230">
        <f>G14/G13-1</f>
        <v>0.010360630426878847</v>
      </c>
      <c r="I14" s="248"/>
      <c r="J14" s="214">
        <v>1981</v>
      </c>
      <c r="K14" s="229">
        <f>N13</f>
        <v>275356</v>
      </c>
      <c r="L14" s="229">
        <f aca="true" t="shared" si="1" ref="L14:L45">IF($G$7="YES",AB13-AB14,0)</f>
        <v>2942.7258484761696</v>
      </c>
      <c r="M14" s="228">
        <v>10843</v>
      </c>
      <c r="N14" s="229">
        <f>K14-L14+M14</f>
        <v>283256.27415152383</v>
      </c>
      <c r="O14" s="230">
        <f>N14/N13-1</f>
        <v>0.02869112767298998</v>
      </c>
      <c r="P14" s="248"/>
      <c r="Q14" s="214">
        <v>1981</v>
      </c>
      <c r="R14" s="229">
        <f>U13</f>
        <v>2887756</v>
      </c>
      <c r="S14" s="229">
        <f>L14+E14</f>
        <v>8874.914921297925</v>
      </c>
      <c r="T14" s="228">
        <f>M14+F14</f>
        <v>43841.3</v>
      </c>
      <c r="U14" s="229">
        <f>R14-S14+T14</f>
        <v>2922722.385078702</v>
      </c>
      <c r="V14" s="230">
        <f>U14/U13-1</f>
        <v>0.012108497074788227</v>
      </c>
      <c r="W14" s="249"/>
      <c r="X14" s="25"/>
      <c r="Y14" s="257"/>
      <c r="Z14" s="214">
        <v>1981</v>
      </c>
      <c r="AA14" s="259">
        <f aca="true" t="shared" si="2" ref="AA14:AA45">AA13*(1+$AA$7)</f>
        <v>2606467.8109271782</v>
      </c>
      <c r="AB14" s="259">
        <f aca="true" t="shared" si="3" ref="AB14:AB45">AB13*(1+$AB$7)</f>
        <v>272413.27415152383</v>
      </c>
      <c r="AC14" s="216"/>
      <c r="AF14" s="17"/>
    </row>
    <row r="15" spans="2:32" ht="12.75">
      <c r="B15" s="213"/>
      <c r="C15" s="214">
        <v>1982</v>
      </c>
      <c r="D15" s="229">
        <f aca="true" t="shared" si="4" ref="D15:D63">G14</f>
        <v>2639466.110927178</v>
      </c>
      <c r="E15" s="229">
        <f t="shared" si="0"/>
        <v>5918.718368796632</v>
      </c>
      <c r="F15" s="228">
        <v>22690.6</v>
      </c>
      <c r="G15" s="229">
        <f aca="true" t="shared" si="5" ref="G15:G63">D15-E15+F15</f>
        <v>2656237.9925583815</v>
      </c>
      <c r="H15" s="230">
        <f aca="true" t="shared" si="6" ref="H15:H67">G15/G14-1</f>
        <v>0.006354270494994818</v>
      </c>
      <c r="I15" s="248"/>
      <c r="J15" s="214">
        <v>1982</v>
      </c>
      <c r="K15" s="229">
        <f aca="true" t="shared" si="7" ref="K15:K63">N14</f>
        <v>283256.27415152383</v>
      </c>
      <c r="L15" s="229">
        <f t="shared" si="1"/>
        <v>2911.2769771267776</v>
      </c>
      <c r="M15" s="228">
        <v>8758</v>
      </c>
      <c r="N15" s="229">
        <f aca="true" t="shared" si="8" ref="N15:N63">K15-L15+M15</f>
        <v>289102.99717439705</v>
      </c>
      <c r="O15" s="230">
        <f aca="true" t="shared" si="9" ref="O15:O67">N15/N14-1</f>
        <v>0.020641106857691716</v>
      </c>
      <c r="P15" s="248"/>
      <c r="Q15" s="214">
        <v>1982</v>
      </c>
      <c r="R15" s="229">
        <f aca="true" t="shared" si="10" ref="R15:R63">U14</f>
        <v>2922722.385078702</v>
      </c>
      <c r="S15" s="229">
        <f aca="true" t="shared" si="11" ref="S15:S67">L15+E15</f>
        <v>8829.99534592341</v>
      </c>
      <c r="T15" s="228">
        <f aca="true" t="shared" si="12" ref="T15:T67">M15+F15</f>
        <v>31448.6</v>
      </c>
      <c r="U15" s="229">
        <f aca="true" t="shared" si="13" ref="U15:U63">R15-S15+T15</f>
        <v>2945340.9897327786</v>
      </c>
      <c r="V15" s="230">
        <f aca="true" t="shared" si="14" ref="V15:V67">U15/U14-1</f>
        <v>0.0077388823411865815</v>
      </c>
      <c r="W15" s="249"/>
      <c r="X15" s="25"/>
      <c r="Y15" s="257"/>
      <c r="Z15" s="214">
        <v>1982</v>
      </c>
      <c r="AA15" s="259">
        <f t="shared" si="2"/>
        <v>2600549.0925583816</v>
      </c>
      <c r="AB15" s="259">
        <f t="shared" si="3"/>
        <v>269501.99717439705</v>
      </c>
      <c r="AC15" s="216"/>
      <c r="AF15" s="17"/>
    </row>
    <row r="16" spans="2:32" ht="12.75">
      <c r="B16" s="213"/>
      <c r="C16" s="214">
        <v>1983</v>
      </c>
      <c r="D16" s="229">
        <f t="shared" si="4"/>
        <v>2656237.9925583815</v>
      </c>
      <c r="E16" s="229">
        <f t="shared" si="0"/>
        <v>5905.278253794182</v>
      </c>
      <c r="F16" s="228">
        <v>35193.1</v>
      </c>
      <c r="G16" s="229">
        <f t="shared" si="5"/>
        <v>2685525.8143045874</v>
      </c>
      <c r="H16" s="230">
        <f t="shared" si="6"/>
        <v>0.011026053323631935</v>
      </c>
      <c r="I16" s="248"/>
      <c r="J16" s="214">
        <v>1983</v>
      </c>
      <c r="K16" s="229">
        <f t="shared" si="7"/>
        <v>289102.99717439705</v>
      </c>
      <c r="L16" s="229">
        <f t="shared" si="1"/>
        <v>2880.164199440158</v>
      </c>
      <c r="M16" s="228">
        <v>12114</v>
      </c>
      <c r="N16" s="229">
        <f t="shared" si="8"/>
        <v>298336.8329749569</v>
      </c>
      <c r="O16" s="230">
        <f t="shared" si="9"/>
        <v>0.031939605921794234</v>
      </c>
      <c r="P16" s="248"/>
      <c r="Q16" s="214">
        <v>1983</v>
      </c>
      <c r="R16" s="229">
        <f t="shared" si="10"/>
        <v>2945340.9897327786</v>
      </c>
      <c r="S16" s="229">
        <f t="shared" si="11"/>
        <v>8785.44245323434</v>
      </c>
      <c r="T16" s="228">
        <f t="shared" si="12"/>
        <v>47307.1</v>
      </c>
      <c r="U16" s="229">
        <f t="shared" si="13"/>
        <v>2983862.6472795443</v>
      </c>
      <c r="V16" s="230">
        <f t="shared" si="14"/>
        <v>0.013078844752118401</v>
      </c>
      <c r="W16" s="249"/>
      <c r="X16" s="25"/>
      <c r="Y16" s="257"/>
      <c r="Z16" s="214">
        <v>1983</v>
      </c>
      <c r="AA16" s="259">
        <f t="shared" si="2"/>
        <v>2594643.8143045874</v>
      </c>
      <c r="AB16" s="259">
        <f t="shared" si="3"/>
        <v>266621.8329749569</v>
      </c>
      <c r="AC16" s="216"/>
      <c r="AF16" s="17"/>
    </row>
    <row r="17" spans="2:32" ht="12.75">
      <c r="B17" s="213"/>
      <c r="C17" s="214">
        <v>1984</v>
      </c>
      <c r="D17" s="229">
        <f t="shared" si="4"/>
        <v>2685525.8143045874</v>
      </c>
      <c r="E17" s="229">
        <f t="shared" si="0"/>
        <v>5891.868658353575</v>
      </c>
      <c r="F17" s="228">
        <v>32702.6</v>
      </c>
      <c r="G17" s="229">
        <f t="shared" si="5"/>
        <v>2712336.545646234</v>
      </c>
      <c r="H17" s="230">
        <f t="shared" si="6"/>
        <v>0.009983419708288643</v>
      </c>
      <c r="I17" s="248"/>
      <c r="J17" s="214">
        <v>1984</v>
      </c>
      <c r="K17" s="229">
        <f t="shared" si="7"/>
        <v>298336.8329749569</v>
      </c>
      <c r="L17" s="229">
        <f t="shared" si="1"/>
        <v>2849.3839235880296</v>
      </c>
      <c r="M17" s="228">
        <v>11892</v>
      </c>
      <c r="N17" s="229">
        <f t="shared" si="8"/>
        <v>307379.44905136887</v>
      </c>
      <c r="O17" s="230">
        <f t="shared" si="9"/>
        <v>0.03031008939204982</v>
      </c>
      <c r="P17" s="248"/>
      <c r="Q17" s="214">
        <v>1984</v>
      </c>
      <c r="R17" s="229">
        <f t="shared" si="10"/>
        <v>2983862.6472795443</v>
      </c>
      <c r="S17" s="229">
        <f t="shared" si="11"/>
        <v>8741.252581941604</v>
      </c>
      <c r="T17" s="228">
        <f t="shared" si="12"/>
        <v>44594.6</v>
      </c>
      <c r="U17" s="229">
        <f t="shared" si="13"/>
        <v>3019715.994697603</v>
      </c>
      <c r="V17" s="230">
        <f t="shared" si="14"/>
        <v>0.012015749937667852</v>
      </c>
      <c r="W17" s="249"/>
      <c r="X17" s="25"/>
      <c r="Y17" s="257"/>
      <c r="Z17" s="214">
        <v>1984</v>
      </c>
      <c r="AA17" s="259">
        <f t="shared" si="2"/>
        <v>2588751.945646234</v>
      </c>
      <c r="AB17" s="259">
        <f t="shared" si="3"/>
        <v>263772.44905136887</v>
      </c>
      <c r="AC17" s="216"/>
      <c r="AF17" s="17"/>
    </row>
    <row r="18" spans="2:32" ht="12.75">
      <c r="B18" s="213"/>
      <c r="C18" s="214">
        <v>1985</v>
      </c>
      <c r="D18" s="229">
        <f t="shared" si="4"/>
        <v>2712336.545646234</v>
      </c>
      <c r="E18" s="229">
        <f t="shared" si="0"/>
        <v>5878.489513171371</v>
      </c>
      <c r="F18" s="228">
        <v>31199.2</v>
      </c>
      <c r="G18" s="229">
        <f t="shared" si="5"/>
        <v>2737657.2561330628</v>
      </c>
      <c r="H18" s="230">
        <f t="shared" si="6"/>
        <v>0.009335386689927061</v>
      </c>
      <c r="I18" s="248"/>
      <c r="J18" s="214">
        <v>1985</v>
      </c>
      <c r="K18" s="229">
        <f t="shared" si="7"/>
        <v>307379.44905136887</v>
      </c>
      <c r="L18" s="229">
        <f t="shared" si="1"/>
        <v>2818.932596127648</v>
      </c>
      <c r="M18" s="228">
        <v>10090</v>
      </c>
      <c r="N18" s="229">
        <f t="shared" si="8"/>
        <v>314650.51645524125</v>
      </c>
      <c r="O18" s="230">
        <f t="shared" si="9"/>
        <v>0.023655021265449827</v>
      </c>
      <c r="P18" s="248"/>
      <c r="Q18" s="214">
        <v>1985</v>
      </c>
      <c r="R18" s="229">
        <f t="shared" si="10"/>
        <v>3019715.994697603</v>
      </c>
      <c r="S18" s="229">
        <f t="shared" si="11"/>
        <v>8697.42210929902</v>
      </c>
      <c r="T18" s="228">
        <f t="shared" si="12"/>
        <v>41289.2</v>
      </c>
      <c r="U18" s="229">
        <f t="shared" si="13"/>
        <v>3052307.7725883042</v>
      </c>
      <c r="V18" s="230">
        <f t="shared" si="14"/>
        <v>0.0107929944232934</v>
      </c>
      <c r="W18" s="249"/>
      <c r="X18" s="25"/>
      <c r="Y18" s="257"/>
      <c r="Z18" s="214">
        <v>1985</v>
      </c>
      <c r="AA18" s="259">
        <f t="shared" si="2"/>
        <v>2582873.4561330625</v>
      </c>
      <c r="AB18" s="259">
        <f t="shared" si="3"/>
        <v>260953.51645524122</v>
      </c>
      <c r="AC18" s="216"/>
      <c r="AF18" s="17"/>
    </row>
    <row r="19" spans="2:32" ht="12.75">
      <c r="B19" s="213"/>
      <c r="C19" s="214">
        <v>1986</v>
      </c>
      <c r="D19" s="229">
        <f t="shared" si="4"/>
        <v>2737657.2561330628</v>
      </c>
      <c r="E19" s="229">
        <f t="shared" si="0"/>
        <v>5865.140749101993</v>
      </c>
      <c r="F19" s="228">
        <v>33696.6</v>
      </c>
      <c r="G19" s="229">
        <f t="shared" si="5"/>
        <v>2765488.715383961</v>
      </c>
      <c r="H19" s="230">
        <f t="shared" si="6"/>
        <v>0.010166159108686346</v>
      </c>
      <c r="I19" s="248"/>
      <c r="J19" s="214">
        <v>1986</v>
      </c>
      <c r="K19" s="229">
        <f t="shared" si="7"/>
        <v>314650.51645524125</v>
      </c>
      <c r="L19" s="229">
        <f t="shared" si="1"/>
        <v>2788.8067015920824</v>
      </c>
      <c r="M19" s="228">
        <v>8352</v>
      </c>
      <c r="N19" s="229">
        <f t="shared" si="8"/>
        <v>320213.7097536492</v>
      </c>
      <c r="O19" s="230">
        <f t="shared" si="9"/>
        <v>0.017680547170496386</v>
      </c>
      <c r="P19" s="248"/>
      <c r="Q19" s="214">
        <v>1986</v>
      </c>
      <c r="R19" s="229">
        <f t="shared" si="10"/>
        <v>3052307.7725883042</v>
      </c>
      <c r="S19" s="229">
        <f t="shared" si="11"/>
        <v>8653.947450694075</v>
      </c>
      <c r="T19" s="228">
        <f t="shared" si="12"/>
        <v>42048.6</v>
      </c>
      <c r="U19" s="229">
        <f t="shared" si="13"/>
        <v>3085702.42513761</v>
      </c>
      <c r="V19" s="230">
        <f t="shared" si="14"/>
        <v>0.01094078809784893</v>
      </c>
      <c r="W19" s="249"/>
      <c r="X19" s="25"/>
      <c r="Y19" s="257"/>
      <c r="Z19" s="214">
        <v>1986</v>
      </c>
      <c r="AA19" s="259">
        <f t="shared" si="2"/>
        <v>2577008.3153839605</v>
      </c>
      <c r="AB19" s="259">
        <f t="shared" si="3"/>
        <v>258164.70975364913</v>
      </c>
      <c r="AC19" s="216"/>
      <c r="AF19" s="17"/>
    </row>
    <row r="20" spans="2:32" ht="12.75">
      <c r="B20" s="213"/>
      <c r="C20" s="214">
        <v>1987</v>
      </c>
      <c r="D20" s="229">
        <f t="shared" si="4"/>
        <v>2765488.715383961</v>
      </c>
      <c r="E20" s="229">
        <f t="shared" si="0"/>
        <v>5851.822297156323</v>
      </c>
      <c r="F20" s="228">
        <v>33896.5</v>
      </c>
      <c r="G20" s="229">
        <f t="shared" si="5"/>
        <v>2793533.3930868045</v>
      </c>
      <c r="H20" s="230">
        <f t="shared" si="6"/>
        <v>0.010140948161110108</v>
      </c>
      <c r="I20" s="248"/>
      <c r="J20" s="214">
        <v>1987</v>
      </c>
      <c r="K20" s="229">
        <f t="shared" si="7"/>
        <v>320213.7097536492</v>
      </c>
      <c r="L20" s="229">
        <f t="shared" si="1"/>
        <v>2759.002762084041</v>
      </c>
      <c r="M20" s="228">
        <v>7902</v>
      </c>
      <c r="N20" s="229">
        <f t="shared" si="8"/>
        <v>325356.7069915652</v>
      </c>
      <c r="O20" s="230">
        <f t="shared" si="9"/>
        <v>0.016061140048852618</v>
      </c>
      <c r="P20" s="248"/>
      <c r="Q20" s="214">
        <v>1987</v>
      </c>
      <c r="R20" s="229">
        <f t="shared" si="10"/>
        <v>3085702.42513761</v>
      </c>
      <c r="S20" s="229">
        <f t="shared" si="11"/>
        <v>8610.825059240364</v>
      </c>
      <c r="T20" s="228">
        <f t="shared" si="12"/>
        <v>41798.5</v>
      </c>
      <c r="U20" s="229">
        <f t="shared" si="13"/>
        <v>3118890.10007837</v>
      </c>
      <c r="V20" s="230">
        <f t="shared" si="14"/>
        <v>0.010755306367327355</v>
      </c>
      <c r="W20" s="249"/>
      <c r="X20" s="25"/>
      <c r="Y20" s="257"/>
      <c r="Z20" s="214">
        <v>1987</v>
      </c>
      <c r="AA20" s="259">
        <f t="shared" si="2"/>
        <v>2571156.493086804</v>
      </c>
      <c r="AB20" s="259">
        <f t="shared" si="3"/>
        <v>255405.7069915651</v>
      </c>
      <c r="AC20" s="216"/>
      <c r="AF20" s="17"/>
    </row>
    <row r="21" spans="2:32" ht="12.75">
      <c r="B21" s="213"/>
      <c r="C21" s="214">
        <v>1988</v>
      </c>
      <c r="D21" s="229">
        <f t="shared" si="4"/>
        <v>2793533.3930868045</v>
      </c>
      <c r="E21" s="229">
        <f t="shared" si="0"/>
        <v>5838.534088502638</v>
      </c>
      <c r="F21" s="228">
        <v>37379.9</v>
      </c>
      <c r="G21" s="229">
        <f t="shared" si="5"/>
        <v>2825074.758998302</v>
      </c>
      <c r="H21" s="230">
        <f t="shared" si="6"/>
        <v>0.011290849785276613</v>
      </c>
      <c r="I21" s="248"/>
      <c r="J21" s="214">
        <v>1988</v>
      </c>
      <c r="K21" s="229">
        <f t="shared" si="7"/>
        <v>325356.7069915652</v>
      </c>
      <c r="L21" s="229">
        <f t="shared" si="1"/>
        <v>2729.5173368744727</v>
      </c>
      <c r="M21" s="228">
        <v>9049</v>
      </c>
      <c r="N21" s="229">
        <f t="shared" si="8"/>
        <v>331676.1896546907</v>
      </c>
      <c r="O21" s="230">
        <f t="shared" si="9"/>
        <v>0.019423243865353435</v>
      </c>
      <c r="P21" s="248"/>
      <c r="Q21" s="214">
        <v>1988</v>
      </c>
      <c r="R21" s="229">
        <f t="shared" si="10"/>
        <v>3118890.10007837</v>
      </c>
      <c r="S21" s="229">
        <f t="shared" si="11"/>
        <v>8568.05142537711</v>
      </c>
      <c r="T21" s="228">
        <f t="shared" si="12"/>
        <v>46428.9</v>
      </c>
      <c r="U21" s="229">
        <f t="shared" si="13"/>
        <v>3156750.948652993</v>
      </c>
      <c r="V21" s="230">
        <f t="shared" si="14"/>
        <v>0.012139205730163916</v>
      </c>
      <c r="W21" s="249"/>
      <c r="X21" s="25"/>
      <c r="Y21" s="257"/>
      <c r="Z21" s="214">
        <v>1988</v>
      </c>
      <c r="AA21" s="259">
        <f t="shared" si="2"/>
        <v>2565317.9589983015</v>
      </c>
      <c r="AB21" s="259">
        <f t="shared" si="3"/>
        <v>252676.18965469062</v>
      </c>
      <c r="AC21" s="216"/>
      <c r="AF21" s="17"/>
    </row>
    <row r="22" spans="2:32" ht="12.75">
      <c r="B22" s="213"/>
      <c r="C22" s="214">
        <v>1989</v>
      </c>
      <c r="D22" s="229">
        <f t="shared" si="4"/>
        <v>2825074.758998302</v>
      </c>
      <c r="E22" s="229">
        <f t="shared" si="0"/>
        <v>5825.276054464746</v>
      </c>
      <c r="F22" s="228">
        <v>45933.1</v>
      </c>
      <c r="G22" s="229">
        <f t="shared" si="5"/>
        <v>2865182.582943837</v>
      </c>
      <c r="H22" s="230">
        <f t="shared" si="6"/>
        <v>0.01419708410115006</v>
      </c>
      <c r="I22" s="248"/>
      <c r="J22" s="214">
        <v>1989</v>
      </c>
      <c r="K22" s="229">
        <f t="shared" si="7"/>
        <v>331676.1896546907</v>
      </c>
      <c r="L22" s="229">
        <f t="shared" si="1"/>
        <v>2700.347022005415</v>
      </c>
      <c r="M22" s="228">
        <v>9967</v>
      </c>
      <c r="N22" s="229">
        <f t="shared" si="8"/>
        <v>338942.84263268526</v>
      </c>
      <c r="O22" s="230">
        <f t="shared" si="9"/>
        <v>0.02190887740708769</v>
      </c>
      <c r="P22" s="248"/>
      <c r="Q22" s="214">
        <v>1989</v>
      </c>
      <c r="R22" s="229">
        <f t="shared" si="10"/>
        <v>3156750.948652993</v>
      </c>
      <c r="S22" s="229">
        <f t="shared" si="11"/>
        <v>8525.623076470161</v>
      </c>
      <c r="T22" s="228">
        <f t="shared" si="12"/>
        <v>55900.1</v>
      </c>
      <c r="U22" s="229">
        <f t="shared" si="13"/>
        <v>3204125.425576523</v>
      </c>
      <c r="V22" s="230">
        <f t="shared" si="14"/>
        <v>0.01500735334972969</v>
      </c>
      <c r="W22" s="249"/>
      <c r="X22" s="25"/>
      <c r="Y22" s="257"/>
      <c r="Z22" s="214">
        <v>1989</v>
      </c>
      <c r="AA22" s="259">
        <f t="shared" si="2"/>
        <v>2559492.682943837</v>
      </c>
      <c r="AB22" s="259">
        <f t="shared" si="3"/>
        <v>249975.8426326852</v>
      </c>
      <c r="AC22" s="216"/>
      <c r="AF22" s="17"/>
    </row>
    <row r="23" spans="2:32" ht="12.75">
      <c r="B23" s="213"/>
      <c r="C23" s="214">
        <v>1990</v>
      </c>
      <c r="D23" s="229">
        <f t="shared" si="4"/>
        <v>2865182.582943837</v>
      </c>
      <c r="E23" s="229">
        <f t="shared" si="0"/>
        <v>5812.048126522452</v>
      </c>
      <c r="F23" s="228">
        <v>52299.2</v>
      </c>
      <c r="G23" s="229">
        <f t="shared" si="5"/>
        <v>2911669.734817315</v>
      </c>
      <c r="H23" s="230">
        <f t="shared" si="6"/>
        <v>0.016224847990564895</v>
      </c>
      <c r="I23" s="248"/>
      <c r="J23" s="214">
        <v>1990</v>
      </c>
      <c r="K23" s="229">
        <f t="shared" si="7"/>
        <v>338942.84263268526</v>
      </c>
      <c r="L23" s="229">
        <f t="shared" si="1"/>
        <v>2671.4884498969186</v>
      </c>
      <c r="M23" s="228">
        <v>11875</v>
      </c>
      <c r="N23" s="229">
        <f t="shared" si="8"/>
        <v>348146.35418278835</v>
      </c>
      <c r="O23" s="230">
        <f t="shared" si="9"/>
        <v>0.027153579873869793</v>
      </c>
      <c r="P23" s="248"/>
      <c r="Q23" s="214">
        <v>1990</v>
      </c>
      <c r="R23" s="229">
        <f t="shared" si="10"/>
        <v>3204125.425576523</v>
      </c>
      <c r="S23" s="229">
        <f t="shared" si="11"/>
        <v>8483.53657641937</v>
      </c>
      <c r="T23" s="228">
        <f t="shared" si="12"/>
        <v>64174.2</v>
      </c>
      <c r="U23" s="229">
        <f t="shared" si="13"/>
        <v>3259816.089000104</v>
      </c>
      <c r="V23" s="230">
        <f t="shared" si="14"/>
        <v>0.01738092490981713</v>
      </c>
      <c r="W23" s="249"/>
      <c r="X23" s="25"/>
      <c r="Y23" s="257"/>
      <c r="Z23" s="214">
        <v>1990</v>
      </c>
      <c r="AA23" s="259">
        <f t="shared" si="2"/>
        <v>2553680.6348173143</v>
      </c>
      <c r="AB23" s="259">
        <f t="shared" si="3"/>
        <v>247304.3541827883</v>
      </c>
      <c r="AC23" s="216"/>
      <c r="AF23" s="17"/>
    </row>
    <row r="24" spans="2:32" ht="12.75">
      <c r="B24" s="213"/>
      <c r="C24" s="214">
        <v>1991</v>
      </c>
      <c r="D24" s="229">
        <f t="shared" si="4"/>
        <v>2911669.734817315</v>
      </c>
      <c r="E24" s="229">
        <f t="shared" si="0"/>
        <v>5798.850236311555</v>
      </c>
      <c r="F24" s="228">
        <v>45813.8</v>
      </c>
      <c r="G24" s="229">
        <f t="shared" si="5"/>
        <v>2951684.684581003</v>
      </c>
      <c r="H24" s="230">
        <f t="shared" si="6"/>
        <v>0.013742956244382931</v>
      </c>
      <c r="I24" s="248"/>
      <c r="J24" s="214">
        <v>1991</v>
      </c>
      <c r="K24" s="229">
        <f t="shared" si="7"/>
        <v>348146.35418278835</v>
      </c>
      <c r="L24" s="229">
        <f t="shared" si="1"/>
        <v>2642.9382889582776</v>
      </c>
      <c r="M24" s="228">
        <v>11815</v>
      </c>
      <c r="N24" s="229">
        <f t="shared" si="8"/>
        <v>357318.41589383007</v>
      </c>
      <c r="O24" s="230">
        <f t="shared" si="9"/>
        <v>0.026345419392862723</v>
      </c>
      <c r="P24" s="248"/>
      <c r="Q24" s="214">
        <v>1991</v>
      </c>
      <c r="R24" s="229">
        <f t="shared" si="10"/>
        <v>3259816.089000104</v>
      </c>
      <c r="S24" s="229">
        <f t="shared" si="11"/>
        <v>8441.788525269832</v>
      </c>
      <c r="T24" s="228">
        <f t="shared" si="12"/>
        <v>57628.8</v>
      </c>
      <c r="U24" s="229">
        <f t="shared" si="13"/>
        <v>3309003.100474834</v>
      </c>
      <c r="V24" s="230">
        <f t="shared" si="14"/>
        <v>0.015088891560694595</v>
      </c>
      <c r="W24" s="249"/>
      <c r="X24" s="25"/>
      <c r="Y24" s="257"/>
      <c r="Z24" s="214">
        <v>1991</v>
      </c>
      <c r="AA24" s="259">
        <f t="shared" si="2"/>
        <v>2547881.784581003</v>
      </c>
      <c r="AB24" s="259">
        <f t="shared" si="3"/>
        <v>244661.41589383</v>
      </c>
      <c r="AC24" s="216"/>
      <c r="AF24" s="17"/>
    </row>
    <row r="25" spans="2:32" ht="12.75">
      <c r="B25" s="213"/>
      <c r="C25" s="214">
        <v>1992</v>
      </c>
      <c r="D25" s="229">
        <f t="shared" si="4"/>
        <v>2951684.684581003</v>
      </c>
      <c r="E25" s="229">
        <f t="shared" si="0"/>
        <v>5785.682315622922</v>
      </c>
      <c r="F25" s="228">
        <v>56749.3</v>
      </c>
      <c r="G25" s="229">
        <f t="shared" si="5"/>
        <v>3002648.30226538</v>
      </c>
      <c r="H25" s="230">
        <f t="shared" si="6"/>
        <v>0.017265942378805077</v>
      </c>
      <c r="I25" s="248"/>
      <c r="J25" s="214">
        <v>1992</v>
      </c>
      <c r="K25" s="229">
        <f t="shared" si="7"/>
        <v>357318.41589383007</v>
      </c>
      <c r="L25" s="229">
        <f t="shared" si="1"/>
        <v>2614.693243203539</v>
      </c>
      <c r="M25" s="228">
        <v>13784</v>
      </c>
      <c r="N25" s="229">
        <f t="shared" si="8"/>
        <v>368487.72265062656</v>
      </c>
      <c r="O25" s="230">
        <f t="shared" si="9"/>
        <v>0.031258693255024506</v>
      </c>
      <c r="P25" s="248"/>
      <c r="Q25" s="214">
        <v>1992</v>
      </c>
      <c r="R25" s="229">
        <f t="shared" si="10"/>
        <v>3309003.100474834</v>
      </c>
      <c r="S25" s="229">
        <f t="shared" si="11"/>
        <v>8400.375558826461</v>
      </c>
      <c r="T25" s="228">
        <f t="shared" si="12"/>
        <v>70533.3</v>
      </c>
      <c r="U25" s="229">
        <f t="shared" si="13"/>
        <v>3371136.024916007</v>
      </c>
      <c r="V25" s="230">
        <f t="shared" si="14"/>
        <v>0.018776931466838898</v>
      </c>
      <c r="W25" s="249"/>
      <c r="X25" s="25"/>
      <c r="Y25" s="257"/>
      <c r="Z25" s="214">
        <v>1992</v>
      </c>
      <c r="AA25" s="259">
        <f t="shared" si="2"/>
        <v>2542096.10226538</v>
      </c>
      <c r="AB25" s="259">
        <f t="shared" si="3"/>
        <v>242046.72265062647</v>
      </c>
      <c r="AC25" s="216"/>
      <c r="AF25" s="17"/>
    </row>
    <row r="26" spans="2:32" ht="12.75">
      <c r="B26" s="213"/>
      <c r="C26" s="214">
        <v>1993</v>
      </c>
      <c r="D26" s="229">
        <f t="shared" si="4"/>
        <v>3002648.30226538</v>
      </c>
      <c r="E26" s="229">
        <f t="shared" si="0"/>
        <v>5772.544296402484</v>
      </c>
      <c r="F26" s="228">
        <v>62971.3</v>
      </c>
      <c r="G26" s="229">
        <f t="shared" si="5"/>
        <v>3059847.0579689774</v>
      </c>
      <c r="H26" s="230">
        <f t="shared" si="6"/>
        <v>0.0190494356799773</v>
      </c>
      <c r="I26" s="248"/>
      <c r="J26" s="214">
        <v>1993</v>
      </c>
      <c r="K26" s="229">
        <f t="shared" si="7"/>
        <v>368487.72265062656</v>
      </c>
      <c r="L26" s="229">
        <f t="shared" si="1"/>
        <v>2586.7500518708257</v>
      </c>
      <c r="M26" s="228">
        <v>17535</v>
      </c>
      <c r="N26" s="229">
        <f t="shared" si="8"/>
        <v>383435.97259875573</v>
      </c>
      <c r="O26" s="230">
        <f t="shared" si="9"/>
        <v>0.04056648031745147</v>
      </c>
      <c r="P26" s="248"/>
      <c r="Q26" s="214">
        <v>1993</v>
      </c>
      <c r="R26" s="229">
        <f t="shared" si="10"/>
        <v>3371136.024916007</v>
      </c>
      <c r="S26" s="229">
        <f t="shared" si="11"/>
        <v>8359.29434827331</v>
      </c>
      <c r="T26" s="228">
        <f t="shared" si="12"/>
        <v>80506.3</v>
      </c>
      <c r="U26" s="229">
        <f t="shared" si="13"/>
        <v>3443283.0305677336</v>
      </c>
      <c r="V26" s="230">
        <f t="shared" si="14"/>
        <v>0.021401392622097948</v>
      </c>
      <c r="W26" s="249"/>
      <c r="X26" s="25"/>
      <c r="Y26" s="257"/>
      <c r="Z26" s="214">
        <v>1993</v>
      </c>
      <c r="AA26" s="259">
        <f t="shared" si="2"/>
        <v>2536323.5579689774</v>
      </c>
      <c r="AB26" s="259">
        <f t="shared" si="3"/>
        <v>239459.97259875564</v>
      </c>
      <c r="AC26" s="216"/>
      <c r="AF26" s="17"/>
    </row>
    <row r="27" spans="2:32" ht="12.75">
      <c r="B27" s="213"/>
      <c r="C27" s="214">
        <v>1994</v>
      </c>
      <c r="D27" s="229">
        <f t="shared" si="4"/>
        <v>3059847.0579689774</v>
      </c>
      <c r="E27" s="229">
        <f t="shared" si="0"/>
        <v>5759.436110750306</v>
      </c>
      <c r="F27" s="228">
        <v>66755.1</v>
      </c>
      <c r="G27" s="229">
        <f t="shared" si="5"/>
        <v>3120842.721858227</v>
      </c>
      <c r="H27" s="230">
        <f t="shared" si="6"/>
        <v>0.019934219826574173</v>
      </c>
      <c r="I27" s="248"/>
      <c r="J27" s="214">
        <v>1994</v>
      </c>
      <c r="K27" s="229">
        <f t="shared" si="7"/>
        <v>383435.97259875573</v>
      </c>
      <c r="L27" s="229">
        <f t="shared" si="1"/>
        <v>2559.105489046022</v>
      </c>
      <c r="M27" s="228">
        <v>20512</v>
      </c>
      <c r="N27" s="229">
        <f t="shared" si="8"/>
        <v>401388.8671097097</v>
      </c>
      <c r="O27" s="230">
        <f t="shared" si="9"/>
        <v>0.04682110128916017</v>
      </c>
      <c r="P27" s="248"/>
      <c r="Q27" s="214">
        <v>1994</v>
      </c>
      <c r="R27" s="229">
        <f t="shared" si="10"/>
        <v>3443283.0305677336</v>
      </c>
      <c r="S27" s="229">
        <f t="shared" si="11"/>
        <v>8318.541599796328</v>
      </c>
      <c r="T27" s="228">
        <f t="shared" si="12"/>
        <v>87267.1</v>
      </c>
      <c r="U27" s="229">
        <f t="shared" si="13"/>
        <v>3522231.5889679375</v>
      </c>
      <c r="V27" s="230">
        <f t="shared" si="14"/>
        <v>0.022928280277670687</v>
      </c>
      <c r="W27" s="249"/>
      <c r="X27" s="25"/>
      <c r="Y27" s="257"/>
      <c r="Z27" s="214">
        <v>1994</v>
      </c>
      <c r="AA27" s="259">
        <f t="shared" si="2"/>
        <v>2530564.121858227</v>
      </c>
      <c r="AB27" s="259">
        <f t="shared" si="3"/>
        <v>236900.86710970962</v>
      </c>
      <c r="AC27" s="216"/>
      <c r="AF27" s="17"/>
    </row>
    <row r="28" spans="2:32" ht="12.75">
      <c r="B28" s="213"/>
      <c r="C28" s="214">
        <v>1995</v>
      </c>
      <c r="D28" s="229">
        <f t="shared" si="4"/>
        <v>3120842.721858227</v>
      </c>
      <c r="E28" s="229">
        <f t="shared" si="0"/>
        <v>5746.357690921053</v>
      </c>
      <c r="F28" s="228">
        <v>59583.7</v>
      </c>
      <c r="G28" s="229">
        <f t="shared" si="5"/>
        <v>3174680.0641673063</v>
      </c>
      <c r="H28" s="230">
        <f t="shared" si="6"/>
        <v>0.017250898910094126</v>
      </c>
      <c r="I28" s="248"/>
      <c r="J28" s="214">
        <v>1995</v>
      </c>
      <c r="K28" s="229">
        <f t="shared" si="7"/>
        <v>401388.8671097097</v>
      </c>
      <c r="L28" s="229">
        <f t="shared" si="1"/>
        <v>2531.756363290304</v>
      </c>
      <c r="M28" s="228">
        <v>19641</v>
      </c>
      <c r="N28" s="229">
        <f t="shared" si="8"/>
        <v>418498.1107464194</v>
      </c>
      <c r="O28" s="230">
        <f t="shared" si="9"/>
        <v>0.04262510756690552</v>
      </c>
      <c r="P28" s="248"/>
      <c r="Q28" s="214">
        <v>1995</v>
      </c>
      <c r="R28" s="229">
        <f t="shared" si="10"/>
        <v>3522231.5889679375</v>
      </c>
      <c r="S28" s="229">
        <f t="shared" si="11"/>
        <v>8278.114054211357</v>
      </c>
      <c r="T28" s="228">
        <f t="shared" si="12"/>
        <v>79224.7</v>
      </c>
      <c r="U28" s="229">
        <f t="shared" si="13"/>
        <v>3593178.1749137263</v>
      </c>
      <c r="V28" s="230">
        <f t="shared" si="14"/>
        <v>0.020142510267638913</v>
      </c>
      <c r="W28" s="249"/>
      <c r="X28" s="25"/>
      <c r="Y28" s="257"/>
      <c r="Z28" s="214">
        <v>1995</v>
      </c>
      <c r="AA28" s="259">
        <f t="shared" si="2"/>
        <v>2524817.764167306</v>
      </c>
      <c r="AB28" s="259">
        <f t="shared" si="3"/>
        <v>234369.11074641932</v>
      </c>
      <c r="AC28" s="216"/>
      <c r="AF28" s="17"/>
    </row>
    <row r="29" spans="2:32" ht="12.75">
      <c r="B29" s="213"/>
      <c r="C29" s="214">
        <v>1996</v>
      </c>
      <c r="D29" s="229">
        <f t="shared" si="4"/>
        <v>3174680.0641673063</v>
      </c>
      <c r="E29" s="229">
        <f t="shared" si="0"/>
        <v>5733.308969323058</v>
      </c>
      <c r="F29" s="228">
        <v>62109.7</v>
      </c>
      <c r="G29" s="229">
        <f t="shared" si="5"/>
        <v>3231056.4551979834</v>
      </c>
      <c r="H29" s="230">
        <f t="shared" si="6"/>
        <v>0.01775813306890317</v>
      </c>
      <c r="I29" s="248"/>
      <c r="J29" s="214">
        <v>1996</v>
      </c>
      <c r="K29" s="229">
        <f t="shared" si="7"/>
        <v>418498.1107464194</v>
      </c>
      <c r="L29" s="229">
        <f t="shared" si="1"/>
        <v>2504.699517271685</v>
      </c>
      <c r="M29" s="228">
        <v>17125</v>
      </c>
      <c r="N29" s="229">
        <f t="shared" si="8"/>
        <v>433118.4112291477</v>
      </c>
      <c r="O29" s="230">
        <f t="shared" si="9"/>
        <v>0.034935164836591426</v>
      </c>
      <c r="P29" s="248"/>
      <c r="Q29" s="214">
        <v>1996</v>
      </c>
      <c r="R29" s="229">
        <f t="shared" si="10"/>
        <v>3593178.1749137263</v>
      </c>
      <c r="S29" s="229">
        <f t="shared" si="11"/>
        <v>8238.008486594743</v>
      </c>
      <c r="T29" s="228">
        <f t="shared" si="12"/>
        <v>79234.7</v>
      </c>
      <c r="U29" s="229">
        <f t="shared" si="13"/>
        <v>3664174.866427132</v>
      </c>
      <c r="V29" s="230">
        <f t="shared" si="14"/>
        <v>0.019758745060036054</v>
      </c>
      <c r="W29" s="249"/>
      <c r="X29" s="25"/>
      <c r="Y29" s="257"/>
      <c r="Z29" s="214">
        <v>1996</v>
      </c>
      <c r="AA29" s="259">
        <f t="shared" si="2"/>
        <v>2519084.455197983</v>
      </c>
      <c r="AB29" s="259">
        <f t="shared" si="3"/>
        <v>231864.41122914763</v>
      </c>
      <c r="AC29" s="216"/>
      <c r="AF29" s="17"/>
    </row>
    <row r="30" spans="2:32" ht="12.75">
      <c r="B30" s="213"/>
      <c r="C30" s="214">
        <v>1997</v>
      </c>
      <c r="D30" s="229">
        <f t="shared" si="4"/>
        <v>3231056.4551979834</v>
      </c>
      <c r="E30" s="229">
        <f t="shared" si="0"/>
        <v>5720.289878518321</v>
      </c>
      <c r="F30" s="228">
        <v>61718.1</v>
      </c>
      <c r="G30" s="229">
        <f t="shared" si="5"/>
        <v>3287054.265319465</v>
      </c>
      <c r="H30" s="230">
        <f t="shared" si="6"/>
        <v>0.017331114729176145</v>
      </c>
      <c r="I30" s="248"/>
      <c r="J30" s="214">
        <v>1997</v>
      </c>
      <c r="K30" s="229">
        <f t="shared" si="7"/>
        <v>433118.4112291477</v>
      </c>
      <c r="L30" s="229">
        <f t="shared" si="1"/>
        <v>2477.9318274006073</v>
      </c>
      <c r="M30" s="228">
        <v>17301</v>
      </c>
      <c r="N30" s="229">
        <f t="shared" si="8"/>
        <v>447941.4794017471</v>
      </c>
      <c r="O30" s="230">
        <f t="shared" si="9"/>
        <v>0.03422405464254674</v>
      </c>
      <c r="P30" s="248"/>
      <c r="Q30" s="214">
        <v>1997</v>
      </c>
      <c r="R30" s="229">
        <f t="shared" si="10"/>
        <v>3664174.866427132</v>
      </c>
      <c r="S30" s="229">
        <f t="shared" si="11"/>
        <v>8198.221705918928</v>
      </c>
      <c r="T30" s="228">
        <f t="shared" si="12"/>
        <v>79019.1</v>
      </c>
      <c r="U30" s="229">
        <f t="shared" si="13"/>
        <v>3734995.744721213</v>
      </c>
      <c r="V30" s="230">
        <f t="shared" si="14"/>
        <v>0.019327919893500356</v>
      </c>
      <c r="W30" s="249"/>
      <c r="X30" s="25"/>
      <c r="Y30" s="257"/>
      <c r="Z30" s="214">
        <v>1997</v>
      </c>
      <c r="AA30" s="259">
        <f t="shared" si="2"/>
        <v>2513364.1653194646</v>
      </c>
      <c r="AB30" s="259">
        <f t="shared" si="3"/>
        <v>229386.47940174703</v>
      </c>
      <c r="AC30" s="216"/>
      <c r="AF30" s="17"/>
    </row>
    <row r="31" spans="2:32" ht="12.75">
      <c r="B31" s="213"/>
      <c r="C31" s="214">
        <v>1998</v>
      </c>
      <c r="D31" s="229">
        <f t="shared" si="4"/>
        <v>3287054.265319465</v>
      </c>
      <c r="E31" s="229">
        <f t="shared" si="0"/>
        <v>5707.300351221114</v>
      </c>
      <c r="F31" s="228">
        <v>63984.7</v>
      </c>
      <c r="G31" s="229">
        <f t="shared" si="5"/>
        <v>3345331.6649682443</v>
      </c>
      <c r="H31" s="230">
        <f t="shared" si="6"/>
        <v>0.017729369503766135</v>
      </c>
      <c r="I31" s="248"/>
      <c r="J31" s="214">
        <v>1998</v>
      </c>
      <c r="K31" s="229">
        <f t="shared" si="7"/>
        <v>447941.4794017471</v>
      </c>
      <c r="L31" s="229">
        <f t="shared" si="1"/>
        <v>2451.4502034691977</v>
      </c>
      <c r="M31" s="228">
        <v>17996</v>
      </c>
      <c r="N31" s="229">
        <f t="shared" si="8"/>
        <v>463486.0291982779</v>
      </c>
      <c r="O31" s="230">
        <f t="shared" si="9"/>
        <v>0.03470218881558251</v>
      </c>
      <c r="P31" s="248"/>
      <c r="Q31" s="214">
        <v>1998</v>
      </c>
      <c r="R31" s="229">
        <f t="shared" si="10"/>
        <v>3734995.744721213</v>
      </c>
      <c r="S31" s="229">
        <f t="shared" si="11"/>
        <v>8158.750554690312</v>
      </c>
      <c r="T31" s="228">
        <f t="shared" si="12"/>
        <v>81980.7</v>
      </c>
      <c r="U31" s="229">
        <f t="shared" si="13"/>
        <v>3808817.694166523</v>
      </c>
      <c r="V31" s="230">
        <f t="shared" si="14"/>
        <v>0.0197649353549183</v>
      </c>
      <c r="W31" s="249"/>
      <c r="X31" s="25"/>
      <c r="Y31" s="257"/>
      <c r="Z31" s="214">
        <v>1998</v>
      </c>
      <c r="AA31" s="259">
        <f t="shared" si="2"/>
        <v>2507656.8649682435</v>
      </c>
      <c r="AB31" s="259">
        <f t="shared" si="3"/>
        <v>226935.02919827783</v>
      </c>
      <c r="AC31" s="216"/>
      <c r="AF31" s="17"/>
    </row>
    <row r="32" spans="2:32" ht="12.75">
      <c r="B32" s="213"/>
      <c r="C32" s="214">
        <v>1999</v>
      </c>
      <c r="D32" s="229">
        <f t="shared" si="4"/>
        <v>3345331.6649682443</v>
      </c>
      <c r="E32" s="229">
        <f t="shared" si="0"/>
        <v>5694.340320299845</v>
      </c>
      <c r="F32" s="228">
        <v>62690.3</v>
      </c>
      <c r="G32" s="229">
        <f t="shared" si="5"/>
        <v>3402327.6246479442</v>
      </c>
      <c r="H32" s="230">
        <f t="shared" si="6"/>
        <v>0.017037461569670898</v>
      </c>
      <c r="I32" s="248"/>
      <c r="J32" s="214">
        <v>1999</v>
      </c>
      <c r="K32" s="229">
        <f t="shared" si="7"/>
        <v>463486.0291982779</v>
      </c>
      <c r="L32" s="229">
        <f t="shared" si="1"/>
        <v>2425.251588294661</v>
      </c>
      <c r="M32" s="228">
        <v>14620</v>
      </c>
      <c r="N32" s="229">
        <f t="shared" si="8"/>
        <v>475680.7776099832</v>
      </c>
      <c r="O32" s="230">
        <f t="shared" si="9"/>
        <v>0.026310929873764266</v>
      </c>
      <c r="P32" s="248"/>
      <c r="Q32" s="214">
        <v>1999</v>
      </c>
      <c r="R32" s="229">
        <f t="shared" si="10"/>
        <v>3808817.694166523</v>
      </c>
      <c r="S32" s="229">
        <f t="shared" si="11"/>
        <v>8119.591908594506</v>
      </c>
      <c r="T32" s="228">
        <f t="shared" si="12"/>
        <v>77310.3</v>
      </c>
      <c r="U32" s="229">
        <f t="shared" si="13"/>
        <v>3878008.402257928</v>
      </c>
      <c r="V32" s="230">
        <f t="shared" si="14"/>
        <v>0.018165928024692635</v>
      </c>
      <c r="W32" s="249"/>
      <c r="X32" s="25"/>
      <c r="Y32" s="257"/>
      <c r="Z32" s="214">
        <v>1999</v>
      </c>
      <c r="AA32" s="259">
        <f t="shared" si="2"/>
        <v>2501962.5246479437</v>
      </c>
      <c r="AB32" s="259">
        <f t="shared" si="3"/>
        <v>224509.77760998317</v>
      </c>
      <c r="AC32" s="216"/>
      <c r="AF32" s="17"/>
    </row>
    <row r="33" spans="2:32" ht="12.75">
      <c r="B33" s="213"/>
      <c r="C33" s="214">
        <v>2000</v>
      </c>
      <c r="D33" s="229">
        <f t="shared" si="4"/>
        <v>3402327.6246479442</v>
      </c>
      <c r="E33" s="229">
        <f t="shared" si="0"/>
        <v>5681.409718774259</v>
      </c>
      <c r="F33" s="228">
        <v>57727.2</v>
      </c>
      <c r="G33" s="229">
        <f t="shared" si="5"/>
        <v>3454373.41492917</v>
      </c>
      <c r="H33" s="230">
        <f t="shared" si="6"/>
        <v>0.015297113042313626</v>
      </c>
      <c r="I33" s="248"/>
      <c r="J33" s="214">
        <v>2000</v>
      </c>
      <c r="K33" s="229">
        <f t="shared" si="7"/>
        <v>475680.7776099832</v>
      </c>
      <c r="L33" s="229">
        <f t="shared" si="1"/>
        <v>2399.3329573662195</v>
      </c>
      <c r="M33" s="228">
        <v>9564</v>
      </c>
      <c r="N33" s="229">
        <f t="shared" si="8"/>
        <v>482845.444652617</v>
      </c>
      <c r="O33" s="230">
        <f t="shared" si="9"/>
        <v>0.015061922574698183</v>
      </c>
      <c r="P33" s="248"/>
      <c r="Q33" s="214">
        <v>2000</v>
      </c>
      <c r="R33" s="229">
        <f t="shared" si="10"/>
        <v>3878008.402257928</v>
      </c>
      <c r="S33" s="229">
        <f t="shared" si="11"/>
        <v>8080.742676140479</v>
      </c>
      <c r="T33" s="228">
        <f t="shared" si="12"/>
        <v>67291.2</v>
      </c>
      <c r="U33" s="229">
        <f t="shared" si="13"/>
        <v>3937218.859581788</v>
      </c>
      <c r="V33" s="230">
        <f t="shared" si="14"/>
        <v>0.015268264320774882</v>
      </c>
      <c r="W33" s="249"/>
      <c r="X33" s="25"/>
      <c r="Y33" s="257"/>
      <c r="Z33" s="214">
        <v>2000</v>
      </c>
      <c r="AA33" s="259">
        <f t="shared" si="2"/>
        <v>2496281.1149291694</v>
      </c>
      <c r="AB33" s="259">
        <f t="shared" si="3"/>
        <v>222110.44465261695</v>
      </c>
      <c r="AC33" s="216"/>
      <c r="AF33" s="17"/>
    </row>
    <row r="34" spans="2:32" ht="12.75">
      <c r="B34" s="213"/>
      <c r="C34" s="214">
        <v>2001</v>
      </c>
      <c r="D34" s="229">
        <f t="shared" si="4"/>
        <v>3454373.41492917</v>
      </c>
      <c r="E34" s="229">
        <f t="shared" si="0"/>
        <v>5668.508479817305</v>
      </c>
      <c r="F34" s="228">
        <v>58981.8</v>
      </c>
      <c r="G34" s="229">
        <f t="shared" si="5"/>
        <v>3507686.7064493527</v>
      </c>
      <c r="H34" s="230">
        <f t="shared" si="6"/>
        <v>0.015433563519731797</v>
      </c>
      <c r="I34" s="248"/>
      <c r="J34" s="214">
        <v>2001</v>
      </c>
      <c r="K34" s="229">
        <f t="shared" si="7"/>
        <v>482845.444652617</v>
      </c>
      <c r="L34" s="229">
        <f t="shared" si="1"/>
        <v>2373.691318496014</v>
      </c>
      <c r="M34" s="228">
        <v>7283</v>
      </c>
      <c r="N34" s="229">
        <f t="shared" si="8"/>
        <v>487754.75333412096</v>
      </c>
      <c r="O34" s="230">
        <f t="shared" si="9"/>
        <v>0.010167453655974823</v>
      </c>
      <c r="P34" s="248"/>
      <c r="Q34" s="214">
        <v>2001</v>
      </c>
      <c r="R34" s="229">
        <f t="shared" si="10"/>
        <v>3937218.859581788</v>
      </c>
      <c r="S34" s="229">
        <f t="shared" si="11"/>
        <v>8042.199798313319</v>
      </c>
      <c r="T34" s="228">
        <f t="shared" si="12"/>
        <v>66264.8</v>
      </c>
      <c r="U34" s="229">
        <f t="shared" si="13"/>
        <v>3995441.4597834744</v>
      </c>
      <c r="V34" s="230">
        <f t="shared" si="14"/>
        <v>0.014787747970878895</v>
      </c>
      <c r="W34" s="249"/>
      <c r="X34" s="25"/>
      <c r="Y34" s="257"/>
      <c r="Z34" s="214">
        <v>2001</v>
      </c>
      <c r="AA34" s="259">
        <f t="shared" si="2"/>
        <v>2490612.606449352</v>
      </c>
      <c r="AB34" s="259">
        <f t="shared" si="3"/>
        <v>219736.75333412093</v>
      </c>
      <c r="AC34" s="216"/>
      <c r="AF34" s="17"/>
    </row>
    <row r="35" spans="2:32" ht="12.75">
      <c r="B35" s="213"/>
      <c r="C35" s="214">
        <v>2002</v>
      </c>
      <c r="D35" s="229">
        <f t="shared" si="4"/>
        <v>3507686.7064493527</v>
      </c>
      <c r="E35" s="229">
        <f t="shared" si="0"/>
        <v>5655.636536751874</v>
      </c>
      <c r="F35" s="228">
        <v>66174.6</v>
      </c>
      <c r="G35" s="229">
        <f t="shared" si="5"/>
        <v>3568205.669912601</v>
      </c>
      <c r="H35" s="230">
        <f t="shared" si="6"/>
        <v>0.017253240818792648</v>
      </c>
      <c r="I35" s="248"/>
      <c r="J35" s="214">
        <v>2002</v>
      </c>
      <c r="K35" s="229">
        <f t="shared" si="7"/>
        <v>487754.75333412096</v>
      </c>
      <c r="L35" s="229">
        <f t="shared" si="1"/>
        <v>2348.3237114736985</v>
      </c>
      <c r="M35" s="228">
        <v>7464</v>
      </c>
      <c r="N35" s="229">
        <f t="shared" si="8"/>
        <v>492870.42962264724</v>
      </c>
      <c r="O35" s="230">
        <f t="shared" si="9"/>
        <v>0.010488214114895422</v>
      </c>
      <c r="P35" s="248"/>
      <c r="Q35" s="214">
        <v>2002</v>
      </c>
      <c r="R35" s="229">
        <f t="shared" si="10"/>
        <v>3995441.4597834744</v>
      </c>
      <c r="S35" s="229">
        <f t="shared" si="11"/>
        <v>8003.960248225572</v>
      </c>
      <c r="T35" s="228">
        <f t="shared" si="12"/>
        <v>73638.6</v>
      </c>
      <c r="U35" s="229">
        <f t="shared" si="13"/>
        <v>4061076.099535249</v>
      </c>
      <c r="V35" s="230">
        <f t="shared" si="14"/>
        <v>0.01642738115735809</v>
      </c>
      <c r="W35" s="249"/>
      <c r="X35" s="25"/>
      <c r="Y35" s="257"/>
      <c r="Z35" s="214">
        <v>2002</v>
      </c>
      <c r="AA35" s="259">
        <f t="shared" si="2"/>
        <v>2484956.9699126002</v>
      </c>
      <c r="AB35" s="259">
        <f t="shared" si="3"/>
        <v>217388.42962264724</v>
      </c>
      <c r="AC35" s="216"/>
      <c r="AF35" s="17"/>
    </row>
    <row r="36" spans="2:32" ht="12.75">
      <c r="B36" s="213"/>
      <c r="C36" s="214">
        <v>2003</v>
      </c>
      <c r="D36" s="229">
        <f t="shared" si="4"/>
        <v>3568205.669912601</v>
      </c>
      <c r="E36" s="229">
        <f t="shared" si="0"/>
        <v>5642.793823054526</v>
      </c>
      <c r="F36" s="228">
        <v>73242.5</v>
      </c>
      <c r="G36" s="229">
        <f t="shared" si="5"/>
        <v>3635805.3760895464</v>
      </c>
      <c r="H36" s="230">
        <f t="shared" si="6"/>
        <v>0.018945013945510958</v>
      </c>
      <c r="I36" s="248"/>
      <c r="J36" s="214">
        <v>2003</v>
      </c>
      <c r="K36" s="229">
        <f t="shared" si="7"/>
        <v>492870.42962264724</v>
      </c>
      <c r="L36" s="229">
        <f t="shared" si="1"/>
        <v>2323.227207724558</v>
      </c>
      <c r="M36" s="228">
        <v>6895</v>
      </c>
      <c r="N36" s="229">
        <f t="shared" si="8"/>
        <v>497442.20241492265</v>
      </c>
      <c r="O36" s="230">
        <f t="shared" si="9"/>
        <v>0.009275810674573615</v>
      </c>
      <c r="P36" s="248"/>
      <c r="Q36" s="214">
        <v>2003</v>
      </c>
      <c r="R36" s="229">
        <f t="shared" si="10"/>
        <v>4061076.099535249</v>
      </c>
      <c r="S36" s="229">
        <f t="shared" si="11"/>
        <v>7966.021030779084</v>
      </c>
      <c r="T36" s="228">
        <f t="shared" si="12"/>
        <v>80137.5</v>
      </c>
      <c r="U36" s="229">
        <f t="shared" si="13"/>
        <v>4133247.57850447</v>
      </c>
      <c r="V36" s="230">
        <f t="shared" si="14"/>
        <v>0.017771516021943157</v>
      </c>
      <c r="W36" s="249"/>
      <c r="X36" s="25"/>
      <c r="Y36" s="257"/>
      <c r="Z36" s="214">
        <v>2003</v>
      </c>
      <c r="AA36" s="259">
        <f t="shared" si="2"/>
        <v>2479314.1760895457</v>
      </c>
      <c r="AB36" s="259">
        <f t="shared" si="3"/>
        <v>215065.20241492268</v>
      </c>
      <c r="AC36" s="216"/>
      <c r="AF36" s="17"/>
    </row>
    <row r="37" spans="2:32" ht="12.75">
      <c r="B37" s="213"/>
      <c r="C37" s="214">
        <v>2004</v>
      </c>
      <c r="D37" s="229">
        <f t="shared" si="4"/>
        <v>3635805.3760895464</v>
      </c>
      <c r="E37" s="229">
        <f t="shared" si="0"/>
        <v>5629.9802723512985</v>
      </c>
      <c r="F37" s="228">
        <v>76942.45812831254</v>
      </c>
      <c r="G37" s="229">
        <f t="shared" si="5"/>
        <v>3707117.8539455077</v>
      </c>
      <c r="H37" s="230">
        <f t="shared" si="6"/>
        <v>0.019613942573752485</v>
      </c>
      <c r="I37" s="248"/>
      <c r="J37" s="214">
        <v>2004</v>
      </c>
      <c r="K37" s="229">
        <f t="shared" si="7"/>
        <v>497442.20241492265</v>
      </c>
      <c r="L37" s="229">
        <f t="shared" si="1"/>
        <v>2298.398909971642</v>
      </c>
      <c r="M37" s="228">
        <v>6659</v>
      </c>
      <c r="N37" s="229">
        <f t="shared" si="8"/>
        <v>501802.803504951</v>
      </c>
      <c r="O37" s="230">
        <f t="shared" si="9"/>
        <v>0.008766045721209537</v>
      </c>
      <c r="P37" s="248"/>
      <c r="Q37" s="214">
        <v>2004</v>
      </c>
      <c r="R37" s="229">
        <f t="shared" si="10"/>
        <v>4133247.57850447</v>
      </c>
      <c r="S37" s="229">
        <f t="shared" si="11"/>
        <v>7928.37918232294</v>
      </c>
      <c r="T37" s="228">
        <f t="shared" si="12"/>
        <v>83601.45812831254</v>
      </c>
      <c r="U37" s="229">
        <f t="shared" si="13"/>
        <v>4208920.65745046</v>
      </c>
      <c r="V37" s="230">
        <f t="shared" si="14"/>
        <v>0.018308382817312507</v>
      </c>
      <c r="W37" s="249"/>
      <c r="X37" s="25"/>
      <c r="Y37" s="257"/>
      <c r="Z37" s="214">
        <v>2004</v>
      </c>
      <c r="AA37" s="259">
        <f t="shared" si="2"/>
        <v>2473684.1958171944</v>
      </c>
      <c r="AB37" s="259">
        <f t="shared" si="3"/>
        <v>212766.80350495104</v>
      </c>
      <c r="AC37" s="216"/>
      <c r="AF37" s="17"/>
    </row>
    <row r="38" spans="2:32" ht="12.75">
      <c r="B38" s="213"/>
      <c r="C38" s="214">
        <v>2005</v>
      </c>
      <c r="D38" s="229">
        <f t="shared" si="4"/>
        <v>3707117.8539455077</v>
      </c>
      <c r="E38" s="229">
        <f t="shared" si="0"/>
        <v>5617.195818419568</v>
      </c>
      <c r="F38" s="228">
        <v>85375.800888065</v>
      </c>
      <c r="G38" s="229">
        <f t="shared" si="5"/>
        <v>3786876.459015153</v>
      </c>
      <c r="H38" s="230">
        <f t="shared" si="6"/>
        <v>0.021514990408183943</v>
      </c>
      <c r="I38" s="248"/>
      <c r="J38" s="214">
        <v>2005</v>
      </c>
      <c r="K38" s="229">
        <f t="shared" si="7"/>
        <v>501802.803504951</v>
      </c>
      <c r="L38" s="229">
        <f t="shared" si="1"/>
        <v>2273.83595190107</v>
      </c>
      <c r="M38" s="228">
        <v>6657</v>
      </c>
      <c r="N38" s="229">
        <f t="shared" si="8"/>
        <v>506185.9675530499</v>
      </c>
      <c r="O38" s="230">
        <f t="shared" si="9"/>
        <v>0.008734833718512025</v>
      </c>
      <c r="P38" s="248"/>
      <c r="Q38" s="214">
        <v>2005</v>
      </c>
      <c r="R38" s="229">
        <f t="shared" si="10"/>
        <v>4208920.65745046</v>
      </c>
      <c r="S38" s="229">
        <f t="shared" si="11"/>
        <v>7891.031770320638</v>
      </c>
      <c r="T38" s="228">
        <f t="shared" si="12"/>
        <v>92032.800888065</v>
      </c>
      <c r="U38" s="229">
        <f t="shared" si="13"/>
        <v>4293062.426568205</v>
      </c>
      <c r="V38" s="230">
        <f t="shared" si="14"/>
        <v>0.01999129372248931</v>
      </c>
      <c r="W38" s="249"/>
      <c r="X38" s="25"/>
      <c r="Y38" s="257"/>
      <c r="Z38" s="214">
        <v>2005</v>
      </c>
      <c r="AA38" s="259">
        <f t="shared" si="2"/>
        <v>2468066.999998775</v>
      </c>
      <c r="AB38" s="259">
        <f t="shared" si="3"/>
        <v>210492.96755304997</v>
      </c>
      <c r="AC38" s="216"/>
      <c r="AF38" s="17"/>
    </row>
    <row r="39" spans="2:32" ht="12.75">
      <c r="B39" s="213"/>
      <c r="C39" s="214">
        <v>2006</v>
      </c>
      <c r="D39" s="229">
        <f t="shared" si="4"/>
        <v>3786876.459015153</v>
      </c>
      <c r="E39" s="229">
        <f t="shared" si="0"/>
        <v>5604.44039518619</v>
      </c>
      <c r="F39" s="228">
        <v>76635.58122167857</v>
      </c>
      <c r="G39" s="229">
        <f t="shared" si="5"/>
        <v>3857907.5998416455</v>
      </c>
      <c r="H39" s="230">
        <f t="shared" si="6"/>
        <v>0.018757184607222532</v>
      </c>
      <c r="I39" s="248"/>
      <c r="J39" s="214">
        <v>2006</v>
      </c>
      <c r="K39" s="229">
        <f t="shared" si="7"/>
        <v>506185.9675530499</v>
      </c>
      <c r="L39" s="229">
        <f t="shared" si="1"/>
        <v>2249.535497831239</v>
      </c>
      <c r="M39" s="228">
        <v>6343</v>
      </c>
      <c r="N39" s="229">
        <f t="shared" si="8"/>
        <v>510279.43205521867</v>
      </c>
      <c r="O39" s="230">
        <f t="shared" si="9"/>
        <v>0.00808687866626756</v>
      </c>
      <c r="P39" s="248"/>
      <c r="Q39" s="214">
        <v>2006</v>
      </c>
      <c r="R39" s="229">
        <f t="shared" si="10"/>
        <v>4293062.426568205</v>
      </c>
      <c r="S39" s="229">
        <f t="shared" si="11"/>
        <v>7853.9758930174285</v>
      </c>
      <c r="T39" s="228">
        <f t="shared" si="12"/>
        <v>82978.58122167857</v>
      </c>
      <c r="U39" s="229">
        <f t="shared" si="13"/>
        <v>4368187.031896865</v>
      </c>
      <c r="V39" s="230">
        <f t="shared" si="14"/>
        <v>0.017499071260585808</v>
      </c>
      <c r="W39" s="249"/>
      <c r="X39" s="25"/>
      <c r="Y39" s="257"/>
      <c r="Z39" s="214">
        <v>2006</v>
      </c>
      <c r="AA39" s="259">
        <f t="shared" si="2"/>
        <v>2462462.5596035887</v>
      </c>
      <c r="AB39" s="259">
        <f t="shared" si="3"/>
        <v>208243.43205521873</v>
      </c>
      <c r="AC39" s="216"/>
      <c r="AF39" s="17"/>
    </row>
    <row r="40" spans="2:32" ht="12.75">
      <c r="B40" s="213"/>
      <c r="C40" s="214">
        <v>2007</v>
      </c>
      <c r="D40" s="229">
        <f t="shared" si="4"/>
        <v>3857907.5998416455</v>
      </c>
      <c r="E40" s="229">
        <f t="shared" si="0"/>
        <v>5591.713936729822</v>
      </c>
      <c r="F40" s="228">
        <v>58437.30245263851</v>
      </c>
      <c r="G40" s="229">
        <f t="shared" si="5"/>
        <v>3910753.1883575544</v>
      </c>
      <c r="H40" s="230">
        <f t="shared" si="6"/>
        <v>0.013697992279047444</v>
      </c>
      <c r="I40" s="248"/>
      <c r="J40" s="214">
        <v>2007</v>
      </c>
      <c r="K40" s="229">
        <f t="shared" si="7"/>
        <v>510279.43205521867</v>
      </c>
      <c r="L40" s="229">
        <f t="shared" si="1"/>
        <v>2225.494742385432</v>
      </c>
      <c r="M40" s="228">
        <v>8034.090443514807</v>
      </c>
      <c r="N40" s="229">
        <f t="shared" si="8"/>
        <v>516088.0277563481</v>
      </c>
      <c r="O40" s="230">
        <f t="shared" si="9"/>
        <v>0.011383166430468217</v>
      </c>
      <c r="P40" s="248"/>
      <c r="Q40" s="214">
        <v>2007</v>
      </c>
      <c r="R40" s="229">
        <f t="shared" si="10"/>
        <v>4368187.031896865</v>
      </c>
      <c r="S40" s="229">
        <f t="shared" si="11"/>
        <v>7817.208679115254</v>
      </c>
      <c r="T40" s="228">
        <f t="shared" si="12"/>
        <v>66471.39289615332</v>
      </c>
      <c r="U40" s="229">
        <f t="shared" si="13"/>
        <v>4426841.216113903</v>
      </c>
      <c r="V40" s="230">
        <f t="shared" si="14"/>
        <v>0.013427580776358639</v>
      </c>
      <c r="W40" s="249"/>
      <c r="X40" s="25"/>
      <c r="Y40" s="257"/>
      <c r="Z40" s="214">
        <v>2007</v>
      </c>
      <c r="AA40" s="259">
        <f t="shared" si="2"/>
        <v>2456870.845666859</v>
      </c>
      <c r="AB40" s="259">
        <f t="shared" si="3"/>
        <v>206017.9373128333</v>
      </c>
      <c r="AC40" s="216"/>
      <c r="AF40" s="17"/>
    </row>
    <row r="41" spans="2:32" ht="12.75">
      <c r="B41" s="213"/>
      <c r="C41" s="214">
        <v>2008</v>
      </c>
      <c r="D41" s="229">
        <f t="shared" si="4"/>
        <v>3910753.1883575544</v>
      </c>
      <c r="E41" s="229">
        <f t="shared" si="0"/>
        <v>5579.016377277207</v>
      </c>
      <c r="F41" s="228">
        <v>34499.649056482594</v>
      </c>
      <c r="G41" s="229">
        <f t="shared" si="5"/>
        <v>3939673.8210367598</v>
      </c>
      <c r="H41" s="230">
        <f t="shared" si="6"/>
        <v>0.007395156709276041</v>
      </c>
      <c r="I41" s="248"/>
      <c r="J41" s="214">
        <v>2008</v>
      </c>
      <c r="K41" s="229">
        <f t="shared" si="7"/>
        <v>516088.0277563481</v>
      </c>
      <c r="L41" s="229">
        <f t="shared" si="1"/>
        <v>2201.7109101679816</v>
      </c>
      <c r="M41" s="228">
        <v>8325.91291995356</v>
      </c>
      <c r="N41" s="229">
        <f t="shared" si="8"/>
        <v>522212.2297661337</v>
      </c>
      <c r="O41" s="230">
        <f t="shared" si="9"/>
        <v>0.011866584149239356</v>
      </c>
      <c r="P41" s="248"/>
      <c r="Q41" s="214">
        <v>2008</v>
      </c>
      <c r="R41" s="229">
        <f t="shared" si="10"/>
        <v>4426841.216113903</v>
      </c>
      <c r="S41" s="229">
        <f t="shared" si="11"/>
        <v>7780.727287445188</v>
      </c>
      <c r="T41" s="228">
        <f t="shared" si="12"/>
        <v>42825.561976436155</v>
      </c>
      <c r="U41" s="229">
        <f t="shared" si="13"/>
        <v>4461886.050802894</v>
      </c>
      <c r="V41" s="230">
        <f t="shared" si="14"/>
        <v>0.007916442668290502</v>
      </c>
      <c r="W41" s="249"/>
      <c r="X41" s="25"/>
      <c r="Y41" s="257"/>
      <c r="Z41" s="214">
        <v>2008</v>
      </c>
      <c r="AA41" s="259">
        <f t="shared" si="2"/>
        <v>2451291.8292895816</v>
      </c>
      <c r="AB41" s="259">
        <f t="shared" si="3"/>
        <v>203816.2264026653</v>
      </c>
      <c r="AC41" s="216"/>
      <c r="AF41" s="17"/>
    </row>
    <row r="42" spans="2:32" ht="12.75">
      <c r="B42" s="213"/>
      <c r="C42" s="214">
        <v>2009</v>
      </c>
      <c r="D42" s="229">
        <f t="shared" si="4"/>
        <v>3939673.8210367598</v>
      </c>
      <c r="E42" s="229">
        <f t="shared" si="0"/>
        <v>5566.347651205491</v>
      </c>
      <c r="F42" s="228">
        <v>26476.889030213424</v>
      </c>
      <c r="G42" s="229">
        <f t="shared" si="5"/>
        <v>3960584.3624157677</v>
      </c>
      <c r="H42" s="230">
        <f t="shared" si="6"/>
        <v>0.005307683409563335</v>
      </c>
      <c r="I42" s="248"/>
      <c r="J42" s="214">
        <v>2009</v>
      </c>
      <c r="K42" s="229">
        <f t="shared" si="7"/>
        <v>522212.2297661337</v>
      </c>
      <c r="L42" s="229">
        <f t="shared" si="1"/>
        <v>2178.1812554438366</v>
      </c>
      <c r="M42" s="228">
        <v>8447.209519194574</v>
      </c>
      <c r="N42" s="229">
        <f t="shared" si="8"/>
        <v>528481.2580298844</v>
      </c>
      <c r="O42" s="230">
        <f t="shared" si="9"/>
        <v>0.012004751911992129</v>
      </c>
      <c r="P42" s="248"/>
      <c r="Q42" s="214">
        <v>2009</v>
      </c>
      <c r="R42" s="229">
        <f t="shared" si="10"/>
        <v>4461886.050802894</v>
      </c>
      <c r="S42" s="229">
        <f t="shared" si="11"/>
        <v>7744.528906649328</v>
      </c>
      <c r="T42" s="228">
        <f t="shared" si="12"/>
        <v>34924.098549407994</v>
      </c>
      <c r="U42" s="229">
        <f t="shared" si="13"/>
        <v>4489065.620445653</v>
      </c>
      <c r="V42" s="230">
        <f t="shared" si="14"/>
        <v>0.006091497930089007</v>
      </c>
      <c r="W42" s="249"/>
      <c r="X42" s="25"/>
      <c r="Y42" s="257"/>
      <c r="Z42" s="214">
        <v>2009</v>
      </c>
      <c r="AA42" s="259">
        <f t="shared" si="2"/>
        <v>2445725.481638376</v>
      </c>
      <c r="AB42" s="259">
        <f t="shared" si="3"/>
        <v>201638.04514722148</v>
      </c>
      <c r="AC42" s="216"/>
      <c r="AF42" s="17"/>
    </row>
    <row r="43" spans="2:32" ht="12.75">
      <c r="B43" s="213"/>
      <c r="C43" s="214">
        <v>2010</v>
      </c>
      <c r="D43" s="229">
        <f t="shared" si="4"/>
        <v>3960584.3624157677</v>
      </c>
      <c r="E43" s="229">
        <f t="shared" si="0"/>
        <v>5553.707693039905</v>
      </c>
      <c r="F43" s="228">
        <v>43008.78356094843</v>
      </c>
      <c r="G43" s="229">
        <f t="shared" si="5"/>
        <v>3998039.4382836763</v>
      </c>
      <c r="H43" s="230">
        <f t="shared" si="6"/>
        <v>0.009456956964063457</v>
      </c>
      <c r="I43" s="248"/>
      <c r="J43" s="214">
        <v>2010</v>
      </c>
      <c r="K43" s="229">
        <f t="shared" si="7"/>
        <v>528481.2580298844</v>
      </c>
      <c r="L43" s="229">
        <f t="shared" si="1"/>
        <v>2154.903061821533</v>
      </c>
      <c r="M43" s="228">
        <v>8481.56998863191</v>
      </c>
      <c r="N43" s="229">
        <f t="shared" si="8"/>
        <v>534807.9249566947</v>
      </c>
      <c r="O43" s="230">
        <f t="shared" si="9"/>
        <v>0.011971412099636813</v>
      </c>
      <c r="P43" s="248"/>
      <c r="Q43" s="214">
        <v>2010</v>
      </c>
      <c r="R43" s="229">
        <f t="shared" si="10"/>
        <v>4489065.620445653</v>
      </c>
      <c r="S43" s="229">
        <f t="shared" si="11"/>
        <v>7708.610754861438</v>
      </c>
      <c r="T43" s="228">
        <f t="shared" si="12"/>
        <v>51490.353549580344</v>
      </c>
      <c r="U43" s="229">
        <f t="shared" si="13"/>
        <v>4532847.363240371</v>
      </c>
      <c r="V43" s="230">
        <f t="shared" si="14"/>
        <v>0.009752974560076177</v>
      </c>
      <c r="W43" s="249"/>
      <c r="X43" s="25"/>
      <c r="Y43" s="257"/>
      <c r="Z43" s="214">
        <v>2010</v>
      </c>
      <c r="AA43" s="259">
        <f t="shared" si="2"/>
        <v>2440171.773945336</v>
      </c>
      <c r="AB43" s="259">
        <f t="shared" si="3"/>
        <v>199483.14208539994</v>
      </c>
      <c r="AC43" s="216"/>
      <c r="AF43" s="17"/>
    </row>
    <row r="44" spans="2:32" ht="12.75">
      <c r="B44" s="213"/>
      <c r="C44" s="214">
        <v>2011</v>
      </c>
      <c r="D44" s="229">
        <f t="shared" si="4"/>
        <v>3998039.4382836763</v>
      </c>
      <c r="E44" s="229">
        <f t="shared" si="0"/>
        <v>5541.096437454689</v>
      </c>
      <c r="F44" s="228">
        <v>59337.1751941772</v>
      </c>
      <c r="G44" s="229">
        <f t="shared" si="5"/>
        <v>4051835.517040399</v>
      </c>
      <c r="H44" s="230">
        <f t="shared" si="6"/>
        <v>0.013455614830006901</v>
      </c>
      <c r="I44" s="248"/>
      <c r="J44" s="214">
        <v>2011</v>
      </c>
      <c r="K44" s="229">
        <f t="shared" si="7"/>
        <v>534807.9249566947</v>
      </c>
      <c r="L44" s="229">
        <f t="shared" si="1"/>
        <v>2131.8736419397173</v>
      </c>
      <c r="M44" s="228">
        <v>8353.224309281835</v>
      </c>
      <c r="N44" s="229">
        <f t="shared" si="8"/>
        <v>541029.2756240368</v>
      </c>
      <c r="O44" s="230">
        <f t="shared" si="9"/>
        <v>0.01163286925459417</v>
      </c>
      <c r="P44" s="248"/>
      <c r="Q44" s="214">
        <v>2011</v>
      </c>
      <c r="R44" s="229">
        <f t="shared" si="10"/>
        <v>4532847.363240371</v>
      </c>
      <c r="S44" s="229">
        <f t="shared" si="11"/>
        <v>7672.970079394407</v>
      </c>
      <c r="T44" s="228">
        <f t="shared" si="12"/>
        <v>67690.39950345903</v>
      </c>
      <c r="U44" s="229">
        <f t="shared" si="13"/>
        <v>4592864.792664437</v>
      </c>
      <c r="V44" s="230">
        <f t="shared" si="14"/>
        <v>0.01324055822192105</v>
      </c>
      <c r="W44" s="249"/>
      <c r="X44" s="25"/>
      <c r="Y44" s="257"/>
      <c r="Z44" s="214">
        <v>2011</v>
      </c>
      <c r="AA44" s="259">
        <f t="shared" si="2"/>
        <v>2434630.6775078815</v>
      </c>
      <c r="AB44" s="259">
        <f t="shared" si="3"/>
        <v>197351.26844346023</v>
      </c>
      <c r="AC44" s="216"/>
      <c r="AF44" s="17"/>
    </row>
    <row r="45" spans="2:32" ht="12.75">
      <c r="B45" s="213"/>
      <c r="C45" s="214">
        <v>2012</v>
      </c>
      <c r="D45" s="229">
        <f t="shared" si="4"/>
        <v>4051835.517040399</v>
      </c>
      <c r="E45" s="229">
        <f t="shared" si="0"/>
        <v>5528.513819273096</v>
      </c>
      <c r="F45" s="228">
        <v>68726.91929042741</v>
      </c>
      <c r="G45" s="229">
        <f t="shared" si="5"/>
        <v>4115033.9225115534</v>
      </c>
      <c r="H45" s="230">
        <f t="shared" si="6"/>
        <v>0.015597475565177099</v>
      </c>
      <c r="I45" s="248"/>
      <c r="J45" s="214">
        <v>2012</v>
      </c>
      <c r="K45" s="229">
        <f t="shared" si="7"/>
        <v>541029.2756240368</v>
      </c>
      <c r="L45" s="229">
        <f t="shared" si="1"/>
        <v>2109.0903371567256</v>
      </c>
      <c r="M45" s="228">
        <v>8067.339603182001</v>
      </c>
      <c r="N45" s="229">
        <f t="shared" si="8"/>
        <v>546987.524890062</v>
      </c>
      <c r="O45" s="230">
        <f t="shared" si="9"/>
        <v>0.011012803806509153</v>
      </c>
      <c r="P45" s="248"/>
      <c r="Q45" s="214">
        <v>2012</v>
      </c>
      <c r="R45" s="229">
        <f t="shared" si="10"/>
        <v>4592864.792664437</v>
      </c>
      <c r="S45" s="229">
        <f t="shared" si="11"/>
        <v>7637.604156429821</v>
      </c>
      <c r="T45" s="228">
        <f t="shared" si="12"/>
        <v>76794.25889360941</v>
      </c>
      <c r="U45" s="229">
        <f t="shared" si="13"/>
        <v>4662021.447401616</v>
      </c>
      <c r="V45" s="230">
        <f t="shared" si="14"/>
        <v>0.015057411410767774</v>
      </c>
      <c r="W45" s="249"/>
      <c r="X45" s="25"/>
      <c r="Y45" s="257"/>
      <c r="Z45" s="214">
        <v>2012</v>
      </c>
      <c r="AA45" s="259">
        <f t="shared" si="2"/>
        <v>2429102.1636886084</v>
      </c>
      <c r="AB45" s="259">
        <f t="shared" si="3"/>
        <v>195242.1781063035</v>
      </c>
      <c r="AC45" s="216"/>
      <c r="AF45" s="17"/>
    </row>
    <row r="46" spans="2:32" ht="12.75">
      <c r="B46" s="213"/>
      <c r="C46" s="214">
        <v>2013</v>
      </c>
      <c r="D46" s="229">
        <f t="shared" si="4"/>
        <v>4115033.9225115534</v>
      </c>
      <c r="E46" s="229">
        <f aca="true" t="shared" si="15" ref="E46:E67">IF($G$7="YES",AA45-AA46,0)</f>
        <v>5515.959773465525</v>
      </c>
      <c r="F46" s="228">
        <v>70465.6470764123</v>
      </c>
      <c r="G46" s="229">
        <f t="shared" si="5"/>
        <v>4179983.6098145</v>
      </c>
      <c r="H46" s="230">
        <f t="shared" si="6"/>
        <v>0.015783512001598554</v>
      </c>
      <c r="I46" s="248"/>
      <c r="J46" s="214">
        <v>2013</v>
      </c>
      <c r="K46" s="229">
        <f t="shared" si="7"/>
        <v>546987.524890062</v>
      </c>
      <c r="L46" s="229">
        <f aca="true" t="shared" si="16" ref="L46:L67">IF($G$7="YES",AB45-AB46,0)</f>
        <v>2086.550517243886</v>
      </c>
      <c r="M46" s="228">
        <v>7708.062064448706</v>
      </c>
      <c r="N46" s="229">
        <f t="shared" si="8"/>
        <v>552609.0364372669</v>
      </c>
      <c r="O46" s="230">
        <f t="shared" si="9"/>
        <v>0.010277220761725214</v>
      </c>
      <c r="P46" s="248"/>
      <c r="Q46" s="214">
        <v>2013</v>
      </c>
      <c r="R46" s="229">
        <f t="shared" si="10"/>
        <v>4662021.447401616</v>
      </c>
      <c r="S46" s="229">
        <f t="shared" si="11"/>
        <v>7602.5102907094115</v>
      </c>
      <c r="T46" s="228">
        <f t="shared" si="12"/>
        <v>78173.709140861</v>
      </c>
      <c r="U46" s="229">
        <f t="shared" si="13"/>
        <v>4732592.646251768</v>
      </c>
      <c r="V46" s="230">
        <f t="shared" si="14"/>
        <v>0.01513746765139512</v>
      </c>
      <c r="W46" s="249"/>
      <c r="X46" s="25"/>
      <c r="Y46" s="257"/>
      <c r="Z46" s="214">
        <v>2013</v>
      </c>
      <c r="AA46" s="259">
        <f aca="true" t="shared" si="17" ref="AA46:AA67">AA45*(1+$AA$7)</f>
        <v>2423586.203915143</v>
      </c>
      <c r="AB46" s="259">
        <f aca="true" t="shared" si="18" ref="AB46:AB67">AB45*(1+$AB$7)</f>
        <v>193155.62758905962</v>
      </c>
      <c r="AC46" s="216"/>
      <c r="AF46" s="17"/>
    </row>
    <row r="47" spans="2:32" ht="12.75">
      <c r="B47" s="213"/>
      <c r="C47" s="214">
        <v>2014</v>
      </c>
      <c r="D47" s="229">
        <f t="shared" si="4"/>
        <v>4179983.6098145</v>
      </c>
      <c r="E47" s="229">
        <f t="shared" si="15"/>
        <v>5503.43423515046</v>
      </c>
      <c r="F47" s="228">
        <v>69968.6195570465</v>
      </c>
      <c r="G47" s="229">
        <f t="shared" si="5"/>
        <v>4244448.795136396</v>
      </c>
      <c r="H47" s="230">
        <f t="shared" si="6"/>
        <v>0.015422353611754147</v>
      </c>
      <c r="I47" s="248"/>
      <c r="J47" s="214">
        <v>2014</v>
      </c>
      <c r="K47" s="229">
        <f t="shared" si="7"/>
        <v>552609.0364372669</v>
      </c>
      <c r="L47" s="229">
        <f t="shared" si="16"/>
        <v>2064.2515800816473</v>
      </c>
      <c r="M47" s="228">
        <v>7248.026214204614</v>
      </c>
      <c r="N47" s="229">
        <f t="shared" si="8"/>
        <v>557792.8110713898</v>
      </c>
      <c r="O47" s="230">
        <f t="shared" si="9"/>
        <v>0.00938054626747209</v>
      </c>
      <c r="P47" s="248"/>
      <c r="Q47" s="214">
        <v>2014</v>
      </c>
      <c r="R47" s="229">
        <f t="shared" si="10"/>
        <v>4732592.646251768</v>
      </c>
      <c r="S47" s="229">
        <f t="shared" si="11"/>
        <v>7567.685815232107</v>
      </c>
      <c r="T47" s="228">
        <f t="shared" si="12"/>
        <v>77216.64577125112</v>
      </c>
      <c r="U47" s="229">
        <f t="shared" si="13"/>
        <v>4802241.606207787</v>
      </c>
      <c r="V47" s="230">
        <f t="shared" si="14"/>
        <v>0.014716871947806798</v>
      </c>
      <c r="W47" s="249"/>
      <c r="X47" s="25"/>
      <c r="Y47" s="257"/>
      <c r="Z47" s="214">
        <v>2014</v>
      </c>
      <c r="AA47" s="259">
        <f t="shared" si="17"/>
        <v>2418082.7696799925</v>
      </c>
      <c r="AB47" s="259">
        <f t="shared" si="18"/>
        <v>191091.37600897797</v>
      </c>
      <c r="AC47" s="216"/>
      <c r="AF47" s="17"/>
    </row>
    <row r="48" spans="2:32" ht="12.75">
      <c r="B48" s="213"/>
      <c r="C48" s="214">
        <v>2015</v>
      </c>
      <c r="D48" s="229">
        <f t="shared" si="4"/>
        <v>4244448.795136396</v>
      </c>
      <c r="E48" s="229">
        <f t="shared" si="15"/>
        <v>5490.93713959353</v>
      </c>
      <c r="F48" s="228">
        <v>70186.049138642</v>
      </c>
      <c r="G48" s="229">
        <f t="shared" si="5"/>
        <v>4309143.907135445</v>
      </c>
      <c r="H48" s="230">
        <f t="shared" si="6"/>
        <v>0.015242288250286284</v>
      </c>
      <c r="I48" s="248"/>
      <c r="J48" s="214">
        <v>2015</v>
      </c>
      <c r="K48" s="229">
        <f t="shared" si="7"/>
        <v>557792.8110713898</v>
      </c>
      <c r="L48" s="229">
        <f t="shared" si="16"/>
        <v>2042.1909513593127</v>
      </c>
      <c r="M48" s="228">
        <v>6822.261232801542</v>
      </c>
      <c r="N48" s="229">
        <f t="shared" si="8"/>
        <v>562572.8813528321</v>
      </c>
      <c r="O48" s="230">
        <f t="shared" si="9"/>
        <v>0.008569616148800474</v>
      </c>
      <c r="P48" s="248"/>
      <c r="Q48" s="214">
        <v>2015</v>
      </c>
      <c r="R48" s="229">
        <f t="shared" si="10"/>
        <v>4802241.606207787</v>
      </c>
      <c r="S48" s="229">
        <f t="shared" si="11"/>
        <v>7533.128090952843</v>
      </c>
      <c r="T48" s="228">
        <f t="shared" si="12"/>
        <v>77008.31037144354</v>
      </c>
      <c r="U48" s="229">
        <f t="shared" si="13"/>
        <v>4871716.788488278</v>
      </c>
      <c r="V48" s="230">
        <f t="shared" si="14"/>
        <v>0.014467240088603894</v>
      </c>
      <c r="W48" s="249"/>
      <c r="X48" s="25"/>
      <c r="Y48" s="257"/>
      <c r="Z48" s="214">
        <v>2015</v>
      </c>
      <c r="AA48" s="259">
        <f t="shared" si="17"/>
        <v>2412591.832540399</v>
      </c>
      <c r="AB48" s="259">
        <f t="shared" si="18"/>
        <v>189049.18505761866</v>
      </c>
      <c r="AC48" s="216"/>
      <c r="AF48" s="17"/>
    </row>
    <row r="49" spans="2:32" ht="12.75">
      <c r="B49" s="213"/>
      <c r="C49" s="214">
        <v>2016</v>
      </c>
      <c r="D49" s="229">
        <f t="shared" si="4"/>
        <v>4309143.907135445</v>
      </c>
      <c r="E49" s="229">
        <f t="shared" si="15"/>
        <v>5478.468422207516</v>
      </c>
      <c r="F49" s="228">
        <v>70411.95999384047</v>
      </c>
      <c r="G49" s="229">
        <f t="shared" si="5"/>
        <v>4374077.398707078</v>
      </c>
      <c r="H49" s="230">
        <f t="shared" si="6"/>
        <v>0.01506876840759741</v>
      </c>
      <c r="I49" s="248"/>
      <c r="J49" s="214">
        <v>2016</v>
      </c>
      <c r="K49" s="229">
        <f t="shared" si="7"/>
        <v>562572.8813528321</v>
      </c>
      <c r="L49" s="229">
        <f t="shared" si="16"/>
        <v>2020.3660842778336</v>
      </c>
      <c r="M49" s="228">
        <v>6499.826459172753</v>
      </c>
      <c r="N49" s="229">
        <f t="shared" si="8"/>
        <v>567052.341727727</v>
      </c>
      <c r="O49" s="230">
        <f t="shared" si="9"/>
        <v>0.007962453440917727</v>
      </c>
      <c r="P49" s="248"/>
      <c r="Q49" s="214">
        <v>2016</v>
      </c>
      <c r="R49" s="229">
        <f t="shared" si="10"/>
        <v>4871716.788488278</v>
      </c>
      <c r="S49" s="229">
        <f t="shared" si="11"/>
        <v>7498.834506485349</v>
      </c>
      <c r="T49" s="228">
        <f t="shared" si="12"/>
        <v>76911.78645301322</v>
      </c>
      <c r="U49" s="229">
        <f t="shared" si="13"/>
        <v>4941129.740434806</v>
      </c>
      <c r="V49" s="230">
        <f t="shared" si="14"/>
        <v>0.014248150079361865</v>
      </c>
      <c r="W49" s="249"/>
      <c r="X49" s="25"/>
      <c r="Y49" s="257"/>
      <c r="Z49" s="214">
        <v>2016</v>
      </c>
      <c r="AA49" s="259">
        <f t="shared" si="17"/>
        <v>2407113.3641181914</v>
      </c>
      <c r="AB49" s="259">
        <f t="shared" si="18"/>
        <v>187028.81897334082</v>
      </c>
      <c r="AC49" s="216"/>
      <c r="AF49" s="17"/>
    </row>
    <row r="50" spans="2:32" ht="12.75">
      <c r="B50" s="213"/>
      <c r="C50" s="214">
        <v>2017</v>
      </c>
      <c r="D50" s="229">
        <f t="shared" si="4"/>
        <v>4374077.398707078</v>
      </c>
      <c r="E50" s="229">
        <f t="shared" si="15"/>
        <v>5466.028018551879</v>
      </c>
      <c r="F50" s="228">
        <v>69178.45405135982</v>
      </c>
      <c r="G50" s="229">
        <f t="shared" si="5"/>
        <v>4437789.8247398855</v>
      </c>
      <c r="H50" s="230">
        <f t="shared" si="6"/>
        <v>0.014565911899876438</v>
      </c>
      <c r="I50" s="248"/>
      <c r="J50" s="214">
        <v>2017</v>
      </c>
      <c r="K50" s="229">
        <f t="shared" si="7"/>
        <v>567052.341727727</v>
      </c>
      <c r="L50" s="229">
        <f t="shared" si="16"/>
        <v>1998.7744592557428</v>
      </c>
      <c r="M50" s="228">
        <v>6312.897415080413</v>
      </c>
      <c r="N50" s="229">
        <f t="shared" si="8"/>
        <v>571366.4646835517</v>
      </c>
      <c r="O50" s="230">
        <f t="shared" si="9"/>
        <v>0.007607980142856352</v>
      </c>
      <c r="P50" s="248"/>
      <c r="Q50" s="214">
        <v>2017</v>
      </c>
      <c r="R50" s="229">
        <f t="shared" si="10"/>
        <v>4941129.740434806</v>
      </c>
      <c r="S50" s="229">
        <f t="shared" si="11"/>
        <v>7464.8024778076215</v>
      </c>
      <c r="T50" s="228">
        <f t="shared" si="12"/>
        <v>75491.35146644023</v>
      </c>
      <c r="U50" s="229">
        <f t="shared" si="13"/>
        <v>5009156.289423439</v>
      </c>
      <c r="V50" s="230">
        <f t="shared" si="14"/>
        <v>0.013767407973919399</v>
      </c>
      <c r="W50" s="249"/>
      <c r="X50" s="25"/>
      <c r="Y50" s="257"/>
      <c r="Z50" s="214">
        <v>2017</v>
      </c>
      <c r="AA50" s="259">
        <f t="shared" si="17"/>
        <v>2401647.3360996395</v>
      </c>
      <c r="AB50" s="259">
        <f t="shared" si="18"/>
        <v>185030.04451408508</v>
      </c>
      <c r="AC50" s="216"/>
      <c r="AF50" s="17"/>
    </row>
    <row r="51" spans="2:32" ht="12.75">
      <c r="B51" s="213"/>
      <c r="C51" s="214">
        <v>2018</v>
      </c>
      <c r="D51" s="229">
        <f t="shared" si="4"/>
        <v>4437789.8247398855</v>
      </c>
      <c r="E51" s="229">
        <f t="shared" si="15"/>
        <v>5453.6158643323</v>
      </c>
      <c r="F51" s="228">
        <v>67800.54062922472</v>
      </c>
      <c r="G51" s="229">
        <f t="shared" si="5"/>
        <v>4500136.7495047785</v>
      </c>
      <c r="H51" s="230">
        <f t="shared" si="6"/>
        <v>0.01404909363154605</v>
      </c>
      <c r="I51" s="248"/>
      <c r="J51" s="214">
        <v>2018</v>
      </c>
      <c r="K51" s="229">
        <f t="shared" si="7"/>
        <v>571366.4646835517</v>
      </c>
      <c r="L51" s="229">
        <f t="shared" si="16"/>
        <v>1977.413583638263</v>
      </c>
      <c r="M51" s="228">
        <v>6279.419374187542</v>
      </c>
      <c r="N51" s="229">
        <f t="shared" si="8"/>
        <v>575668.470474101</v>
      </c>
      <c r="O51" s="230">
        <f t="shared" si="9"/>
        <v>0.0075293284721076326</v>
      </c>
      <c r="P51" s="248"/>
      <c r="Q51" s="214">
        <v>2018</v>
      </c>
      <c r="R51" s="229">
        <f t="shared" si="10"/>
        <v>5009156.289423439</v>
      </c>
      <c r="S51" s="229">
        <f t="shared" si="11"/>
        <v>7431.029447970563</v>
      </c>
      <c r="T51" s="228">
        <f t="shared" si="12"/>
        <v>74079.96000341227</v>
      </c>
      <c r="U51" s="229">
        <f t="shared" si="13"/>
        <v>5075805.21997888</v>
      </c>
      <c r="V51" s="230">
        <f t="shared" si="14"/>
        <v>0.013305420454970962</v>
      </c>
      <c r="W51" s="249"/>
      <c r="X51" s="25"/>
      <c r="Y51" s="257"/>
      <c r="Z51" s="214">
        <v>2018</v>
      </c>
      <c r="AA51" s="259">
        <f t="shared" si="17"/>
        <v>2396193.7202353072</v>
      </c>
      <c r="AB51" s="259">
        <f t="shared" si="18"/>
        <v>183052.63093044682</v>
      </c>
      <c r="AC51" s="216"/>
      <c r="AF51" s="17"/>
    </row>
    <row r="52" spans="2:32" ht="12.75">
      <c r="B52" s="213"/>
      <c r="C52" s="214">
        <v>2019</v>
      </c>
      <c r="D52" s="229">
        <f t="shared" si="4"/>
        <v>4500136.7495047785</v>
      </c>
      <c r="E52" s="229">
        <f t="shared" si="15"/>
        <v>5441.231895400677</v>
      </c>
      <c r="F52" s="228">
        <v>66315.51076550395</v>
      </c>
      <c r="G52" s="229">
        <f t="shared" si="5"/>
        <v>4561011.028374882</v>
      </c>
      <c r="H52" s="230">
        <f t="shared" si="6"/>
        <v>0.013527206451404483</v>
      </c>
      <c r="I52" s="248"/>
      <c r="J52" s="214">
        <v>2019</v>
      </c>
      <c r="K52" s="229">
        <f t="shared" si="7"/>
        <v>575668.470474101</v>
      </c>
      <c r="L52" s="229">
        <f t="shared" si="16"/>
        <v>1956.2809914096433</v>
      </c>
      <c r="M52" s="228">
        <v>6392.108856973809</v>
      </c>
      <c r="N52" s="229">
        <f t="shared" si="8"/>
        <v>580104.2983396652</v>
      </c>
      <c r="O52" s="230">
        <f t="shared" si="9"/>
        <v>0.0077055251296132</v>
      </c>
      <c r="P52" s="248"/>
      <c r="Q52" s="214">
        <v>2019</v>
      </c>
      <c r="R52" s="229">
        <f t="shared" si="10"/>
        <v>5075805.21997888</v>
      </c>
      <c r="S52" s="229">
        <f t="shared" si="11"/>
        <v>7397.51288681032</v>
      </c>
      <c r="T52" s="228">
        <f t="shared" si="12"/>
        <v>72707.61962247775</v>
      </c>
      <c r="U52" s="229">
        <f t="shared" si="13"/>
        <v>5141115.326714547</v>
      </c>
      <c r="V52" s="230">
        <f t="shared" si="14"/>
        <v>0.012866945027480536</v>
      </c>
      <c r="W52" s="249"/>
      <c r="X52" s="25"/>
      <c r="Y52" s="257"/>
      <c r="Z52" s="214">
        <v>2019</v>
      </c>
      <c r="AA52" s="259">
        <f t="shared" si="17"/>
        <v>2390752.4883399066</v>
      </c>
      <c r="AB52" s="259">
        <f t="shared" si="18"/>
        <v>181096.34993903717</v>
      </c>
      <c r="AC52" s="216"/>
      <c r="AF52" s="17"/>
    </row>
    <row r="53" spans="2:32" ht="12.75">
      <c r="B53" s="213"/>
      <c r="C53" s="214">
        <v>2020</v>
      </c>
      <c r="D53" s="229">
        <f t="shared" si="4"/>
        <v>4561011.028374882</v>
      </c>
      <c r="E53" s="229">
        <f t="shared" si="15"/>
        <v>5428.876047753729</v>
      </c>
      <c r="F53" s="228">
        <v>65194.00997648459</v>
      </c>
      <c r="G53" s="229">
        <f t="shared" si="5"/>
        <v>4620776.1623036135</v>
      </c>
      <c r="H53" s="230">
        <f t="shared" si="6"/>
        <v>0.013103483757640921</v>
      </c>
      <c r="I53" s="248"/>
      <c r="J53" s="214">
        <v>2020</v>
      </c>
      <c r="K53" s="229">
        <f t="shared" si="7"/>
        <v>580104.2983396652</v>
      </c>
      <c r="L53" s="229">
        <f t="shared" si="16"/>
        <v>1935.3742429084086</v>
      </c>
      <c r="M53" s="228">
        <v>6610.888202483438</v>
      </c>
      <c r="N53" s="229">
        <f t="shared" si="8"/>
        <v>584779.8122992401</v>
      </c>
      <c r="O53" s="230">
        <f t="shared" si="9"/>
        <v>0.008059781616783335</v>
      </c>
      <c r="P53" s="248"/>
      <c r="Q53" s="214">
        <v>2020</v>
      </c>
      <c r="R53" s="229">
        <f t="shared" si="10"/>
        <v>5141115.326714547</v>
      </c>
      <c r="S53" s="229">
        <f t="shared" si="11"/>
        <v>7364.250290662138</v>
      </c>
      <c r="T53" s="228">
        <f t="shared" si="12"/>
        <v>71804.89817896803</v>
      </c>
      <c r="U53" s="229">
        <f t="shared" si="13"/>
        <v>5205555.974602853</v>
      </c>
      <c r="V53" s="230">
        <f t="shared" si="14"/>
        <v>0.012534371200244365</v>
      </c>
      <c r="W53" s="249"/>
      <c r="X53" s="25"/>
      <c r="Y53" s="257"/>
      <c r="Z53" s="214">
        <v>2020</v>
      </c>
      <c r="AA53" s="259">
        <f t="shared" si="17"/>
        <v>2385323.612292153</v>
      </c>
      <c r="AB53" s="259">
        <f t="shared" si="18"/>
        <v>179160.97569612876</v>
      </c>
      <c r="AC53" s="216"/>
      <c r="AF53" s="17"/>
    </row>
    <row r="54" spans="2:32" ht="12.75">
      <c r="B54" s="213"/>
      <c r="C54" s="214">
        <v>2021</v>
      </c>
      <c r="D54" s="229">
        <f t="shared" si="4"/>
        <v>4620776.1623036135</v>
      </c>
      <c r="E54" s="229">
        <f t="shared" si="15"/>
        <v>5416.548257534392</v>
      </c>
      <c r="F54" s="228">
        <v>63489.45797366316</v>
      </c>
      <c r="G54" s="229">
        <f t="shared" si="5"/>
        <v>4678849.072019742</v>
      </c>
      <c r="H54" s="230">
        <f t="shared" si="6"/>
        <v>0.012567782484226075</v>
      </c>
      <c r="I54" s="248"/>
      <c r="J54" s="214">
        <v>2021</v>
      </c>
      <c r="K54" s="229">
        <f t="shared" si="7"/>
        <v>584779.8122992401</v>
      </c>
      <c r="L54" s="229">
        <f t="shared" si="16"/>
        <v>1914.690924545721</v>
      </c>
      <c r="M54" s="228">
        <v>6891.247534818185</v>
      </c>
      <c r="N54" s="229">
        <f t="shared" si="8"/>
        <v>589756.3689095125</v>
      </c>
      <c r="O54" s="230">
        <f t="shared" si="9"/>
        <v>0.00851013750065266</v>
      </c>
      <c r="P54" s="248"/>
      <c r="Q54" s="214">
        <v>2021</v>
      </c>
      <c r="R54" s="229">
        <f t="shared" si="10"/>
        <v>5205555.974602853</v>
      </c>
      <c r="S54" s="229">
        <f t="shared" si="11"/>
        <v>7331.239182080113</v>
      </c>
      <c r="T54" s="228">
        <f t="shared" si="12"/>
        <v>70380.70550848135</v>
      </c>
      <c r="U54" s="229">
        <f t="shared" si="13"/>
        <v>5268605.4409292545</v>
      </c>
      <c r="V54" s="230">
        <f t="shared" si="14"/>
        <v>0.01211195627018724</v>
      </c>
      <c r="W54" s="249"/>
      <c r="X54" s="25"/>
      <c r="Y54" s="257"/>
      <c r="Z54" s="214">
        <v>2021</v>
      </c>
      <c r="AA54" s="259">
        <f t="shared" si="17"/>
        <v>2379907.0640346184</v>
      </c>
      <c r="AB54" s="259">
        <f t="shared" si="18"/>
        <v>177246.28477158304</v>
      </c>
      <c r="AC54" s="216"/>
      <c r="AF54" s="17"/>
    </row>
    <row r="55" spans="2:32" ht="12.75">
      <c r="B55" s="213"/>
      <c r="C55" s="214">
        <v>2022</v>
      </c>
      <c r="D55" s="229">
        <f t="shared" si="4"/>
        <v>4678849.072019742</v>
      </c>
      <c r="E55" s="229">
        <f t="shared" si="15"/>
        <v>5404.248461030889</v>
      </c>
      <c r="F55" s="228">
        <v>62361.584689413976</v>
      </c>
      <c r="G55" s="229">
        <f t="shared" si="5"/>
        <v>4735806.408248125</v>
      </c>
      <c r="H55" s="230">
        <f t="shared" si="6"/>
        <v>0.012173364721037139</v>
      </c>
      <c r="I55" s="248"/>
      <c r="J55" s="214">
        <v>2022</v>
      </c>
      <c r="K55" s="229">
        <f t="shared" si="7"/>
        <v>589756.3689095125</v>
      </c>
      <c r="L55" s="229">
        <f t="shared" si="16"/>
        <v>1894.2286485266523</v>
      </c>
      <c r="M55" s="228">
        <v>7172.622867069829</v>
      </c>
      <c r="N55" s="229">
        <f t="shared" si="8"/>
        <v>595034.7631280556</v>
      </c>
      <c r="O55" s="230">
        <f t="shared" si="9"/>
        <v>0.008950126690964177</v>
      </c>
      <c r="P55" s="248"/>
      <c r="Q55" s="214">
        <v>2022</v>
      </c>
      <c r="R55" s="229">
        <f t="shared" si="10"/>
        <v>5268605.4409292545</v>
      </c>
      <c r="S55" s="229">
        <f t="shared" si="11"/>
        <v>7298.477109557542</v>
      </c>
      <c r="T55" s="228">
        <f t="shared" si="12"/>
        <v>69534.2075564838</v>
      </c>
      <c r="U55" s="229">
        <f t="shared" si="13"/>
        <v>5330841.17137618</v>
      </c>
      <c r="V55" s="230">
        <f t="shared" si="14"/>
        <v>0.011812562383860747</v>
      </c>
      <c r="W55" s="249"/>
      <c r="X55" s="25"/>
      <c r="Y55" s="257"/>
      <c r="Z55" s="214">
        <v>2022</v>
      </c>
      <c r="AA55" s="259">
        <f t="shared" si="17"/>
        <v>2374502.8155735875</v>
      </c>
      <c r="AB55" s="259">
        <f t="shared" si="18"/>
        <v>175352.0561230564</v>
      </c>
      <c r="AC55" s="216"/>
      <c r="AF55" s="17"/>
    </row>
    <row r="56" spans="2:32" ht="12.75">
      <c r="B56" s="213"/>
      <c r="C56" s="214">
        <v>2023</v>
      </c>
      <c r="D56" s="229">
        <f t="shared" si="4"/>
        <v>4735806.408248125</v>
      </c>
      <c r="E56" s="229">
        <f t="shared" si="15"/>
        <v>5391.976594675332</v>
      </c>
      <c r="F56" s="228">
        <v>61548.37852459341</v>
      </c>
      <c r="G56" s="229">
        <f t="shared" si="5"/>
        <v>4791962.810178042</v>
      </c>
      <c r="H56" s="230">
        <f t="shared" si="6"/>
        <v>0.011857833088808833</v>
      </c>
      <c r="I56" s="248"/>
      <c r="J56" s="214">
        <v>2023</v>
      </c>
      <c r="K56" s="229">
        <f t="shared" si="7"/>
        <v>595034.7631280556</v>
      </c>
      <c r="L56" s="229">
        <f t="shared" si="16"/>
        <v>1873.985052574717</v>
      </c>
      <c r="M56" s="228">
        <v>7396.632507745986</v>
      </c>
      <c r="N56" s="229">
        <f t="shared" si="8"/>
        <v>600557.4105832268</v>
      </c>
      <c r="O56" s="230">
        <f t="shared" si="9"/>
        <v>0.009281218169740368</v>
      </c>
      <c r="P56" s="248"/>
      <c r="Q56" s="214">
        <v>2023</v>
      </c>
      <c r="R56" s="229">
        <f t="shared" si="10"/>
        <v>5330841.17137618</v>
      </c>
      <c r="S56" s="229">
        <f t="shared" si="11"/>
        <v>7265.961647250049</v>
      </c>
      <c r="T56" s="228">
        <f t="shared" si="12"/>
        <v>68945.0110323394</v>
      </c>
      <c r="U56" s="229">
        <f t="shared" si="13"/>
        <v>5392520.220761269</v>
      </c>
      <c r="V56" s="230">
        <f t="shared" si="14"/>
        <v>0.011570228300230356</v>
      </c>
      <c r="W56" s="249"/>
      <c r="X56" s="25"/>
      <c r="Y56" s="257"/>
      <c r="Z56" s="214">
        <v>2023</v>
      </c>
      <c r="AA56" s="259">
        <f t="shared" si="17"/>
        <v>2369110.838978912</v>
      </c>
      <c r="AB56" s="259">
        <f t="shared" si="18"/>
        <v>173478.07107048167</v>
      </c>
      <c r="AC56" s="216"/>
      <c r="AF56" s="17"/>
    </row>
    <row r="57" spans="2:32" ht="12.75">
      <c r="B57" s="213"/>
      <c r="C57" s="214">
        <v>2024</v>
      </c>
      <c r="D57" s="229">
        <f t="shared" si="4"/>
        <v>4791962.810178042</v>
      </c>
      <c r="E57" s="229">
        <f t="shared" si="15"/>
        <v>5379.732595044654</v>
      </c>
      <c r="F57" s="228">
        <v>60616.51093406797</v>
      </c>
      <c r="G57" s="229">
        <f t="shared" si="5"/>
        <v>4847199.588517066</v>
      </c>
      <c r="H57" s="230">
        <f t="shared" si="6"/>
        <v>0.011526963068599239</v>
      </c>
      <c r="I57" s="248"/>
      <c r="J57" s="214">
        <v>2024</v>
      </c>
      <c r="K57" s="229">
        <f t="shared" si="7"/>
        <v>600557.4105832268</v>
      </c>
      <c r="L57" s="229">
        <f t="shared" si="16"/>
        <v>1853.957799658965</v>
      </c>
      <c r="M57" s="228">
        <v>7519.05229430625</v>
      </c>
      <c r="N57" s="229">
        <f t="shared" si="8"/>
        <v>606222.505077874</v>
      </c>
      <c r="O57" s="230">
        <f t="shared" si="9"/>
        <v>0.009433060677988436</v>
      </c>
      <c r="P57" s="248"/>
      <c r="Q57" s="214">
        <v>2024</v>
      </c>
      <c r="R57" s="229">
        <f t="shared" si="10"/>
        <v>5392520.220761269</v>
      </c>
      <c r="S57" s="229">
        <f t="shared" si="11"/>
        <v>7233.690394703619</v>
      </c>
      <c r="T57" s="228">
        <f t="shared" si="12"/>
        <v>68135.56322837422</v>
      </c>
      <c r="U57" s="229">
        <f t="shared" si="13"/>
        <v>5453422.09359494</v>
      </c>
      <c r="V57" s="230">
        <f t="shared" si="14"/>
        <v>0.011293768097372814</v>
      </c>
      <c r="W57" s="249"/>
      <c r="X57" s="25"/>
      <c r="Y57" s="257"/>
      <c r="Z57" s="214">
        <v>2024</v>
      </c>
      <c r="AA57" s="259">
        <f t="shared" si="17"/>
        <v>2363731.1063838676</v>
      </c>
      <c r="AB57" s="259">
        <f t="shared" si="18"/>
        <v>171624.1132708227</v>
      </c>
      <c r="AC57" s="216"/>
      <c r="AF57" s="17"/>
    </row>
    <row r="58" spans="2:32" ht="12.75">
      <c r="B58" s="213"/>
      <c r="C58" s="214">
        <v>2025</v>
      </c>
      <c r="D58" s="229">
        <f t="shared" si="4"/>
        <v>4847199.588517066</v>
      </c>
      <c r="E58" s="229">
        <f t="shared" si="15"/>
        <v>5367.51639885921</v>
      </c>
      <c r="F58" s="228">
        <v>60409.75564321208</v>
      </c>
      <c r="G58" s="229">
        <f t="shared" si="5"/>
        <v>4902241.827761419</v>
      </c>
      <c r="H58" s="230">
        <f t="shared" si="6"/>
        <v>0.011355472007950063</v>
      </c>
      <c r="I58" s="248"/>
      <c r="J58" s="214">
        <v>2025</v>
      </c>
      <c r="K58" s="229">
        <f t="shared" si="7"/>
        <v>606222.505077874</v>
      </c>
      <c r="L58" s="229">
        <f t="shared" si="16"/>
        <v>1834.1445777243061</v>
      </c>
      <c r="M58" s="228">
        <v>7514.795429386129</v>
      </c>
      <c r="N58" s="229">
        <f t="shared" si="8"/>
        <v>611903.1559295359</v>
      </c>
      <c r="O58" s="230">
        <f t="shared" si="9"/>
        <v>0.009370570713028936</v>
      </c>
      <c r="P58" s="248"/>
      <c r="Q58" s="214">
        <v>2025</v>
      </c>
      <c r="R58" s="229">
        <f t="shared" si="10"/>
        <v>5453422.09359494</v>
      </c>
      <c r="S58" s="229">
        <f t="shared" si="11"/>
        <v>7201.6609765835165</v>
      </c>
      <c r="T58" s="228">
        <f t="shared" si="12"/>
        <v>67924.5510725982</v>
      </c>
      <c r="U58" s="229">
        <f t="shared" si="13"/>
        <v>5514144.983690956</v>
      </c>
      <c r="V58" s="230">
        <f t="shared" si="14"/>
        <v>0.011134823062262988</v>
      </c>
      <c r="W58" s="249"/>
      <c r="X58" s="25"/>
      <c r="Y58" s="257"/>
      <c r="Z58" s="214">
        <v>2025</v>
      </c>
      <c r="AA58" s="259">
        <f t="shared" si="17"/>
        <v>2358363.5899850084</v>
      </c>
      <c r="AB58" s="259">
        <f t="shared" si="18"/>
        <v>169789.9686930984</v>
      </c>
      <c r="AC58" s="216"/>
      <c r="AF58" s="17"/>
    </row>
    <row r="59" spans="2:32" ht="12.75">
      <c r="B59" s="213"/>
      <c r="C59" s="214">
        <v>2026</v>
      </c>
      <c r="D59" s="229">
        <f t="shared" si="4"/>
        <v>4902241.827761419</v>
      </c>
      <c r="E59" s="229">
        <f t="shared" si="15"/>
        <v>5355.327942983247</v>
      </c>
      <c r="F59" s="228">
        <v>59860.41559861986</v>
      </c>
      <c r="G59" s="229">
        <f t="shared" si="5"/>
        <v>4956746.915417056</v>
      </c>
      <c r="H59" s="230">
        <f t="shared" si="6"/>
        <v>0.011118400432017506</v>
      </c>
      <c r="I59" s="248"/>
      <c r="J59" s="214">
        <v>2026</v>
      </c>
      <c r="K59" s="229">
        <f t="shared" si="7"/>
        <v>611903.1559295359</v>
      </c>
      <c r="L59" s="229">
        <f t="shared" si="16"/>
        <v>1814.5430994245398</v>
      </c>
      <c r="M59" s="228">
        <v>7381.417506762778</v>
      </c>
      <c r="N59" s="229">
        <f t="shared" si="8"/>
        <v>617470.0303368741</v>
      </c>
      <c r="O59" s="230">
        <f t="shared" si="9"/>
        <v>0.009097639640184063</v>
      </c>
      <c r="P59" s="248"/>
      <c r="Q59" s="214">
        <v>2026</v>
      </c>
      <c r="R59" s="229">
        <f t="shared" si="10"/>
        <v>5514144.983690956</v>
      </c>
      <c r="S59" s="229">
        <f t="shared" si="11"/>
        <v>7169.871042407787</v>
      </c>
      <c r="T59" s="228">
        <f t="shared" si="12"/>
        <v>67241.83310538264</v>
      </c>
      <c r="U59" s="229">
        <f t="shared" si="13"/>
        <v>5574216.94575393</v>
      </c>
      <c r="V59" s="230">
        <f t="shared" si="14"/>
        <v>0.010894157161381868</v>
      </c>
      <c r="W59" s="249"/>
      <c r="X59" s="25"/>
      <c r="Y59" s="257"/>
      <c r="Z59" s="214">
        <v>2026</v>
      </c>
      <c r="AA59" s="259">
        <f t="shared" si="17"/>
        <v>2353008.262042025</v>
      </c>
      <c r="AB59" s="259">
        <f t="shared" si="18"/>
        <v>167975.42559367386</v>
      </c>
      <c r="AC59" s="216"/>
      <c r="AF59" s="17"/>
    </row>
    <row r="60" spans="2:32" ht="12.75">
      <c r="B60" s="213"/>
      <c r="C60" s="214">
        <v>2027</v>
      </c>
      <c r="D60" s="229">
        <f t="shared" si="4"/>
        <v>4956746.915417056</v>
      </c>
      <c r="E60" s="229">
        <f t="shared" si="15"/>
        <v>5343.167164425366</v>
      </c>
      <c r="F60" s="228">
        <v>58686.12152096466</v>
      </c>
      <c r="G60" s="229">
        <f t="shared" si="5"/>
        <v>5010089.869773595</v>
      </c>
      <c r="H60" s="230">
        <f t="shared" si="6"/>
        <v>0.010761686095092982</v>
      </c>
      <c r="I60" s="248"/>
      <c r="J60" s="214">
        <v>2027</v>
      </c>
      <c r="K60" s="229">
        <f t="shared" si="7"/>
        <v>617470.0303368741</v>
      </c>
      <c r="L60" s="229">
        <f t="shared" si="16"/>
        <v>1795.151101858297</v>
      </c>
      <c r="M60" s="228">
        <v>7141.11130478421</v>
      </c>
      <c r="N60" s="229">
        <f t="shared" si="8"/>
        <v>622815.9905397999</v>
      </c>
      <c r="O60" s="230">
        <f t="shared" si="9"/>
        <v>0.008657845628571303</v>
      </c>
      <c r="P60" s="248"/>
      <c r="Q60" s="214">
        <v>2027</v>
      </c>
      <c r="R60" s="229">
        <f t="shared" si="10"/>
        <v>5574216.94575393</v>
      </c>
      <c r="S60" s="229">
        <f t="shared" si="11"/>
        <v>7138.3182662836625</v>
      </c>
      <c r="T60" s="228">
        <f t="shared" si="12"/>
        <v>65827.23282574887</v>
      </c>
      <c r="U60" s="229">
        <f t="shared" si="13"/>
        <v>5632905.860313395</v>
      </c>
      <c r="V60" s="230">
        <f t="shared" si="14"/>
        <v>0.010528638395419954</v>
      </c>
      <c r="W60" s="249"/>
      <c r="X60" s="25"/>
      <c r="Y60" s="257"/>
      <c r="Z60" s="214">
        <v>2027</v>
      </c>
      <c r="AA60" s="259">
        <f t="shared" si="17"/>
        <v>2347665.0948775997</v>
      </c>
      <c r="AB60" s="259">
        <f t="shared" si="18"/>
        <v>166180.27449181557</v>
      </c>
      <c r="AC60" s="216"/>
      <c r="AF60" s="17"/>
    </row>
    <row r="61" spans="2:32" ht="12.75">
      <c r="B61" s="213"/>
      <c r="C61" s="214">
        <v>2028</v>
      </c>
      <c r="D61" s="229">
        <f t="shared" si="4"/>
        <v>5010089.869773595</v>
      </c>
      <c r="E61" s="229">
        <f t="shared" si="15"/>
        <v>5331.034000336193</v>
      </c>
      <c r="F61" s="228">
        <v>57157.94368927572</v>
      </c>
      <c r="G61" s="229">
        <f t="shared" si="5"/>
        <v>5061916.779462534</v>
      </c>
      <c r="H61" s="230">
        <f t="shared" si="6"/>
        <v>0.01034450699210332</v>
      </c>
      <c r="I61" s="248"/>
      <c r="J61" s="214">
        <v>2028</v>
      </c>
      <c r="K61" s="229">
        <f t="shared" si="7"/>
        <v>622815.9905397999</v>
      </c>
      <c r="L61" s="229">
        <f t="shared" si="16"/>
        <v>1775.9663463078032</v>
      </c>
      <c r="M61" s="228">
        <v>6832.650727621904</v>
      </c>
      <c r="N61" s="229">
        <f t="shared" si="8"/>
        <v>627872.674921114</v>
      </c>
      <c r="O61" s="230">
        <f t="shared" si="9"/>
        <v>0.00811906639861859</v>
      </c>
      <c r="P61" s="248"/>
      <c r="Q61" s="214">
        <v>2028</v>
      </c>
      <c r="R61" s="229">
        <f t="shared" si="10"/>
        <v>5632905.860313395</v>
      </c>
      <c r="S61" s="229">
        <f t="shared" si="11"/>
        <v>7107.000346643996</v>
      </c>
      <c r="T61" s="228">
        <f t="shared" si="12"/>
        <v>63990.59441689763</v>
      </c>
      <c r="U61" s="229">
        <f t="shared" si="13"/>
        <v>5689789.454383649</v>
      </c>
      <c r="V61" s="230">
        <f t="shared" si="14"/>
        <v>0.010098445718936366</v>
      </c>
      <c r="W61" s="249"/>
      <c r="X61" s="25"/>
      <c r="Y61" s="257"/>
      <c r="Z61" s="214">
        <v>2028</v>
      </c>
      <c r="AA61" s="259">
        <f t="shared" si="17"/>
        <v>2342334.0608772635</v>
      </c>
      <c r="AB61" s="259">
        <f t="shared" si="18"/>
        <v>164404.30814550776</v>
      </c>
      <c r="AC61" s="216"/>
      <c r="AF61" s="17"/>
    </row>
    <row r="62" spans="2:32" ht="12.75">
      <c r="B62" s="213"/>
      <c r="C62" s="214">
        <v>2029</v>
      </c>
      <c r="D62" s="229">
        <f t="shared" si="4"/>
        <v>5061916.779462534</v>
      </c>
      <c r="E62" s="229">
        <f t="shared" si="15"/>
        <v>5318.928388008848</v>
      </c>
      <c r="F62" s="228">
        <v>56115.99596770128</v>
      </c>
      <c r="G62" s="229">
        <f t="shared" si="5"/>
        <v>5112713.847042226</v>
      </c>
      <c r="H62" s="230">
        <f t="shared" si="6"/>
        <v>0.01003514474710232</v>
      </c>
      <c r="I62" s="248"/>
      <c r="J62" s="214">
        <v>2029</v>
      </c>
      <c r="K62" s="229">
        <f t="shared" si="7"/>
        <v>627872.674921114</v>
      </c>
      <c r="L62" s="229">
        <f t="shared" si="16"/>
        <v>1756.9866179804667</v>
      </c>
      <c r="M62" s="228">
        <v>6504.892481846382</v>
      </c>
      <c r="N62" s="229">
        <f t="shared" si="8"/>
        <v>632620.5807849799</v>
      </c>
      <c r="O62" s="230">
        <f t="shared" si="9"/>
        <v>0.007561892806471349</v>
      </c>
      <c r="P62" s="248"/>
      <c r="Q62" s="214">
        <v>2029</v>
      </c>
      <c r="R62" s="229">
        <f t="shared" si="10"/>
        <v>5689789.454383649</v>
      </c>
      <c r="S62" s="229">
        <f t="shared" si="11"/>
        <v>7075.9150059893145</v>
      </c>
      <c r="T62" s="228">
        <f t="shared" si="12"/>
        <v>62620.88844954767</v>
      </c>
      <c r="U62" s="229">
        <f t="shared" si="13"/>
        <v>5745334.427827207</v>
      </c>
      <c r="V62" s="230">
        <f t="shared" si="14"/>
        <v>0.009762219479099388</v>
      </c>
      <c r="W62" s="249"/>
      <c r="X62" s="25"/>
      <c r="Y62" s="257"/>
      <c r="Z62" s="214">
        <v>2029</v>
      </c>
      <c r="AA62" s="259">
        <f t="shared" si="17"/>
        <v>2337015.1324892547</v>
      </c>
      <c r="AB62" s="259">
        <f t="shared" si="18"/>
        <v>162647.3215275273</v>
      </c>
      <c r="AC62" s="216"/>
      <c r="AF62" s="17"/>
    </row>
    <row r="63" spans="2:32" ht="12.75">
      <c r="B63" s="213"/>
      <c r="C63" s="214">
        <v>2030</v>
      </c>
      <c r="D63" s="229">
        <f t="shared" si="4"/>
        <v>5112713.847042226</v>
      </c>
      <c r="E63" s="229">
        <f t="shared" si="15"/>
        <v>5306.850264879875</v>
      </c>
      <c r="F63" s="228">
        <v>55890.65418282927</v>
      </c>
      <c r="G63" s="229">
        <f t="shared" si="5"/>
        <v>5163297.650960175</v>
      </c>
      <c r="H63" s="230">
        <f t="shared" si="6"/>
        <v>0.00989372873805805</v>
      </c>
      <c r="I63" s="248"/>
      <c r="J63" s="214">
        <v>2030</v>
      </c>
      <c r="K63" s="229">
        <f t="shared" si="7"/>
        <v>632620.5807849799</v>
      </c>
      <c r="L63" s="229">
        <f t="shared" si="16"/>
        <v>1738.209725753084</v>
      </c>
      <c r="M63" s="228">
        <v>6208.500299153851</v>
      </c>
      <c r="N63" s="229">
        <f t="shared" si="8"/>
        <v>637090.8713583807</v>
      </c>
      <c r="O63" s="230">
        <f t="shared" si="9"/>
        <v>0.007066305948905338</v>
      </c>
      <c r="P63" s="248"/>
      <c r="Q63" s="214">
        <v>2030</v>
      </c>
      <c r="R63" s="229">
        <f t="shared" si="10"/>
        <v>5745334.427827207</v>
      </c>
      <c r="S63" s="229">
        <f t="shared" si="11"/>
        <v>7045.059990632959</v>
      </c>
      <c r="T63" s="228">
        <f t="shared" si="12"/>
        <v>62099.15448198312</v>
      </c>
      <c r="U63" s="229">
        <f t="shared" si="13"/>
        <v>5800388.522318557</v>
      </c>
      <c r="V63" s="230">
        <f t="shared" si="14"/>
        <v>0.009582400325505613</v>
      </c>
      <c r="W63" s="249"/>
      <c r="X63" s="25"/>
      <c r="Y63" s="257"/>
      <c r="Z63" s="214">
        <v>2030</v>
      </c>
      <c r="AA63" s="259">
        <f t="shared" si="17"/>
        <v>2331708.282224375</v>
      </c>
      <c r="AB63" s="259">
        <f t="shared" si="18"/>
        <v>160909.1118017742</v>
      </c>
      <c r="AC63" s="216"/>
      <c r="AF63" s="17"/>
    </row>
    <row r="64" spans="2:32" ht="12.75">
      <c r="B64" s="213"/>
      <c r="C64" s="214">
        <v>2031</v>
      </c>
      <c r="D64" s="229">
        <f>G63</f>
        <v>5163297.650960175</v>
      </c>
      <c r="E64" s="229">
        <f t="shared" si="15"/>
        <v>5294.7995685269125</v>
      </c>
      <c r="F64" s="229">
        <f>F63*(1+$N$7)</f>
        <v>56449.56072465756</v>
      </c>
      <c r="G64" s="229">
        <f>D64-E64+F64</f>
        <v>5214452.412116307</v>
      </c>
      <c r="H64" s="230">
        <f t="shared" si="6"/>
        <v>0.00990738179632511</v>
      </c>
      <c r="I64" s="248"/>
      <c r="J64" s="214">
        <v>2031</v>
      </c>
      <c r="K64" s="229">
        <f>N63</f>
        <v>637090.8713583807</v>
      </c>
      <c r="L64" s="229">
        <f t="shared" si="16"/>
        <v>1719.6335019190446</v>
      </c>
      <c r="M64" s="229">
        <f>M63*(1+$N$7)</f>
        <v>6270.5853021453895</v>
      </c>
      <c r="N64" s="229">
        <f>K64-L64+M64</f>
        <v>641641.823158607</v>
      </c>
      <c r="O64" s="230">
        <f t="shared" si="9"/>
        <v>0.007143332301282168</v>
      </c>
      <c r="P64" s="248"/>
      <c r="Q64" s="214">
        <v>2031</v>
      </c>
      <c r="R64" s="229">
        <f>U63</f>
        <v>5800388.522318557</v>
      </c>
      <c r="S64" s="229">
        <f t="shared" si="11"/>
        <v>7014.433070445957</v>
      </c>
      <c r="T64" s="228">
        <f t="shared" si="12"/>
        <v>62720.14602680295</v>
      </c>
      <c r="U64" s="229">
        <f>R64-S64+T64</f>
        <v>5856094.235274914</v>
      </c>
      <c r="V64" s="230">
        <f t="shared" si="14"/>
        <v>0.009603789943038121</v>
      </c>
      <c r="W64" s="249"/>
      <c r="X64" s="25"/>
      <c r="Y64" s="257"/>
      <c r="Z64" s="214">
        <v>2031</v>
      </c>
      <c r="AA64" s="259">
        <f t="shared" si="17"/>
        <v>2326413.482655848</v>
      </c>
      <c r="AB64" s="259">
        <f t="shared" si="18"/>
        <v>159189.47829985517</v>
      </c>
      <c r="AC64" s="216"/>
      <c r="AF64" s="17"/>
    </row>
    <row r="65" spans="2:32" ht="12.75">
      <c r="B65" s="213"/>
      <c r="C65" s="214">
        <v>2032</v>
      </c>
      <c r="D65" s="229">
        <f>G64</f>
        <v>5214452.412116307</v>
      </c>
      <c r="E65" s="229">
        <f t="shared" si="15"/>
        <v>5282.776236670092</v>
      </c>
      <c r="F65" s="229">
        <f>F64*(1+$N$7)</f>
        <v>57014.05633190414</v>
      </c>
      <c r="G65" s="229">
        <f>D65-E65+F65</f>
        <v>5266183.69221154</v>
      </c>
      <c r="H65" s="230">
        <f t="shared" si="6"/>
        <v>0.009920750254625244</v>
      </c>
      <c r="I65" s="248"/>
      <c r="J65" s="214">
        <v>2032</v>
      </c>
      <c r="K65" s="229">
        <f>N64</f>
        <v>641641.823158607</v>
      </c>
      <c r="L65" s="229">
        <f t="shared" si="16"/>
        <v>1701.2558019379212</v>
      </c>
      <c r="M65" s="229">
        <f>M64*(1+$N$7)</f>
        <v>6333.291155166843</v>
      </c>
      <c r="N65" s="229">
        <f>K65-L65+M65</f>
        <v>646273.8585118359</v>
      </c>
      <c r="O65" s="230">
        <f t="shared" si="9"/>
        <v>0.007219035895177139</v>
      </c>
      <c r="P65" s="248"/>
      <c r="Q65" s="214">
        <v>2032</v>
      </c>
      <c r="R65" s="229">
        <f>U64</f>
        <v>5856094.235274914</v>
      </c>
      <c r="S65" s="229">
        <f t="shared" si="11"/>
        <v>6984.032038608013</v>
      </c>
      <c r="T65" s="228">
        <f t="shared" si="12"/>
        <v>63347.34748707098</v>
      </c>
      <c r="U65" s="229">
        <f>R65-S65+T65</f>
        <v>5912457.550723377</v>
      </c>
      <c r="V65" s="230">
        <f t="shared" si="14"/>
        <v>0.009624728220552159</v>
      </c>
      <c r="W65" s="249"/>
      <c r="X65" s="25"/>
      <c r="Y65" s="257"/>
      <c r="Z65" s="214">
        <v>2032</v>
      </c>
      <c r="AA65" s="259">
        <f t="shared" si="17"/>
        <v>2321130.706419178</v>
      </c>
      <c r="AB65" s="259">
        <f t="shared" si="18"/>
        <v>157488.22249791725</v>
      </c>
      <c r="AC65" s="216"/>
      <c r="AF65" s="17"/>
    </row>
    <row r="66" spans="2:32" ht="12.75">
      <c r="B66" s="213"/>
      <c r="C66" s="214">
        <v>2033</v>
      </c>
      <c r="D66" s="229">
        <f>G65</f>
        <v>5266183.69221154</v>
      </c>
      <c r="E66" s="229">
        <f t="shared" si="15"/>
        <v>5270.7802071701735</v>
      </c>
      <c r="F66" s="229">
        <f>F65*(1+$N$7)</f>
        <v>57584.196895223184</v>
      </c>
      <c r="G66" s="229">
        <f>D66-E66+F66</f>
        <v>5318497.108899593</v>
      </c>
      <c r="H66" s="230">
        <f t="shared" si="6"/>
        <v>0.00993383819205218</v>
      </c>
      <c r="I66" s="248"/>
      <c r="J66" s="214">
        <v>2033</v>
      </c>
      <c r="K66" s="229">
        <f>N65</f>
        <v>646273.8585118359</v>
      </c>
      <c r="L66" s="229">
        <f t="shared" si="16"/>
        <v>1683.074504188</v>
      </c>
      <c r="M66" s="229">
        <f>M65*(1+$N$7)</f>
        <v>6396.624066718511</v>
      </c>
      <c r="N66" s="229">
        <f>K66-L66+M66</f>
        <v>650987.4080743664</v>
      </c>
      <c r="O66" s="230">
        <f t="shared" si="9"/>
        <v>0.007293424452265995</v>
      </c>
      <c r="P66" s="248"/>
      <c r="Q66" s="214">
        <v>2033</v>
      </c>
      <c r="R66" s="229">
        <f>U65</f>
        <v>5912457.550723377</v>
      </c>
      <c r="S66" s="229">
        <f t="shared" si="11"/>
        <v>6953.8547113581735</v>
      </c>
      <c r="T66" s="228">
        <f t="shared" si="12"/>
        <v>63980.820961941696</v>
      </c>
      <c r="U66" s="229">
        <f>R66-S66+T66</f>
        <v>5969484.51697396</v>
      </c>
      <c r="V66" s="230">
        <f t="shared" si="14"/>
        <v>0.009645222102881101</v>
      </c>
      <c r="W66" s="249"/>
      <c r="X66" s="25"/>
      <c r="Y66" s="257"/>
      <c r="Z66" s="214">
        <v>2033</v>
      </c>
      <c r="AA66" s="259">
        <f t="shared" si="17"/>
        <v>2315859.9262120076</v>
      </c>
      <c r="AB66" s="259">
        <f t="shared" si="18"/>
        <v>155805.14799372925</v>
      </c>
      <c r="AC66" s="216"/>
      <c r="AF66" s="17"/>
    </row>
    <row r="67" spans="2:32" ht="12.75">
      <c r="B67" s="213"/>
      <c r="C67" s="214">
        <v>2034</v>
      </c>
      <c r="D67" s="229">
        <f>G66</f>
        <v>5318497.108899593</v>
      </c>
      <c r="E67" s="229">
        <f t="shared" si="15"/>
        <v>5258.81141802948</v>
      </c>
      <c r="F67" s="229">
        <f>F66*(1+$N$7)</f>
        <v>58160.03886417542</v>
      </c>
      <c r="G67" s="229">
        <f>D67-E67+F67</f>
        <v>5371398.33634574</v>
      </c>
      <c r="H67" s="230">
        <f t="shared" si="6"/>
        <v>0.009946649657405215</v>
      </c>
      <c r="I67" s="248"/>
      <c r="J67" s="214">
        <v>2034</v>
      </c>
      <c r="K67" s="229">
        <f>N66</f>
        <v>650987.4080743664</v>
      </c>
      <c r="L67" s="229">
        <f t="shared" si="16"/>
        <v>1665.0875097212556</v>
      </c>
      <c r="M67" s="229">
        <f>M66*(1+$N$7)</f>
        <v>6460.590307385696</v>
      </c>
      <c r="N67" s="229">
        <f>K67-L67+M67</f>
        <v>655782.9108720308</v>
      </c>
      <c r="O67" s="230">
        <f t="shared" si="9"/>
        <v>0.0073665062306651485</v>
      </c>
      <c r="P67" s="248"/>
      <c r="Q67" s="214">
        <v>2034</v>
      </c>
      <c r="R67" s="229">
        <f>U66</f>
        <v>5969484.51697396</v>
      </c>
      <c r="S67" s="229">
        <f t="shared" si="11"/>
        <v>6923.898927750735</v>
      </c>
      <c r="T67" s="228">
        <f t="shared" si="12"/>
        <v>64620.629171561115</v>
      </c>
      <c r="U67" s="229">
        <f>R67-S67+T67</f>
        <v>6027181.247217771</v>
      </c>
      <c r="V67" s="230">
        <f t="shared" si="14"/>
        <v>0.009665278480872619</v>
      </c>
      <c r="W67" s="249"/>
      <c r="X67" s="25"/>
      <c r="Y67" s="257"/>
      <c r="Z67" s="214">
        <v>2034</v>
      </c>
      <c r="AA67" s="259">
        <f t="shared" si="17"/>
        <v>2310601.114793978</v>
      </c>
      <c r="AB67" s="259">
        <f t="shared" si="18"/>
        <v>154140.060484008</v>
      </c>
      <c r="AC67" s="216"/>
      <c r="AF67" s="17"/>
    </row>
    <row r="68" spans="2:32" ht="13.5" thickBot="1">
      <c r="B68" s="219"/>
      <c r="C68" s="220"/>
      <c r="D68" s="220"/>
      <c r="E68" s="220"/>
      <c r="F68" s="220"/>
      <c r="G68" s="220"/>
      <c r="H68" s="235"/>
      <c r="I68" s="220"/>
      <c r="J68" s="220"/>
      <c r="K68" s="220"/>
      <c r="L68" s="220"/>
      <c r="M68" s="220"/>
      <c r="N68" s="220"/>
      <c r="O68" s="220"/>
      <c r="P68" s="220"/>
      <c r="Q68" s="235"/>
      <c r="R68" s="220"/>
      <c r="S68" s="220"/>
      <c r="T68" s="220"/>
      <c r="U68" s="220"/>
      <c r="V68" s="220"/>
      <c r="W68" s="221"/>
      <c r="X68" s="17"/>
      <c r="Y68" s="219"/>
      <c r="Z68" s="235"/>
      <c r="AA68" s="220"/>
      <c r="AB68" s="220"/>
      <c r="AC68" s="221"/>
      <c r="AF68" s="17"/>
    </row>
    <row r="69" spans="17:32" ht="12.75">
      <c r="Q69" s="19"/>
      <c r="X69" s="17"/>
      <c r="Z69" s="19"/>
      <c r="AF69" s="17"/>
    </row>
    <row r="70" spans="17:32" ht="12.75">
      <c r="Q70" s="19"/>
      <c r="X70" s="17"/>
      <c r="Z70" s="19"/>
      <c r="AF70" s="17"/>
    </row>
    <row r="71" spans="17:32" ht="12.75">
      <c r="Q71" s="19"/>
      <c r="X71" s="17"/>
      <c r="Z71" s="19"/>
      <c r="AF71" s="17"/>
    </row>
    <row r="72" spans="17:32" ht="12.75">
      <c r="Q72" s="19"/>
      <c r="X72" s="17"/>
      <c r="Z72" s="19"/>
      <c r="AF72" s="17"/>
    </row>
    <row r="73" spans="17:32" ht="12.75">
      <c r="Q73" s="19"/>
      <c r="X73" s="17"/>
      <c r="Z73" s="19"/>
      <c r="AF73" s="17"/>
    </row>
    <row r="74" spans="17:32" ht="12.75">
      <c r="Q74" s="19"/>
      <c r="X74" s="17"/>
      <c r="Z74" s="19"/>
      <c r="AF74" s="17"/>
    </row>
    <row r="75" spans="17:32" ht="12.75">
      <c r="Q75" s="19"/>
      <c r="X75" s="17"/>
      <c r="Z75" s="19"/>
      <c r="AF75" s="17"/>
    </row>
    <row r="76" spans="17:32" ht="12.75">
      <c r="Q76" s="19"/>
      <c r="X76" s="17"/>
      <c r="Z76" s="19"/>
      <c r="AF76" s="17"/>
    </row>
    <row r="77" spans="17:32" ht="12.75">
      <c r="Q77" s="19"/>
      <c r="X77" s="17"/>
      <c r="Z77" s="19"/>
      <c r="AF77" s="17"/>
    </row>
    <row r="78" spans="17:32" ht="12.75">
      <c r="Q78" s="19"/>
      <c r="X78" s="17"/>
      <c r="Z78" s="19"/>
      <c r="AF78" s="17"/>
    </row>
    <row r="79" spans="17:32" ht="12.75">
      <c r="Q79" s="19"/>
      <c r="X79" s="17"/>
      <c r="Z79" s="19"/>
      <c r="AF79" s="17"/>
    </row>
    <row r="80" spans="17:32" ht="12.75">
      <c r="Q80" s="19"/>
      <c r="X80" s="17"/>
      <c r="Z80" s="19"/>
      <c r="AF80" s="17"/>
    </row>
  </sheetData>
  <mergeCells count="2">
    <mergeCell ref="B2:D2"/>
    <mergeCell ref="B4:D4"/>
  </mergeCells>
  <dataValidations count="1">
    <dataValidation type="list" allowBlank="1" showInputMessage="1" showErrorMessage="1" sqref="G7">
      <formula1>'Constants and Menus'!$C$8:$C$9</formula1>
    </dataValidation>
  </dataValidations>
  <hyperlinks>
    <hyperlink ref="B4:D4" location="Navigation!A1" display="NAVIGATION"/>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H11"/>
  <sheetViews>
    <sheetView workbookViewId="0" topLeftCell="A1">
      <selection activeCell="D10" sqref="D10"/>
    </sheetView>
  </sheetViews>
  <sheetFormatPr defaultColWidth="9.140625" defaultRowHeight="12.75"/>
  <cols>
    <col min="1" max="2" width="3.7109375" style="17" customWidth="1"/>
    <col min="3" max="3" width="17.00390625" style="17" customWidth="1"/>
    <col min="4" max="6" width="22.7109375" style="17" customWidth="1"/>
    <col min="7" max="7" width="62.421875" style="17" customWidth="1"/>
    <col min="8" max="8" width="3.7109375" style="17" customWidth="1"/>
    <col min="9" max="16384" width="9.140625" style="17" customWidth="1"/>
  </cols>
  <sheetData>
    <row r="1" ht="13.5" thickBot="1"/>
    <row r="2" spans="2:3" ht="13.5" thickBot="1">
      <c r="B2" s="907" t="s">
        <v>51</v>
      </c>
      <c r="C2" s="908"/>
    </row>
    <row r="3" ht="13.5" thickBot="1"/>
    <row r="4" spans="2:3" ht="13.5" thickBot="1">
      <c r="B4" s="907" t="s">
        <v>24</v>
      </c>
      <c r="C4" s="908"/>
    </row>
    <row r="5" ht="13.5" thickBot="1"/>
    <row r="6" spans="2:8" ht="12.75">
      <c r="B6" s="210"/>
      <c r="C6" s="211"/>
      <c r="D6" s="211"/>
      <c r="E6" s="211"/>
      <c r="F6" s="211"/>
      <c r="G6" s="211"/>
      <c r="H6" s="212"/>
    </row>
    <row r="7" spans="2:8" ht="12.75">
      <c r="B7" s="213"/>
      <c r="C7" s="214" t="s">
        <v>107</v>
      </c>
      <c r="D7" s="261" t="s">
        <v>52</v>
      </c>
      <c r="E7" s="214" t="s">
        <v>48</v>
      </c>
      <c r="F7" s="214" t="s">
        <v>49</v>
      </c>
      <c r="G7" s="218"/>
      <c r="H7" s="216"/>
    </row>
    <row r="8" spans="2:8" ht="39.95" customHeight="1">
      <c r="B8" s="213"/>
      <c r="C8" s="269" t="s">
        <v>171</v>
      </c>
      <c r="D8" s="270">
        <v>21</v>
      </c>
      <c r="E8" s="271">
        <f aca="true" t="shared" si="0" ref="E8:F10">$D8</f>
        <v>21</v>
      </c>
      <c r="F8" s="271">
        <f t="shared" si="0"/>
        <v>21</v>
      </c>
      <c r="G8" s="659" t="s">
        <v>108</v>
      </c>
      <c r="H8" s="216"/>
    </row>
    <row r="9" spans="2:8" ht="39.95" customHeight="1">
      <c r="B9" s="213"/>
      <c r="C9" s="269" t="s">
        <v>172</v>
      </c>
      <c r="D9" s="271">
        <f>(E9*'Housing Stock'!G43+F9*'Housing Stock'!N43)/('Housing Stock'!G43+'Housing Stock'!N43)</f>
        <v>21.92748558952712</v>
      </c>
      <c r="E9" s="270">
        <v>22.6</v>
      </c>
      <c r="F9" s="270">
        <v>16.9</v>
      </c>
      <c r="G9" s="659" t="s">
        <v>108</v>
      </c>
      <c r="H9" s="216"/>
    </row>
    <row r="10" spans="2:8" ht="39.95" customHeight="1">
      <c r="B10" s="213"/>
      <c r="C10" s="269" t="s">
        <v>173</v>
      </c>
      <c r="D10" s="270">
        <v>16.24</v>
      </c>
      <c r="E10" s="271">
        <f t="shared" si="0"/>
        <v>16.24</v>
      </c>
      <c r="F10" s="271">
        <f t="shared" si="0"/>
        <v>16.24</v>
      </c>
      <c r="G10" s="659" t="s">
        <v>55</v>
      </c>
      <c r="H10" s="216"/>
    </row>
    <row r="11" spans="2:8" ht="13.5" thickBot="1">
      <c r="B11" s="219"/>
      <c r="C11" s="220"/>
      <c r="D11" s="220"/>
      <c r="E11" s="220"/>
      <c r="F11" s="220"/>
      <c r="G11" s="220"/>
      <c r="H11" s="221"/>
    </row>
  </sheetData>
  <mergeCells count="2">
    <mergeCell ref="B2:C2"/>
    <mergeCell ref="B4:C4"/>
  </mergeCells>
  <hyperlinks>
    <hyperlink ref="B4:C4" location="Navigation!A1" display="NAVIGATION"/>
  </hyperlink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O116"/>
  <sheetViews>
    <sheetView zoomScale="115" zoomScaleNormal="115" workbookViewId="0" topLeftCell="A17">
      <selection activeCell="D39" sqref="D39"/>
    </sheetView>
  </sheetViews>
  <sheetFormatPr defaultColWidth="9.140625" defaultRowHeight="12.75"/>
  <cols>
    <col min="1" max="2" width="3.7109375" style="26" customWidth="1"/>
    <col min="3" max="3" width="45.7109375" style="26" customWidth="1"/>
    <col min="4" max="4" width="9.7109375" style="26" customWidth="1"/>
    <col min="5" max="7" width="3.7109375" style="26" customWidth="1"/>
    <col min="8" max="8" width="45.7109375" style="26" customWidth="1"/>
    <col min="9" max="9" width="9.7109375" style="26" customWidth="1"/>
    <col min="10" max="12" width="3.7109375" style="26" customWidth="1"/>
    <col min="13" max="13" width="45.7109375" style="26" customWidth="1"/>
    <col min="14" max="14" width="9.7109375" style="26" customWidth="1"/>
    <col min="15" max="26" width="3.7109375" style="26" customWidth="1"/>
    <col min="27" max="27" width="29.7109375" style="26" customWidth="1"/>
    <col min="28" max="31" width="13.421875" style="26" customWidth="1"/>
    <col min="32" max="32" width="3.7109375" style="26" customWidth="1"/>
    <col min="33" max="16384" width="9.140625" style="26" customWidth="1"/>
  </cols>
  <sheetData>
    <row r="1" ht="13.5" thickBot="1"/>
    <row r="2" spans="2:3" ht="13.5" thickBot="1">
      <c r="B2" s="907" t="s">
        <v>112</v>
      </c>
      <c r="C2" s="908"/>
    </row>
    <row r="3" ht="13.5" thickBot="1"/>
    <row r="4" spans="2:3" ht="13.5" thickBot="1">
      <c r="B4" s="907" t="s">
        <v>24</v>
      </c>
      <c r="C4" s="908"/>
    </row>
    <row r="5" ht="13.5" thickBot="1"/>
    <row r="6" spans="2:15" ht="12.75">
      <c r="B6" s="210"/>
      <c r="C6" s="211"/>
      <c r="D6" s="211"/>
      <c r="E6" s="211"/>
      <c r="F6" s="211"/>
      <c r="G6" s="211"/>
      <c r="H6" s="211"/>
      <c r="I6" s="211"/>
      <c r="J6" s="211"/>
      <c r="K6" s="211"/>
      <c r="L6" s="211"/>
      <c r="M6" s="211"/>
      <c r="N6" s="211"/>
      <c r="O6" s="212"/>
    </row>
    <row r="7" spans="2:15" ht="12.75">
      <c r="B7" s="213"/>
      <c r="C7" s="272" t="s">
        <v>136</v>
      </c>
      <c r="D7" s="241" t="s">
        <v>81</v>
      </c>
      <c r="E7" s="218"/>
      <c r="F7" s="218"/>
      <c r="G7" s="218"/>
      <c r="H7" s="278"/>
      <c r="I7" s="218"/>
      <c r="J7" s="218"/>
      <c r="K7" s="218"/>
      <c r="L7" s="218"/>
      <c r="M7" s="218"/>
      <c r="N7" s="218"/>
      <c r="O7" s="216"/>
    </row>
    <row r="8" spans="2:15" ht="13.5" thickBot="1">
      <c r="B8" s="219"/>
      <c r="C8" s="220"/>
      <c r="D8" s="220"/>
      <c r="E8" s="220"/>
      <c r="F8" s="220"/>
      <c r="G8" s="220"/>
      <c r="H8" s="220"/>
      <c r="I8" s="220"/>
      <c r="J8" s="220"/>
      <c r="K8" s="220"/>
      <c r="L8" s="220"/>
      <c r="M8" s="220"/>
      <c r="N8" s="220"/>
      <c r="O8" s="221"/>
    </row>
    <row r="9" ht="13.5" thickBot="1"/>
    <row r="10" spans="2:5" ht="12.75">
      <c r="B10" s="210"/>
      <c r="C10" s="211"/>
      <c r="D10" s="211"/>
      <c r="E10" s="212"/>
    </row>
    <row r="11" spans="2:5" ht="12.75">
      <c r="B11" s="213"/>
      <c r="C11" s="273" t="s">
        <v>135</v>
      </c>
      <c r="D11" s="273"/>
      <c r="E11" s="216"/>
    </row>
    <row r="12" spans="2:5" ht="12.75">
      <c r="B12" s="213"/>
      <c r="C12" s="233" t="s">
        <v>171</v>
      </c>
      <c r="D12" s="279">
        <f>(D25/SUM(D25:D35)*D65/SUM(D61:D67))</f>
        <v>0.14683531873742098</v>
      </c>
      <c r="E12" s="216"/>
    </row>
    <row r="13" spans="2:5" ht="12.75">
      <c r="B13" s="213"/>
      <c r="C13" s="233" t="s">
        <v>172</v>
      </c>
      <c r="D13" s="279">
        <f>(D26/SUM(D25:D35)*D49/SUM(D46:D50))</f>
        <v>0.21267298938823687</v>
      </c>
      <c r="E13" s="216"/>
    </row>
    <row r="14" spans="2:5" ht="12.75">
      <c r="B14" s="213"/>
      <c r="C14" s="233" t="s">
        <v>173</v>
      </c>
      <c r="D14" s="279">
        <f>N25/SUM(N25:N26)*N39/SUM(N36:N40)</f>
        <v>0.06059845131554394</v>
      </c>
      <c r="E14" s="216"/>
    </row>
    <row r="15" spans="2:5" ht="12.75">
      <c r="B15" s="213"/>
      <c r="C15" s="233"/>
      <c r="D15" s="233"/>
      <c r="E15" s="216"/>
    </row>
    <row r="16" spans="2:5" ht="12.75">
      <c r="B16" s="213"/>
      <c r="C16" s="233" t="s">
        <v>201</v>
      </c>
      <c r="D16" s="279">
        <f>(D78/SUM(D78:D79,D81:D82))*(D90/SUM(D90:D99,D101:D102))</f>
        <v>0.015448615532443505</v>
      </c>
      <c r="E16" s="216"/>
    </row>
    <row r="17" spans="2:5" ht="12.75">
      <c r="B17" s="213"/>
      <c r="C17" s="233"/>
      <c r="D17" s="274"/>
      <c r="E17" s="216"/>
    </row>
    <row r="18" spans="2:5" ht="12.75">
      <c r="B18" s="213"/>
      <c r="C18" s="233" t="s">
        <v>200</v>
      </c>
      <c r="D18" s="279">
        <f>D110/SUM(D110:D111)</f>
        <v>0.47480815771752666</v>
      </c>
      <c r="E18" s="216"/>
    </row>
    <row r="19" spans="2:5" ht="13.5" thickBot="1">
      <c r="B19" s="219"/>
      <c r="C19" s="275"/>
      <c r="D19" s="276"/>
      <c r="E19" s="221"/>
    </row>
    <row r="20" ht="13.5" thickBot="1"/>
    <row r="21" spans="2:15" ht="12.75">
      <c r="B21" s="210"/>
      <c r="C21" s="211"/>
      <c r="D21" s="211"/>
      <c r="E21" s="212"/>
      <c r="G21" s="210"/>
      <c r="H21" s="211"/>
      <c r="I21" s="211"/>
      <c r="J21" s="212"/>
      <c r="L21" s="210"/>
      <c r="M21" s="211"/>
      <c r="N21" s="211"/>
      <c r="O21" s="212"/>
    </row>
    <row r="22" spans="2:15" ht="12.75">
      <c r="B22" s="213"/>
      <c r="C22" s="658" t="s">
        <v>118</v>
      </c>
      <c r="D22" s="218"/>
      <c r="E22" s="216"/>
      <c r="G22" s="213"/>
      <c r="H22" s="657" t="s">
        <v>125</v>
      </c>
      <c r="I22" s="218"/>
      <c r="J22" s="216"/>
      <c r="L22" s="213"/>
      <c r="M22" s="657" t="s">
        <v>132</v>
      </c>
      <c r="N22" s="218"/>
      <c r="O22" s="216"/>
    </row>
    <row r="23" spans="2:15" ht="12.75">
      <c r="B23" s="213"/>
      <c r="C23" s="218"/>
      <c r="D23" s="218"/>
      <c r="E23" s="216"/>
      <c r="G23" s="213"/>
      <c r="H23" s="253"/>
      <c r="I23" s="218"/>
      <c r="J23" s="216"/>
      <c r="L23" s="213"/>
      <c r="M23" s="218"/>
      <c r="N23" s="218"/>
      <c r="O23" s="216"/>
    </row>
    <row r="24" spans="2:15" ht="12.75">
      <c r="B24" s="213"/>
      <c r="C24" s="232" t="s">
        <v>199</v>
      </c>
      <c r="D24" s="277" t="s">
        <v>66</v>
      </c>
      <c r="E24" s="216"/>
      <c r="G24" s="213"/>
      <c r="H24" s="232" t="s">
        <v>124</v>
      </c>
      <c r="I24" s="277" t="s">
        <v>66</v>
      </c>
      <c r="J24" s="216"/>
      <c r="L24" s="213"/>
      <c r="M24" s="232" t="s">
        <v>110</v>
      </c>
      <c r="N24" s="277" t="s">
        <v>66</v>
      </c>
      <c r="O24" s="216"/>
    </row>
    <row r="25" spans="2:15" ht="12.75">
      <c r="B25" s="213"/>
      <c r="C25" s="278" t="s">
        <v>67</v>
      </c>
      <c r="D25" s="280">
        <v>1629745</v>
      </c>
      <c r="E25" s="216"/>
      <c r="G25" s="213"/>
      <c r="H25" s="278" t="s">
        <v>75</v>
      </c>
      <c r="I25" s="280">
        <v>1297955</v>
      </c>
      <c r="J25" s="216"/>
      <c r="L25" s="213"/>
      <c r="M25" s="278" t="s">
        <v>75</v>
      </c>
      <c r="N25" s="280">
        <v>855439</v>
      </c>
      <c r="O25" s="216"/>
    </row>
    <row r="26" spans="2:15" ht="12.75">
      <c r="B26" s="213"/>
      <c r="C26" s="278" t="s">
        <v>68</v>
      </c>
      <c r="D26" s="280">
        <v>858134</v>
      </c>
      <c r="E26" s="216"/>
      <c r="G26" s="213"/>
      <c r="H26" s="278" t="s">
        <v>76</v>
      </c>
      <c r="I26" s="280">
        <v>2157093</v>
      </c>
      <c r="J26" s="216"/>
      <c r="L26" s="213"/>
      <c r="M26" s="278" t="s">
        <v>76</v>
      </c>
      <c r="N26" s="280">
        <v>2692041</v>
      </c>
      <c r="O26" s="216"/>
    </row>
    <row r="27" spans="2:15" ht="12.75">
      <c r="B27" s="213"/>
      <c r="C27" s="278" t="s">
        <v>69</v>
      </c>
      <c r="D27" s="280">
        <v>326196</v>
      </c>
      <c r="E27" s="216"/>
      <c r="G27" s="213"/>
      <c r="H27" s="278" t="s">
        <v>63</v>
      </c>
      <c r="I27" s="280">
        <v>92360</v>
      </c>
      <c r="J27" s="216"/>
      <c r="L27" s="213"/>
      <c r="M27" s="278" t="s">
        <v>64</v>
      </c>
      <c r="N27" s="280">
        <v>1329</v>
      </c>
      <c r="O27" s="216"/>
    </row>
    <row r="28" spans="2:15" ht="12.75">
      <c r="B28" s="213"/>
      <c r="C28" s="278" t="s">
        <v>70</v>
      </c>
      <c r="D28" s="280">
        <v>572866</v>
      </c>
      <c r="E28" s="216"/>
      <c r="G28" s="213"/>
      <c r="H28" s="278" t="s">
        <v>64</v>
      </c>
      <c r="I28" s="280">
        <v>1401</v>
      </c>
      <c r="J28" s="216"/>
      <c r="L28" s="213"/>
      <c r="M28" s="278" t="s">
        <v>65</v>
      </c>
      <c r="N28" s="280">
        <v>0</v>
      </c>
      <c r="O28" s="216"/>
    </row>
    <row r="29" spans="2:15" ht="12.75">
      <c r="B29" s="213"/>
      <c r="C29" s="278" t="s">
        <v>71</v>
      </c>
      <c r="D29" s="280">
        <v>48317</v>
      </c>
      <c r="E29" s="216"/>
      <c r="G29" s="213"/>
      <c r="H29" s="278" t="s">
        <v>65</v>
      </c>
      <c r="I29" s="280">
        <v>0</v>
      </c>
      <c r="J29" s="216"/>
      <c r="L29" s="213"/>
      <c r="M29" s="278" t="s">
        <v>1</v>
      </c>
      <c r="N29" s="281">
        <f>SUM(N25:N28)</f>
        <v>3548809</v>
      </c>
      <c r="O29" s="216"/>
    </row>
    <row r="30" spans="2:15" ht="13.5" thickBot="1">
      <c r="B30" s="213"/>
      <c r="C30" s="278" t="s">
        <v>72</v>
      </c>
      <c r="D30" s="280">
        <v>4892</v>
      </c>
      <c r="E30" s="216"/>
      <c r="G30" s="213"/>
      <c r="H30" s="278" t="s">
        <v>1</v>
      </c>
      <c r="I30" s="281">
        <f>SUM(I25:I29)</f>
        <v>3548809</v>
      </c>
      <c r="J30" s="216"/>
      <c r="L30" s="219"/>
      <c r="M30" s="220"/>
      <c r="N30" s="220"/>
      <c r="O30" s="221"/>
    </row>
    <row r="31" spans="2:10" ht="13.5" thickBot="1">
      <c r="B31" s="213"/>
      <c r="C31" s="278" t="s">
        <v>53</v>
      </c>
      <c r="D31" s="280">
        <v>5277</v>
      </c>
      <c r="E31" s="216"/>
      <c r="G31" s="219"/>
      <c r="H31" s="220"/>
      <c r="I31" s="220"/>
      <c r="J31" s="221"/>
    </row>
    <row r="32" spans="2:15" ht="13.5" thickBot="1">
      <c r="B32" s="213"/>
      <c r="C32" s="278" t="s">
        <v>54</v>
      </c>
      <c r="D32" s="280">
        <v>1584</v>
      </c>
      <c r="E32" s="216"/>
      <c r="L32" s="210"/>
      <c r="M32" s="211"/>
      <c r="N32" s="211"/>
      <c r="O32" s="212"/>
    </row>
    <row r="33" spans="2:15" ht="12.75">
      <c r="B33" s="213"/>
      <c r="C33" s="278" t="s">
        <v>73</v>
      </c>
      <c r="D33" s="280">
        <v>1075</v>
      </c>
      <c r="E33" s="216"/>
      <c r="G33" s="210"/>
      <c r="H33" s="211"/>
      <c r="I33" s="211"/>
      <c r="J33" s="212"/>
      <c r="L33" s="213"/>
      <c r="M33" s="657" t="s">
        <v>113</v>
      </c>
      <c r="N33" s="218"/>
      <c r="O33" s="216"/>
    </row>
    <row r="34" spans="2:15" ht="25.5">
      <c r="B34" s="213"/>
      <c r="C34" s="278" t="s">
        <v>62</v>
      </c>
      <c r="D34" s="280">
        <v>8363</v>
      </c>
      <c r="E34" s="216"/>
      <c r="G34" s="213"/>
      <c r="H34" s="658" t="s">
        <v>120</v>
      </c>
      <c r="I34" s="218"/>
      <c r="J34" s="216"/>
      <c r="L34" s="213"/>
      <c r="M34" s="218"/>
      <c r="N34" s="218"/>
      <c r="O34" s="216"/>
    </row>
    <row r="35" spans="2:15" ht="12.75">
      <c r="B35" s="213"/>
      <c r="C35" s="278" t="s">
        <v>74</v>
      </c>
      <c r="D35" s="280">
        <v>585</v>
      </c>
      <c r="E35" s="216"/>
      <c r="G35" s="213"/>
      <c r="H35" s="218"/>
      <c r="I35" s="218"/>
      <c r="J35" s="216"/>
      <c r="L35" s="213"/>
      <c r="M35" s="232" t="s">
        <v>111</v>
      </c>
      <c r="N35" s="277" t="s">
        <v>66</v>
      </c>
      <c r="O35" s="216"/>
    </row>
    <row r="36" spans="2:15" ht="12.75">
      <c r="B36" s="213"/>
      <c r="C36" s="278" t="s">
        <v>63</v>
      </c>
      <c r="D36" s="280">
        <v>89338</v>
      </c>
      <c r="E36" s="216"/>
      <c r="G36" s="213"/>
      <c r="H36" s="232" t="s">
        <v>123</v>
      </c>
      <c r="I36" s="277" t="s">
        <v>66</v>
      </c>
      <c r="J36" s="216"/>
      <c r="L36" s="213"/>
      <c r="M36" s="278" t="s">
        <v>77</v>
      </c>
      <c r="N36" s="280">
        <v>238228</v>
      </c>
      <c r="O36" s="216"/>
    </row>
    <row r="37" spans="2:15" ht="12.75">
      <c r="B37" s="213"/>
      <c r="C37" s="278" t="s">
        <v>64</v>
      </c>
      <c r="D37" s="280">
        <v>2407</v>
      </c>
      <c r="E37" s="216"/>
      <c r="G37" s="213"/>
      <c r="H37" s="278" t="s">
        <v>67</v>
      </c>
      <c r="I37" s="280">
        <v>424218</v>
      </c>
      <c r="J37" s="216"/>
      <c r="L37" s="213"/>
      <c r="M37" s="278" t="s">
        <v>78</v>
      </c>
      <c r="N37" s="280">
        <v>29139</v>
      </c>
      <c r="O37" s="216"/>
    </row>
    <row r="38" spans="2:15" ht="12.75">
      <c r="B38" s="213"/>
      <c r="C38" s="278" t="s">
        <v>65</v>
      </c>
      <c r="D38" s="280">
        <v>30</v>
      </c>
      <c r="E38" s="216"/>
      <c r="G38" s="213"/>
      <c r="H38" s="278" t="s">
        <v>68</v>
      </c>
      <c r="I38" s="280">
        <v>50312</v>
      </c>
      <c r="J38" s="216"/>
      <c r="L38" s="213"/>
      <c r="M38" s="278" t="s">
        <v>79</v>
      </c>
      <c r="N38" s="280">
        <v>55164</v>
      </c>
      <c r="O38" s="216"/>
    </row>
    <row r="39" spans="2:15" ht="12.75">
      <c r="B39" s="213"/>
      <c r="C39" s="278" t="s">
        <v>1</v>
      </c>
      <c r="D39" s="281">
        <f>SUM(D25:D38)</f>
        <v>3548809</v>
      </c>
      <c r="E39" s="216"/>
      <c r="G39" s="213"/>
      <c r="H39" s="278" t="s">
        <v>69</v>
      </c>
      <c r="I39" s="280">
        <v>38662</v>
      </c>
      <c r="J39" s="216"/>
      <c r="L39" s="213"/>
      <c r="M39" s="278" t="s">
        <v>2</v>
      </c>
      <c r="N39" s="280">
        <v>208294</v>
      </c>
      <c r="O39" s="216"/>
    </row>
    <row r="40" spans="2:15" ht="13.5" thickBot="1">
      <c r="B40" s="219"/>
      <c r="C40" s="220"/>
      <c r="D40" s="220"/>
      <c r="E40" s="221"/>
      <c r="G40" s="213"/>
      <c r="H40" s="278" t="s">
        <v>70</v>
      </c>
      <c r="I40" s="280">
        <v>736446</v>
      </c>
      <c r="J40" s="216"/>
      <c r="L40" s="213"/>
      <c r="M40" s="278" t="s">
        <v>80</v>
      </c>
      <c r="N40" s="280">
        <v>298041</v>
      </c>
      <c r="O40" s="216"/>
    </row>
    <row r="41" spans="7:15" ht="13.5" thickBot="1">
      <c r="G41" s="213"/>
      <c r="H41" s="278" t="s">
        <v>71</v>
      </c>
      <c r="I41" s="280">
        <v>21302</v>
      </c>
      <c r="J41" s="216"/>
      <c r="L41" s="213"/>
      <c r="M41" s="278" t="s">
        <v>63</v>
      </c>
      <c r="N41" s="280">
        <v>2706366</v>
      </c>
      <c r="O41" s="216"/>
    </row>
    <row r="42" spans="2:15" ht="12.75">
      <c r="B42" s="210"/>
      <c r="C42" s="211"/>
      <c r="D42" s="211"/>
      <c r="E42" s="212"/>
      <c r="G42" s="213"/>
      <c r="H42" s="278" t="s">
        <v>72</v>
      </c>
      <c r="I42" s="280">
        <v>13910</v>
      </c>
      <c r="J42" s="216"/>
      <c r="L42" s="213"/>
      <c r="M42" s="278" t="s">
        <v>64</v>
      </c>
      <c r="N42" s="280">
        <v>13007</v>
      </c>
      <c r="O42" s="216"/>
    </row>
    <row r="43" spans="2:15" ht="12.75">
      <c r="B43" s="213"/>
      <c r="C43" s="657" t="s">
        <v>149</v>
      </c>
      <c r="D43" s="218"/>
      <c r="E43" s="216"/>
      <c r="G43" s="213"/>
      <c r="H43" s="278" t="s">
        <v>53</v>
      </c>
      <c r="I43" s="280">
        <v>2189</v>
      </c>
      <c r="J43" s="216"/>
      <c r="L43" s="213"/>
      <c r="M43" s="278" t="s">
        <v>65</v>
      </c>
      <c r="N43" s="280">
        <v>571</v>
      </c>
      <c r="O43" s="216"/>
    </row>
    <row r="44" spans="2:15" ht="12.75">
      <c r="B44" s="213"/>
      <c r="C44" s="218"/>
      <c r="D44" s="218"/>
      <c r="E44" s="216"/>
      <c r="G44" s="213"/>
      <c r="H44" s="278" t="s">
        <v>54</v>
      </c>
      <c r="I44" s="280">
        <v>2083</v>
      </c>
      <c r="J44" s="216"/>
      <c r="L44" s="213"/>
      <c r="M44" s="278" t="s">
        <v>1</v>
      </c>
      <c r="N44" s="281">
        <f>SUM(N36:N43)</f>
        <v>3548810</v>
      </c>
      <c r="O44" s="216"/>
    </row>
    <row r="45" spans="2:15" ht="12.75">
      <c r="B45" s="213"/>
      <c r="C45" s="232" t="s">
        <v>152</v>
      </c>
      <c r="D45" s="277" t="s">
        <v>66</v>
      </c>
      <c r="E45" s="216"/>
      <c r="G45" s="213"/>
      <c r="H45" s="278" t="s">
        <v>73</v>
      </c>
      <c r="I45" s="280">
        <v>140</v>
      </c>
      <c r="J45" s="216"/>
      <c r="L45" s="213"/>
      <c r="M45" s="218"/>
      <c r="N45" s="218"/>
      <c r="O45" s="216"/>
    </row>
    <row r="46" spans="2:15" ht="12.75">
      <c r="B46" s="213"/>
      <c r="C46" s="278" t="s">
        <v>59</v>
      </c>
      <c r="D46" s="280">
        <v>55558</v>
      </c>
      <c r="E46" s="216"/>
      <c r="G46" s="213"/>
      <c r="H46" s="278" t="s">
        <v>62</v>
      </c>
      <c r="I46" s="280">
        <v>6585</v>
      </c>
      <c r="J46" s="216"/>
      <c r="L46" s="213"/>
      <c r="M46" s="218"/>
      <c r="N46" s="218"/>
      <c r="O46" s="216"/>
    </row>
    <row r="47" spans="2:15" ht="13.5" thickBot="1">
      <c r="B47" s="213"/>
      <c r="C47" s="278" t="s">
        <v>150</v>
      </c>
      <c r="D47" s="280">
        <v>93611</v>
      </c>
      <c r="E47" s="216"/>
      <c r="G47" s="213"/>
      <c r="H47" s="278"/>
      <c r="I47" s="278"/>
      <c r="J47" s="216"/>
      <c r="L47" s="219"/>
      <c r="M47" s="220"/>
      <c r="N47" s="220"/>
      <c r="O47" s="221"/>
    </row>
    <row r="48" spans="2:10" ht="12.75">
      <c r="B48" s="213"/>
      <c r="C48" s="278" t="s">
        <v>151</v>
      </c>
      <c r="D48" s="280">
        <v>5876</v>
      </c>
      <c r="E48" s="216"/>
      <c r="G48" s="213"/>
      <c r="H48" s="278" t="s">
        <v>63</v>
      </c>
      <c r="I48" s="280">
        <v>2250854</v>
      </c>
      <c r="J48" s="216"/>
    </row>
    <row r="49" spans="2:10" ht="12.75">
      <c r="B49" s="213"/>
      <c r="C49" s="278" t="s">
        <v>60</v>
      </c>
      <c r="D49" s="280">
        <v>1054267</v>
      </c>
      <c r="E49" s="216"/>
      <c r="G49" s="213"/>
      <c r="H49" s="278" t="s">
        <v>64</v>
      </c>
      <c r="I49" s="280">
        <v>2008</v>
      </c>
      <c r="J49" s="216"/>
    </row>
    <row r="50" spans="2:10" ht="12.75">
      <c r="B50" s="213"/>
      <c r="C50" s="278" t="s">
        <v>62</v>
      </c>
      <c r="D50" s="280">
        <v>21211</v>
      </c>
      <c r="E50" s="216"/>
      <c r="G50" s="213"/>
      <c r="H50" s="278" t="s">
        <v>65</v>
      </c>
      <c r="I50" s="280">
        <v>100</v>
      </c>
      <c r="J50" s="216"/>
    </row>
    <row r="51" spans="2:10" ht="12.75">
      <c r="B51" s="213"/>
      <c r="C51" s="278" t="s">
        <v>63</v>
      </c>
      <c r="D51" s="280">
        <v>2305993</v>
      </c>
      <c r="E51" s="216"/>
      <c r="G51" s="213"/>
      <c r="H51" s="278" t="s">
        <v>1</v>
      </c>
      <c r="I51" s="281">
        <f>SUM(I37:I50)</f>
        <v>3548809</v>
      </c>
      <c r="J51" s="216"/>
    </row>
    <row r="52" spans="2:10" ht="13.5" thickBot="1">
      <c r="B52" s="213"/>
      <c r="C52" s="278" t="s">
        <v>64</v>
      </c>
      <c r="D52" s="280">
        <v>11329</v>
      </c>
      <c r="E52" s="216"/>
      <c r="G52" s="219"/>
      <c r="H52" s="220"/>
      <c r="I52" s="220"/>
      <c r="J52" s="221"/>
    </row>
    <row r="53" spans="2:5" ht="13.5" thickBot="1">
      <c r="B53" s="213"/>
      <c r="C53" s="278" t="s">
        <v>65</v>
      </c>
      <c r="D53" s="280">
        <v>964</v>
      </c>
      <c r="E53" s="216"/>
    </row>
    <row r="54" spans="2:10" ht="12.75">
      <c r="B54" s="213"/>
      <c r="C54" s="278" t="s">
        <v>1</v>
      </c>
      <c r="D54" s="281">
        <f>SUM(D46:D53)</f>
        <v>3548809</v>
      </c>
      <c r="E54" s="216"/>
      <c r="G54" s="210"/>
      <c r="H54" s="211"/>
      <c r="I54" s="211"/>
      <c r="J54" s="212"/>
    </row>
    <row r="55" spans="2:10" ht="13.5" thickBot="1">
      <c r="B55" s="219"/>
      <c r="C55" s="220"/>
      <c r="D55" s="220"/>
      <c r="E55" s="221"/>
      <c r="G55" s="213"/>
      <c r="H55" s="657" t="s">
        <v>153</v>
      </c>
      <c r="I55" s="218"/>
      <c r="J55" s="216"/>
    </row>
    <row r="56" spans="7:10" ht="13.5" thickBot="1">
      <c r="G56" s="213"/>
      <c r="H56" s="218"/>
      <c r="I56" s="218"/>
      <c r="J56" s="216"/>
    </row>
    <row r="57" spans="2:10" ht="12.75">
      <c r="B57" s="210"/>
      <c r="C57" s="211"/>
      <c r="D57" s="211"/>
      <c r="E57" s="212"/>
      <c r="G57" s="213"/>
      <c r="H57" s="232" t="s">
        <v>154</v>
      </c>
      <c r="I57" s="277" t="s">
        <v>66</v>
      </c>
      <c r="J57" s="216"/>
    </row>
    <row r="58" spans="2:10" ht="12.75">
      <c r="B58" s="213"/>
      <c r="C58" s="657" t="s">
        <v>119</v>
      </c>
      <c r="D58" s="218"/>
      <c r="E58" s="216"/>
      <c r="G58" s="213"/>
      <c r="H58" s="278" t="s">
        <v>59</v>
      </c>
      <c r="I58" s="280">
        <v>4963</v>
      </c>
      <c r="J58" s="216"/>
    </row>
    <row r="59" spans="2:10" ht="12.75">
      <c r="B59" s="213"/>
      <c r="C59" s="218"/>
      <c r="D59" s="218"/>
      <c r="E59" s="216"/>
      <c r="G59" s="213"/>
      <c r="H59" s="278" t="s">
        <v>150</v>
      </c>
      <c r="I59" s="280">
        <v>12182</v>
      </c>
      <c r="J59" s="216"/>
    </row>
    <row r="60" spans="2:10" ht="12.75">
      <c r="B60" s="213"/>
      <c r="C60" s="232" t="s">
        <v>109</v>
      </c>
      <c r="D60" s="277" t="s">
        <v>66</v>
      </c>
      <c r="E60" s="216"/>
      <c r="G60" s="213"/>
      <c r="H60" s="278" t="s">
        <v>151</v>
      </c>
      <c r="I60" s="280">
        <v>17331</v>
      </c>
      <c r="J60" s="216"/>
    </row>
    <row r="61" spans="2:10" ht="12.75">
      <c r="B61" s="213"/>
      <c r="C61" s="278" t="s">
        <v>2</v>
      </c>
      <c r="D61" s="280">
        <v>181506</v>
      </c>
      <c r="E61" s="216"/>
      <c r="G61" s="213"/>
      <c r="H61" s="278" t="s">
        <v>60</v>
      </c>
      <c r="I61" s="280">
        <v>81891</v>
      </c>
      <c r="J61" s="216"/>
    </row>
    <row r="62" spans="2:10" ht="12.75">
      <c r="B62" s="213"/>
      <c r="C62" s="278" t="s">
        <v>57</v>
      </c>
      <c r="D62" s="280">
        <v>29273</v>
      </c>
      <c r="E62" s="216"/>
      <c r="G62" s="213"/>
      <c r="H62" s="278" t="s">
        <v>62</v>
      </c>
      <c r="I62" s="280">
        <v>8093</v>
      </c>
      <c r="J62" s="216"/>
    </row>
    <row r="63" spans="2:10" ht="12.75">
      <c r="B63" s="213"/>
      <c r="C63" s="278" t="s">
        <v>58</v>
      </c>
      <c r="D63" s="280">
        <v>228568</v>
      </c>
      <c r="E63" s="216"/>
      <c r="G63" s="213"/>
      <c r="H63" s="278" t="s">
        <v>63</v>
      </c>
      <c r="I63" s="280">
        <v>3422434</v>
      </c>
      <c r="J63" s="216"/>
    </row>
    <row r="64" spans="2:10" ht="12.75">
      <c r="B64" s="213"/>
      <c r="C64" s="278" t="s">
        <v>59</v>
      </c>
      <c r="D64" s="280">
        <v>14732</v>
      </c>
      <c r="E64" s="216"/>
      <c r="G64" s="213"/>
      <c r="H64" s="278" t="s">
        <v>64</v>
      </c>
      <c r="I64" s="280">
        <v>1856</v>
      </c>
      <c r="J64" s="216"/>
    </row>
    <row r="65" spans="2:10" ht="12.75">
      <c r="B65" s="213"/>
      <c r="C65" s="278" t="s">
        <v>60</v>
      </c>
      <c r="D65" s="280">
        <v>503028</v>
      </c>
      <c r="E65" s="216"/>
      <c r="G65" s="213"/>
      <c r="H65" s="278" t="s">
        <v>65</v>
      </c>
      <c r="I65" s="280">
        <v>60</v>
      </c>
      <c r="J65" s="216"/>
    </row>
    <row r="66" spans="2:10" ht="12.75">
      <c r="B66" s="213"/>
      <c r="C66" s="278" t="s">
        <v>61</v>
      </c>
      <c r="D66" s="280">
        <v>653271</v>
      </c>
      <c r="E66" s="216"/>
      <c r="G66" s="213"/>
      <c r="H66" s="278" t="s">
        <v>1</v>
      </c>
      <c r="I66" s="281">
        <f>SUM(I58:I65)</f>
        <v>3548810</v>
      </c>
      <c r="J66" s="216"/>
    </row>
    <row r="67" spans="2:10" ht="13.5" thickBot="1">
      <c r="B67" s="213"/>
      <c r="C67" s="278" t="s">
        <v>62</v>
      </c>
      <c r="D67" s="280">
        <v>4641</v>
      </c>
      <c r="E67" s="216"/>
      <c r="G67" s="219"/>
      <c r="H67" s="220"/>
      <c r="I67" s="220"/>
      <c r="J67" s="221"/>
    </row>
    <row r="68" spans="2:5" ht="13.5" thickBot="1">
      <c r="B68" s="213"/>
      <c r="C68" s="278" t="s">
        <v>63</v>
      </c>
      <c r="D68" s="280">
        <v>1919064</v>
      </c>
      <c r="E68" s="216"/>
    </row>
    <row r="69" spans="2:10" ht="12.75">
      <c r="B69" s="213"/>
      <c r="C69" s="278" t="s">
        <v>64</v>
      </c>
      <c r="D69" s="280">
        <v>14696</v>
      </c>
      <c r="E69" s="216"/>
      <c r="G69" s="210"/>
      <c r="H69" s="211"/>
      <c r="I69" s="211"/>
      <c r="J69" s="212"/>
    </row>
    <row r="70" spans="2:10" ht="12.75">
      <c r="B70" s="213"/>
      <c r="C70" s="278" t="s">
        <v>65</v>
      </c>
      <c r="D70" s="280">
        <v>30</v>
      </c>
      <c r="E70" s="216"/>
      <c r="G70" s="213"/>
      <c r="H70" s="657" t="s">
        <v>121</v>
      </c>
      <c r="I70" s="218"/>
      <c r="J70" s="216"/>
    </row>
    <row r="71" spans="2:10" ht="12.75">
      <c r="B71" s="213"/>
      <c r="C71" s="278" t="s">
        <v>1</v>
      </c>
      <c r="D71" s="281">
        <f>SUM(D61:D70)</f>
        <v>3548809</v>
      </c>
      <c r="E71" s="216"/>
      <c r="G71" s="213"/>
      <c r="H71" s="218"/>
      <c r="I71" s="218"/>
      <c r="J71" s="216"/>
    </row>
    <row r="72" spans="2:10" ht="13.5" thickBot="1">
      <c r="B72" s="219"/>
      <c r="C72" s="220"/>
      <c r="D72" s="220"/>
      <c r="E72" s="221"/>
      <c r="G72" s="213"/>
      <c r="H72" s="232" t="s">
        <v>122</v>
      </c>
      <c r="I72" s="277" t="s">
        <v>66</v>
      </c>
      <c r="J72" s="216"/>
    </row>
    <row r="73" spans="7:10" ht="13.5" thickBot="1">
      <c r="G73" s="213"/>
      <c r="H73" s="278" t="s">
        <v>2</v>
      </c>
      <c r="I73" s="280">
        <v>18507</v>
      </c>
      <c r="J73" s="216"/>
    </row>
    <row r="74" spans="2:10" ht="12.75">
      <c r="B74" s="210"/>
      <c r="C74" s="211"/>
      <c r="D74" s="211"/>
      <c r="E74" s="212"/>
      <c r="G74" s="213"/>
      <c r="H74" s="278" t="s">
        <v>57</v>
      </c>
      <c r="I74" s="280">
        <v>68446</v>
      </c>
      <c r="J74" s="216"/>
    </row>
    <row r="75" spans="2:10" ht="12.75">
      <c r="B75" s="213"/>
      <c r="C75" s="657" t="s">
        <v>202</v>
      </c>
      <c r="D75" s="277"/>
      <c r="E75" s="216"/>
      <c r="G75" s="213"/>
      <c r="H75" s="278" t="s">
        <v>58</v>
      </c>
      <c r="I75" s="280">
        <v>46010</v>
      </c>
      <c r="J75" s="216"/>
    </row>
    <row r="76" spans="2:10" ht="12.75">
      <c r="B76" s="213"/>
      <c r="C76" s="218"/>
      <c r="D76" s="277"/>
      <c r="E76" s="216"/>
      <c r="G76" s="213"/>
      <c r="H76" s="278" t="s">
        <v>59</v>
      </c>
      <c r="I76" s="280">
        <v>4308</v>
      </c>
      <c r="J76" s="216"/>
    </row>
    <row r="77" spans="2:10" ht="12.75">
      <c r="B77" s="213"/>
      <c r="C77" s="253" t="s">
        <v>166</v>
      </c>
      <c r="D77" s="214" t="s">
        <v>167</v>
      </c>
      <c r="E77" s="216"/>
      <c r="G77" s="213"/>
      <c r="H77" s="278" t="s">
        <v>60</v>
      </c>
      <c r="I77" s="280">
        <v>113034</v>
      </c>
      <c r="J77" s="216"/>
    </row>
    <row r="78" spans="2:10" ht="12.75">
      <c r="B78" s="213"/>
      <c r="C78" s="278" t="s">
        <v>75</v>
      </c>
      <c r="D78" s="280">
        <v>140772</v>
      </c>
      <c r="E78" s="282"/>
      <c r="G78" s="213"/>
      <c r="H78" s="278" t="s">
        <v>61</v>
      </c>
      <c r="I78" s="280">
        <v>167802</v>
      </c>
      <c r="J78" s="216"/>
    </row>
    <row r="79" spans="2:10" ht="12.75">
      <c r="B79" s="213"/>
      <c r="C79" s="278" t="s">
        <v>76</v>
      </c>
      <c r="D79" s="280">
        <v>3304263</v>
      </c>
      <c r="E79" s="282"/>
      <c r="G79" s="213"/>
      <c r="H79" s="278" t="s">
        <v>62</v>
      </c>
      <c r="I79" s="280">
        <v>2322</v>
      </c>
      <c r="J79" s="216"/>
    </row>
    <row r="80" spans="2:10" ht="12.75">
      <c r="B80" s="213"/>
      <c r="C80" s="278" t="s">
        <v>63</v>
      </c>
      <c r="D80" s="280">
        <v>89924</v>
      </c>
      <c r="E80" s="282"/>
      <c r="G80" s="213"/>
      <c r="H80" s="278" t="s">
        <v>63</v>
      </c>
      <c r="I80" s="280">
        <v>3124591</v>
      </c>
      <c r="J80" s="216"/>
    </row>
    <row r="81" spans="2:10" ht="12.75">
      <c r="B81" s="213"/>
      <c r="C81" s="278" t="s">
        <v>64</v>
      </c>
      <c r="D81" s="280">
        <v>13851</v>
      </c>
      <c r="E81" s="282"/>
      <c r="G81" s="213"/>
      <c r="H81" s="278" t="s">
        <v>64</v>
      </c>
      <c r="I81" s="280">
        <v>3618</v>
      </c>
      <c r="J81" s="216"/>
    </row>
    <row r="82" spans="2:10" ht="12.75">
      <c r="B82" s="213"/>
      <c r="C82" s="278" t="s">
        <v>65</v>
      </c>
      <c r="D82" s="280">
        <v>0.001</v>
      </c>
      <c r="E82" s="282"/>
      <c r="G82" s="213"/>
      <c r="H82" s="278" t="s">
        <v>65</v>
      </c>
      <c r="I82" s="280">
        <v>172</v>
      </c>
      <c r="J82" s="216"/>
    </row>
    <row r="83" spans="2:10" ht="12.75">
      <c r="B83" s="213"/>
      <c r="C83" s="278" t="s">
        <v>1</v>
      </c>
      <c r="D83" s="281">
        <f>SUM(D78:D82)</f>
        <v>3548810.001</v>
      </c>
      <c r="E83" s="216"/>
      <c r="G83" s="213"/>
      <c r="H83" s="278" t="s">
        <v>1</v>
      </c>
      <c r="I83" s="281">
        <f>SUM(I73:I82)</f>
        <v>3548810</v>
      </c>
      <c r="J83" s="216"/>
    </row>
    <row r="84" spans="2:10" ht="13.5" thickBot="1">
      <c r="B84" s="219"/>
      <c r="C84" s="220"/>
      <c r="D84" s="220"/>
      <c r="E84" s="221"/>
      <c r="G84" s="219"/>
      <c r="H84" s="220"/>
      <c r="I84" s="220"/>
      <c r="J84" s="221"/>
    </row>
    <row r="85" ht="13.5" thickBot="1"/>
    <row r="86" spans="2:5" ht="12.75">
      <c r="B86" s="210"/>
      <c r="C86" s="211"/>
      <c r="D86" s="211"/>
      <c r="E86" s="212"/>
    </row>
    <row r="87" spans="2:5" ht="12.75">
      <c r="B87" s="213"/>
      <c r="C87" s="657" t="s">
        <v>203</v>
      </c>
      <c r="D87" s="218"/>
      <c r="E87" s="216"/>
    </row>
    <row r="88" spans="2:5" ht="12.75">
      <c r="B88" s="213"/>
      <c r="C88" s="218"/>
      <c r="D88" s="218"/>
      <c r="E88" s="216"/>
    </row>
    <row r="89" spans="2:5" ht="12.75">
      <c r="B89" s="213"/>
      <c r="C89" s="232" t="s">
        <v>168</v>
      </c>
      <c r="D89" s="214" t="s">
        <v>167</v>
      </c>
      <c r="E89" s="216"/>
    </row>
    <row r="90" spans="2:5" ht="12.75">
      <c r="B90" s="213"/>
      <c r="C90" s="278" t="s">
        <v>67</v>
      </c>
      <c r="D90" s="280">
        <v>53435</v>
      </c>
      <c r="E90" s="282"/>
    </row>
    <row r="91" spans="2:5" ht="12.75">
      <c r="B91" s="213"/>
      <c r="C91" s="278" t="s">
        <v>68</v>
      </c>
      <c r="D91" s="280">
        <v>7265</v>
      </c>
      <c r="E91" s="282"/>
    </row>
    <row r="92" spans="2:5" ht="12.75">
      <c r="B92" s="213"/>
      <c r="C92" s="278" t="s">
        <v>69</v>
      </c>
      <c r="D92" s="280">
        <v>35023</v>
      </c>
      <c r="E92" s="282"/>
    </row>
    <row r="93" spans="2:5" ht="12.75">
      <c r="B93" s="213"/>
      <c r="C93" s="278" t="s">
        <v>70</v>
      </c>
      <c r="D93" s="280">
        <v>35290</v>
      </c>
      <c r="E93" s="282"/>
    </row>
    <row r="94" spans="2:5" ht="12.75">
      <c r="B94" s="213"/>
      <c r="C94" s="278" t="s">
        <v>71</v>
      </c>
      <c r="D94" s="280">
        <v>4344</v>
      </c>
      <c r="E94" s="216"/>
    </row>
    <row r="95" spans="2:5" ht="12.75">
      <c r="B95" s="213"/>
      <c r="C95" s="278" t="s">
        <v>72</v>
      </c>
      <c r="D95" s="280">
        <v>333</v>
      </c>
      <c r="E95" s="216"/>
    </row>
    <row r="96" spans="2:5" ht="12.75">
      <c r="B96" s="213"/>
      <c r="C96" s="278" t="s">
        <v>53</v>
      </c>
      <c r="D96" s="280">
        <v>1149</v>
      </c>
      <c r="E96" s="216"/>
    </row>
    <row r="97" spans="2:5" ht="12.75">
      <c r="B97" s="213"/>
      <c r="C97" s="278" t="s">
        <v>54</v>
      </c>
      <c r="D97" s="280">
        <v>142</v>
      </c>
      <c r="E97" s="216"/>
    </row>
    <row r="98" spans="2:5" ht="12.75">
      <c r="B98" s="213"/>
      <c r="C98" s="278" t="s">
        <v>73</v>
      </c>
      <c r="D98" s="280">
        <v>0</v>
      </c>
      <c r="E98" s="216"/>
    </row>
    <row r="99" spans="2:5" ht="12.75">
      <c r="B99" s="213"/>
      <c r="C99" s="278" t="s">
        <v>62</v>
      </c>
      <c r="D99" s="280">
        <v>1125</v>
      </c>
      <c r="E99" s="216"/>
    </row>
    <row r="100" spans="2:5" ht="12.75">
      <c r="B100" s="213"/>
      <c r="C100" s="278" t="s">
        <v>63</v>
      </c>
      <c r="D100" s="280">
        <v>3408037</v>
      </c>
      <c r="E100" s="216"/>
    </row>
    <row r="101" spans="2:5" ht="12.75">
      <c r="B101" s="213"/>
      <c r="C101" s="278" t="s">
        <v>64</v>
      </c>
      <c r="D101" s="280">
        <v>2002</v>
      </c>
      <c r="E101" s="216"/>
    </row>
    <row r="102" spans="2:5" ht="12.75">
      <c r="B102" s="213"/>
      <c r="C102" s="278" t="s">
        <v>65</v>
      </c>
      <c r="D102" s="280">
        <v>664</v>
      </c>
      <c r="E102" s="216"/>
    </row>
    <row r="103" spans="2:5" ht="12.75">
      <c r="B103" s="213"/>
      <c r="C103" s="278" t="s">
        <v>1</v>
      </c>
      <c r="D103" s="281">
        <f>SUM(D90:D102)</f>
        <v>3548809</v>
      </c>
      <c r="E103" s="216"/>
    </row>
    <row r="104" spans="2:5" ht="13.5" thickBot="1">
      <c r="B104" s="219"/>
      <c r="C104" s="220"/>
      <c r="D104" s="220"/>
      <c r="E104" s="221"/>
    </row>
    <row r="105" ht="13.5" thickBot="1"/>
    <row r="106" spans="2:5" ht="12.75">
      <c r="B106" s="210"/>
      <c r="C106" s="211"/>
      <c r="D106" s="211"/>
      <c r="E106" s="212"/>
    </row>
    <row r="107" spans="2:5" ht="12.75">
      <c r="B107" s="213"/>
      <c r="C107" s="657" t="s">
        <v>204</v>
      </c>
      <c r="D107" s="277"/>
      <c r="E107" s="216"/>
    </row>
    <row r="108" spans="2:5" ht="12.75">
      <c r="B108" s="213"/>
      <c r="C108" s="218"/>
      <c r="D108" s="277"/>
      <c r="E108" s="216"/>
    </row>
    <row r="109" spans="2:5" ht="12.75">
      <c r="B109" s="213"/>
      <c r="C109" s="253" t="s">
        <v>205</v>
      </c>
      <c r="D109" s="214" t="s">
        <v>167</v>
      </c>
      <c r="E109" s="216"/>
    </row>
    <row r="110" spans="2:5" ht="12.75">
      <c r="B110" s="213"/>
      <c r="C110" s="278" t="s">
        <v>75</v>
      </c>
      <c r="D110" s="280">
        <v>994885</v>
      </c>
      <c r="E110" s="282"/>
    </row>
    <row r="111" spans="2:5" ht="12.75">
      <c r="B111" s="213"/>
      <c r="C111" s="278" t="s">
        <v>76</v>
      </c>
      <c r="D111" s="280">
        <v>1100456</v>
      </c>
      <c r="E111" s="282"/>
    </row>
    <row r="112" spans="2:5" ht="12.75">
      <c r="B112" s="213"/>
      <c r="C112" s="278" t="s">
        <v>63</v>
      </c>
      <c r="D112" s="280">
        <v>1003252</v>
      </c>
      <c r="E112" s="282"/>
    </row>
    <row r="113" spans="2:5" ht="12.75">
      <c r="B113" s="213"/>
      <c r="C113" s="278" t="s">
        <v>64</v>
      </c>
      <c r="D113" s="280">
        <v>450115</v>
      </c>
      <c r="E113" s="282"/>
    </row>
    <row r="114" spans="2:5" ht="12.75">
      <c r="B114" s="213"/>
      <c r="C114" s="278" t="s">
        <v>65</v>
      </c>
      <c r="D114" s="280">
        <v>100</v>
      </c>
      <c r="E114" s="282"/>
    </row>
    <row r="115" spans="2:5" ht="12.75">
      <c r="B115" s="213"/>
      <c r="C115" s="278" t="s">
        <v>1</v>
      </c>
      <c r="D115" s="281">
        <f>SUM(D110:D114)</f>
        <v>3548808</v>
      </c>
      <c r="E115" s="216"/>
    </row>
    <row r="116" spans="2:5" ht="13.5" thickBot="1">
      <c r="B116" s="219"/>
      <c r="C116" s="220"/>
      <c r="D116" s="220"/>
      <c r="E116" s="221"/>
    </row>
  </sheetData>
  <mergeCells count="2">
    <mergeCell ref="B2:C2"/>
    <mergeCell ref="B4:C4"/>
  </mergeCells>
  <hyperlinks>
    <hyperlink ref="B4:C4" location="Navigation!A1" display="NAVIGATIO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zoomScale="70" zoomScaleNormal="70" workbookViewId="0" topLeftCell="A1"/>
  </sheetViews>
  <sheetFormatPr defaultColWidth="9.140625" defaultRowHeight="12.75"/>
  <cols>
    <col min="1" max="1" width="4.7109375" style="44" customWidth="1"/>
    <col min="2" max="2" width="23.7109375" style="44" bestFit="1" customWidth="1"/>
    <col min="3" max="3" width="19.140625" style="44" bestFit="1" customWidth="1"/>
    <col min="4" max="4" width="10.00390625" style="44" bestFit="1" customWidth="1"/>
    <col min="5" max="9" width="9.140625" style="44" customWidth="1"/>
    <col min="10" max="10" width="10.28125" style="44" customWidth="1"/>
    <col min="11" max="23" width="9.140625" style="44" customWidth="1"/>
    <col min="24" max="24" width="10.28125" style="44" bestFit="1" customWidth="1"/>
    <col min="25" max="29" width="9.140625" style="44" customWidth="1"/>
    <col min="30" max="30" width="21.28125" style="44" bestFit="1" customWidth="1"/>
    <col min="31" max="31" width="26.00390625" style="44" bestFit="1" customWidth="1"/>
    <col min="32" max="36" width="11.28125" style="44" customWidth="1"/>
    <col min="37" max="16384" width="9.140625" style="44" customWidth="1"/>
  </cols>
  <sheetData>
    <row r="1" spans="2:8" ht="16.5" thickBot="1">
      <c r="B1" s="49" t="str">
        <f>'Market Size'!Z5</f>
        <v>Actual Case</v>
      </c>
      <c r="C1" s="49"/>
      <c r="D1" s="49"/>
      <c r="E1" s="49"/>
      <c r="F1" s="49"/>
      <c r="G1" s="49"/>
      <c r="H1" s="49"/>
    </row>
    <row r="2" spans="2:36" ht="15.75" thickBot="1">
      <c r="B2" s="50" t="str">
        <f>'Market Size'!Z6</f>
        <v>Conversions</v>
      </c>
      <c r="C2" s="50"/>
      <c r="D2" s="50"/>
      <c r="E2" s="50"/>
      <c r="F2" s="50"/>
      <c r="G2" s="50"/>
      <c r="H2" s="50"/>
      <c r="J2" s="827" t="str">
        <f>'Total Market Savings'!Z5</f>
        <v>Total Market Savings (MWh)</v>
      </c>
      <c r="K2" s="828"/>
      <c r="L2" s="828"/>
      <c r="M2" s="828"/>
      <c r="N2" s="829"/>
      <c r="P2" s="425" t="str">
        <f>'Momentum Savings'!H5</f>
        <v>Program Savings (MWh)</v>
      </c>
      <c r="Q2" s="425"/>
      <c r="R2" s="425"/>
      <c r="S2" s="425"/>
      <c r="T2" s="425"/>
      <c r="U2" s="425"/>
      <c r="V2" s="426"/>
      <c r="Y2" s="827" t="str">
        <f>'Momentum Savings'!P5</f>
        <v>Momentum Savings (MWh)</v>
      </c>
      <c r="Z2" s="828"/>
      <c r="AA2" s="828"/>
      <c r="AB2" s="828"/>
      <c r="AC2" s="829"/>
      <c r="AE2" s="165" t="s">
        <v>296</v>
      </c>
      <c r="AF2" s="171"/>
      <c r="AG2" s="171"/>
      <c r="AH2" s="171"/>
      <c r="AI2" s="171"/>
      <c r="AJ2" s="172"/>
    </row>
    <row r="3" spans="2:36" ht="15.75" thickBot="1">
      <c r="B3" s="830" t="str">
        <f>'Market Size'!Z7</f>
        <v>Efficient Case Units Shipped by Efficiency Level - Single Family</v>
      </c>
      <c r="C3" s="831"/>
      <c r="D3" s="831"/>
      <c r="E3" s="831"/>
      <c r="F3" s="831"/>
      <c r="G3" s="831"/>
      <c r="H3" s="832"/>
      <c r="J3" s="404">
        <f>'Total Market Savings'!Z6</f>
        <v>2010</v>
      </c>
      <c r="K3" s="405">
        <f>'Total Market Savings'!AA6</f>
        <v>2011</v>
      </c>
      <c r="L3" s="406">
        <f>'Total Market Savings'!AB6</f>
        <v>2012</v>
      </c>
      <c r="M3" s="406">
        <f>'Total Market Savings'!AC6</f>
        <v>2013</v>
      </c>
      <c r="N3" s="414">
        <f>'Total Market Savings'!AD6</f>
        <v>2014</v>
      </c>
      <c r="P3" s="401" t="str">
        <f>'Momentum Savings'!H7</f>
        <v>PNW Total</v>
      </c>
      <c r="Q3" s="401"/>
      <c r="R3" s="136">
        <f>'Momentum Savings'!J7</f>
        <v>10997.2149989483</v>
      </c>
      <c r="S3" s="136">
        <f>'Momentum Savings'!K7</f>
        <v>14077.291494792247</v>
      </c>
      <c r="T3" s="136">
        <f>'Momentum Savings'!L7</f>
        <v>12143.294580602786</v>
      </c>
      <c r="U3" s="136">
        <f>'Momentum Savings'!M7</f>
        <v>12887.70380193404</v>
      </c>
      <c r="V3" s="137">
        <f>'Momentum Savings'!N7</f>
        <v>9800.231371121616</v>
      </c>
      <c r="Y3" s="439">
        <f>'Momentum Savings'!P6</f>
        <v>2010</v>
      </c>
      <c r="Z3" s="406">
        <f>'Momentum Savings'!Q6</f>
        <v>2011</v>
      </c>
      <c r="AA3" s="406">
        <f>'Momentum Savings'!R6</f>
        <v>2012</v>
      </c>
      <c r="AB3" s="406">
        <f>'Momentum Savings'!S6</f>
        <v>2013</v>
      </c>
      <c r="AC3" s="414">
        <f>'Momentum Savings'!T6</f>
        <v>2014</v>
      </c>
      <c r="AE3" s="166"/>
      <c r="AF3" s="164">
        <v>2010</v>
      </c>
      <c r="AG3" s="164">
        <v>2011</v>
      </c>
      <c r="AH3" s="164">
        <v>2012</v>
      </c>
      <c r="AI3" s="164">
        <v>2013</v>
      </c>
      <c r="AJ3" s="173">
        <v>2014</v>
      </c>
    </row>
    <row r="4" spans="2:36" ht="15.75" thickBot="1">
      <c r="B4" s="427" t="str">
        <f>'Market Size'!Z8</f>
        <v>Unit Type</v>
      </c>
      <c r="C4" s="405" t="str">
        <f>'Market Size'!AA8</f>
        <v>Efficiency Level</v>
      </c>
      <c r="D4" s="406">
        <f>'Market Size'!AB8</f>
        <v>2010</v>
      </c>
      <c r="E4" s="406">
        <f>'Market Size'!AC8</f>
        <v>2011</v>
      </c>
      <c r="F4" s="406">
        <f>'Market Size'!AD8</f>
        <v>2012</v>
      </c>
      <c r="G4" s="406">
        <f>'Market Size'!AE8</f>
        <v>2013</v>
      </c>
      <c r="H4" s="428">
        <f>'Market Size'!AF8</f>
        <v>2014</v>
      </c>
      <c r="J4" s="395">
        <f ca="1">'Total Market Savings'!Z7</f>
        <v>23486.656470949587</v>
      </c>
      <c r="K4" s="422">
        <f ca="1">'Total Market Savings'!AA7</f>
        <v>29965.914436883875</v>
      </c>
      <c r="L4" s="422">
        <f ca="1">'Total Market Savings'!AB7</f>
        <v>36102.72169693187</v>
      </c>
      <c r="M4" s="422">
        <f ca="1">'Total Market Savings'!AC7</f>
        <v>34995.73804228613</v>
      </c>
      <c r="N4" s="423">
        <f ca="1">'Total Market Savings'!AD7</f>
        <v>37705.04166333284</v>
      </c>
      <c r="Y4" s="395">
        <f ca="1">'Momentum Savings'!P7</f>
        <v>12489.441472001286</v>
      </c>
      <c r="Z4" s="422">
        <f ca="1">'Momentum Savings'!Q7</f>
        <v>15888.622942091628</v>
      </c>
      <c r="AA4" s="422">
        <f ca="1">'Momentum Savings'!R7</f>
        <v>23959.427116329083</v>
      </c>
      <c r="AB4" s="422">
        <f ca="1">'Momentum Savings'!S7</f>
        <v>22108.03424035209</v>
      </c>
      <c r="AC4" s="423">
        <f ca="1">'Momentum Savings'!T7</f>
        <v>27904.810292211227</v>
      </c>
      <c r="AE4" s="166" t="str">
        <f>$P$2</f>
        <v>Program Savings (MWh)</v>
      </c>
      <c r="AF4" s="148">
        <f>R3</f>
        <v>10997.2149989483</v>
      </c>
      <c r="AG4" s="148">
        <f>S3</f>
        <v>14077.291494792247</v>
      </c>
      <c r="AH4" s="148">
        <f>T3</f>
        <v>12143.294580602786</v>
      </c>
      <c r="AI4" s="148">
        <f>U3</f>
        <v>12887.70380193404</v>
      </c>
      <c r="AJ4" s="167">
        <f>V3</f>
        <v>9800.231371121616</v>
      </c>
    </row>
    <row r="5" spans="2:36" ht="15.75" thickBot="1">
      <c r="B5" s="429" t="str">
        <f>'Market Size'!Z9</f>
        <v>Forced Air Furnace</v>
      </c>
      <c r="C5" s="416" t="str">
        <f>'Market Size'!AA9</f>
        <v>n/a</v>
      </c>
      <c r="D5" s="407">
        <f ca="1">'Market Size'!AB9</f>
        <v>5539.487669420487</v>
      </c>
      <c r="E5" s="407">
        <f ca="1">'Market Size'!AC9</f>
        <v>6689.651688605543</v>
      </c>
      <c r="F5" s="407">
        <f ca="1">'Market Size'!AD9</f>
        <v>5972.044333324912</v>
      </c>
      <c r="G5" s="407">
        <f ca="1">'Market Size'!AE9</f>
        <v>6640.471753673918</v>
      </c>
      <c r="H5" s="433">
        <f ca="1">'Market Size'!AF9</f>
        <v>6641.505860251345</v>
      </c>
      <c r="P5" s="827" t="str">
        <f>'Total Market Consumption'!AN28</f>
        <v>Total Market Consumption (MWh)</v>
      </c>
      <c r="Q5" s="828"/>
      <c r="R5" s="828"/>
      <c r="S5" s="828"/>
      <c r="T5" s="828"/>
      <c r="U5" s="828"/>
      <c r="V5" s="829"/>
      <c r="AE5" s="168" t="str">
        <f>$Y$2</f>
        <v>Momentum Savings (MWh)</v>
      </c>
      <c r="AF5" s="169">
        <f ca="1">Y4</f>
        <v>12489.441472001286</v>
      </c>
      <c r="AG5" s="169">
        <f ca="1">Z4</f>
        <v>15888.622942091628</v>
      </c>
      <c r="AH5" s="169">
        <f ca="1">AA4</f>
        <v>23959.427116329083</v>
      </c>
      <c r="AI5" s="169">
        <f ca="1">AB4</f>
        <v>22108.03424035209</v>
      </c>
      <c r="AJ5" s="170">
        <f ca="1">AC4</f>
        <v>27904.810292211227</v>
      </c>
    </row>
    <row r="6" spans="2:31" ht="15.75" thickBot="1">
      <c r="B6" s="430" t="str">
        <f>'Market Size'!Z10</f>
        <v>Air Source Heat Pump</v>
      </c>
      <c r="C6" s="418" t="str">
        <f>'Market Size'!AA10</f>
        <v>HSPF_7.7</v>
      </c>
      <c r="D6" s="407">
        <f ca="1">'Market Size'!AB10</f>
        <v>1117.8144151712702</v>
      </c>
      <c r="E6" s="407">
        <f ca="1">'Market Size'!AC10</f>
        <v>1815.4265646432498</v>
      </c>
      <c r="F6" s="407">
        <f ca="1">'Market Size'!AD10</f>
        <v>2117.6690975028546</v>
      </c>
      <c r="G6" s="407">
        <f ca="1">'Market Size'!AE10</f>
        <v>2162.4075257445406</v>
      </c>
      <c r="H6" s="433">
        <f ca="1">'Market Size'!AF10</f>
        <v>2089.5028973867065</v>
      </c>
      <c r="P6" s="833" t="str">
        <f>'Total Market Consumption'!AN29</f>
        <v>Case</v>
      </c>
      <c r="Q6" s="834"/>
      <c r="R6" s="406">
        <f>'Total Market Consumption'!AP29</f>
        <v>2010</v>
      </c>
      <c r="S6" s="406">
        <f>'Total Market Consumption'!AQ29</f>
        <v>2011</v>
      </c>
      <c r="T6" s="406">
        <f>'Total Market Consumption'!AR29</f>
        <v>2012</v>
      </c>
      <c r="U6" s="406">
        <f>'Total Market Consumption'!AS29</f>
        <v>2013</v>
      </c>
      <c r="V6" s="414">
        <f>'Total Market Consumption'!AT29</f>
        <v>2014</v>
      </c>
      <c r="Y6" s="827" t="str">
        <f>'Momentum Savings'!P9</f>
        <v>Momentum Savings (aMW)</v>
      </c>
      <c r="Z6" s="828"/>
      <c r="AA6" s="828"/>
      <c r="AB6" s="828"/>
      <c r="AC6" s="829"/>
      <c r="AE6" s="587"/>
    </row>
    <row r="7" spans="2:36" ht="15">
      <c r="B7" s="430" t="str">
        <f>'Market Size'!Z11</f>
        <v>Air Source Heat Pump</v>
      </c>
      <c r="C7" s="418" t="str">
        <f>'Market Size'!AA11</f>
        <v>HSPF_8.5</v>
      </c>
      <c r="D7" s="407">
        <f ca="1">'Market Size'!AB11</f>
        <v>1558.7870743672756</v>
      </c>
      <c r="E7" s="407">
        <f ca="1">'Market Size'!AC11</f>
        <v>2466.342750693923</v>
      </c>
      <c r="F7" s="407">
        <f ca="1">'Market Size'!AD11</f>
        <v>2966.5199769688948</v>
      </c>
      <c r="G7" s="407">
        <f ca="1">'Market Size'!AE11</f>
        <v>2927.5455004412806</v>
      </c>
      <c r="H7" s="433">
        <f ca="1">'Market Size'!AF11</f>
        <v>2876.1821161547036</v>
      </c>
      <c r="P7" s="820" t="str">
        <f>'Total Market Consumption'!AN30</f>
        <v>Base Market Consumption</v>
      </c>
      <c r="Q7" s="821"/>
      <c r="R7" s="407">
        <f ca="1">'Total Market Consumption'!AP30</f>
        <v>546755.4275667274</v>
      </c>
      <c r="S7" s="407">
        <f ca="1">'Total Market Consumption'!AQ30</f>
        <v>604106.221522142</v>
      </c>
      <c r="T7" s="407">
        <f ca="1">'Total Market Consumption'!AR30</f>
        <v>616552.3630107946</v>
      </c>
      <c r="U7" s="407">
        <f ca="1">'Total Market Consumption'!AS30</f>
        <v>646369.6310443133</v>
      </c>
      <c r="V7" s="421">
        <f ca="1">'Total Market Consumption'!AT30</f>
        <v>667747.8735493419</v>
      </c>
      <c r="Y7" s="439">
        <f>'Momentum Savings'!P10</f>
        <v>2010</v>
      </c>
      <c r="Z7" s="439">
        <f>'Momentum Savings'!Q10</f>
        <v>2011</v>
      </c>
      <c r="AA7" s="406">
        <f>'Momentum Savings'!R10</f>
        <v>2012</v>
      </c>
      <c r="AB7" s="406">
        <f>'Momentum Savings'!S10</f>
        <v>2013</v>
      </c>
      <c r="AC7" s="414">
        <f>'Momentum Savings'!T10</f>
        <v>2014</v>
      </c>
      <c r="AE7" s="588" t="str">
        <f>$P$5</f>
        <v>Total Market Consumption (MWh)</v>
      </c>
      <c r="AF7" s="171"/>
      <c r="AG7" s="171"/>
      <c r="AH7" s="171"/>
      <c r="AI7" s="171"/>
      <c r="AJ7" s="172"/>
    </row>
    <row r="8" spans="2:36" ht="15.75" thickBot="1">
      <c r="B8" s="430" t="str">
        <f>'Market Size'!Z12</f>
        <v>Air Source Heat Pump</v>
      </c>
      <c r="C8" s="418" t="str">
        <f>'Market Size'!AA12</f>
        <v>HSPF_9.0</v>
      </c>
      <c r="D8" s="407">
        <f ca="1">'Market Size'!AB12</f>
        <v>191.1858206813247</v>
      </c>
      <c r="E8" s="407">
        <f ca="1">'Market Size'!AC12</f>
        <v>275.1559755654996</v>
      </c>
      <c r="F8" s="407">
        <f ca="1">'Market Size'!AD12</f>
        <v>305.05134446830493</v>
      </c>
      <c r="G8" s="407">
        <f ca="1">'Market Size'!AE12</f>
        <v>431.217241996206</v>
      </c>
      <c r="H8" s="433">
        <f ca="1">'Market Size'!AF12</f>
        <v>436.8742967029683</v>
      </c>
      <c r="P8" s="822" t="str">
        <f>'Total Market Consumption'!AN31</f>
        <v>Actual Market Consumption</v>
      </c>
      <c r="Q8" s="823"/>
      <c r="R8" s="422">
        <f ca="1">'Total Market Consumption'!AP31</f>
        <v>523268.7710957778</v>
      </c>
      <c r="S8" s="422">
        <f ca="1">'Total Market Consumption'!AQ31</f>
        <v>574140.3070852581</v>
      </c>
      <c r="T8" s="422">
        <f ca="1">'Total Market Consumption'!AR31</f>
        <v>580449.6413138628</v>
      </c>
      <c r="U8" s="422">
        <f ca="1">'Total Market Consumption'!AS31</f>
        <v>611373.8930020272</v>
      </c>
      <c r="V8" s="423">
        <f ca="1">'Total Market Consumption'!AT31</f>
        <v>630042.8318860091</v>
      </c>
      <c r="Y8" s="740">
        <f ca="1">'Momentum Savings'!P11</f>
        <v>1.4257353278540281</v>
      </c>
      <c r="Z8" s="733">
        <f ca="1">'Momentum Savings'!Q11</f>
        <v>1.8137697422479027</v>
      </c>
      <c r="AA8" s="733">
        <f ca="1">'Momentum Savings'!R11</f>
        <v>2.73509441967227</v>
      </c>
      <c r="AB8" s="733">
        <f ca="1">'Momentum Savings'!S11</f>
        <v>2.523748200953435</v>
      </c>
      <c r="AC8" s="734">
        <f ca="1">'Momentum Savings'!T11</f>
        <v>3.1854806269647518</v>
      </c>
      <c r="AE8" s="166"/>
      <c r="AF8" s="164">
        <v>2010</v>
      </c>
      <c r="AG8" s="164">
        <v>2011</v>
      </c>
      <c r="AH8" s="164">
        <v>2012</v>
      </c>
      <c r="AI8" s="164">
        <v>2013</v>
      </c>
      <c r="AJ8" s="173">
        <v>2014</v>
      </c>
    </row>
    <row r="9" spans="2:36" ht="15.75" thickBot="1">
      <c r="B9" s="430" t="str">
        <f>'Market Size'!Z13</f>
        <v>Air Source Heat Pump</v>
      </c>
      <c r="C9" s="418" t="str">
        <f>'Market Size'!AA13</f>
        <v>HSPF_9.5</v>
      </c>
      <c r="D9" s="407">
        <f ca="1">'Market Size'!AB13</f>
        <v>191.1858206813247</v>
      </c>
      <c r="E9" s="407">
        <f ca="1">'Market Size'!AC13</f>
        <v>275.1559755654996</v>
      </c>
      <c r="F9" s="407">
        <f ca="1">'Market Size'!AD13</f>
        <v>305.05134446830493</v>
      </c>
      <c r="G9" s="407">
        <f ca="1">'Market Size'!AE13</f>
        <v>431.217241996206</v>
      </c>
      <c r="H9" s="433">
        <f ca="1">'Market Size'!AF13</f>
        <v>436.8742967029683</v>
      </c>
      <c r="AE9" s="166" t="str">
        <f>P7</f>
        <v>Base Market Consumption</v>
      </c>
      <c r="AF9" s="148">
        <f aca="true" t="shared" si="0" ref="AF9:AJ10">R7</f>
        <v>546755.4275667274</v>
      </c>
      <c r="AG9" s="148">
        <f ca="1" t="shared" si="0"/>
        <v>604106.221522142</v>
      </c>
      <c r="AH9" s="148">
        <f ca="1" t="shared" si="0"/>
        <v>616552.3630107946</v>
      </c>
      <c r="AI9" s="148">
        <f ca="1" t="shared" si="0"/>
        <v>646369.6310443133</v>
      </c>
      <c r="AJ9" s="167">
        <f ca="1" t="shared" si="0"/>
        <v>667747.8735493419</v>
      </c>
    </row>
    <row r="10" spans="2:36" ht="15.75" thickBot="1">
      <c r="B10" s="430" t="str">
        <f>'Market Size'!Z14</f>
        <v>Air Source Heat Pump</v>
      </c>
      <c r="C10" s="418" t="str">
        <f>'Market Size'!AA14</f>
        <v>HSPF_10.0</v>
      </c>
      <c r="D10" s="407">
        <f ca="1">'Market Size'!AB14</f>
        <v>84.05583495472034</v>
      </c>
      <c r="E10" s="407">
        <f ca="1">'Market Size'!AC14</f>
        <v>75.88942678685126</v>
      </c>
      <c r="F10" s="407">
        <f ca="1">'Market Size'!AD14</f>
        <v>87.47469411973229</v>
      </c>
      <c r="G10" s="407">
        <f ca="1">'Market Size'!AE14</f>
        <v>17.374376659941433</v>
      </c>
      <c r="H10" s="433">
        <f ca="1">'Market Size'!AF14</f>
        <v>42.705514554624806</v>
      </c>
      <c r="P10" s="827" t="s">
        <v>472</v>
      </c>
      <c r="Q10" s="828"/>
      <c r="R10" s="828"/>
      <c r="S10" s="828"/>
      <c r="T10" s="828"/>
      <c r="U10" s="828"/>
      <c r="V10" s="829"/>
      <c r="X10" s="824" t="s">
        <v>461</v>
      </c>
      <c r="Y10" s="825"/>
      <c r="Z10" s="825"/>
      <c r="AA10" s="825"/>
      <c r="AB10" s="825"/>
      <c r="AC10" s="826"/>
      <c r="AE10" s="168" t="str">
        <f>P8</f>
        <v>Actual Market Consumption</v>
      </c>
      <c r="AF10" s="169">
        <f ca="1" t="shared" si="0"/>
        <v>523268.7710957778</v>
      </c>
      <c r="AG10" s="169">
        <f ca="1" t="shared" si="0"/>
        <v>574140.3070852581</v>
      </c>
      <c r="AH10" s="169">
        <f ca="1" t="shared" si="0"/>
        <v>580449.6413138628</v>
      </c>
      <c r="AI10" s="169">
        <f ca="1" t="shared" si="0"/>
        <v>611373.8930020272</v>
      </c>
      <c r="AJ10" s="170">
        <f ca="1" t="shared" si="0"/>
        <v>630042.8318860091</v>
      </c>
    </row>
    <row r="11" spans="2:31" ht="15.75" thickBot="1">
      <c r="B11" s="430" t="str">
        <f>'Market Size'!Z15</f>
        <v>Air Source Heat Pump</v>
      </c>
      <c r="C11" s="418" t="str">
        <f>'Market Size'!AA15</f>
        <v>HSPF_10.5</v>
      </c>
      <c r="D11" s="407">
        <f ca="1">'Market Size'!AB15</f>
        <v>84.05583495472034</v>
      </c>
      <c r="E11" s="407">
        <f ca="1">'Market Size'!AC15</f>
        <v>75.88942678685126</v>
      </c>
      <c r="F11" s="407">
        <f ca="1">'Market Size'!AD15</f>
        <v>87.47469411973229</v>
      </c>
      <c r="G11" s="407">
        <f ca="1">'Market Size'!AE15</f>
        <v>17.374376659941433</v>
      </c>
      <c r="H11" s="433">
        <f ca="1">'Market Size'!AF15</f>
        <v>42.705514554624806</v>
      </c>
      <c r="P11" s="833" t="str">
        <f aca="true" t="shared" si="1" ref="P11:V13">P6</f>
        <v>Case</v>
      </c>
      <c r="Q11" s="834">
        <f t="shared" si="1"/>
        <v>0</v>
      </c>
      <c r="R11" s="406">
        <f t="shared" si="1"/>
        <v>2010</v>
      </c>
      <c r="S11" s="406">
        <f t="shared" si="1"/>
        <v>2011</v>
      </c>
      <c r="T11" s="406">
        <f t="shared" si="1"/>
        <v>2012</v>
      </c>
      <c r="U11" s="406">
        <f t="shared" si="1"/>
        <v>2013</v>
      </c>
      <c r="V11" s="414">
        <f t="shared" si="1"/>
        <v>2014</v>
      </c>
      <c r="X11" s="693" t="s">
        <v>360</v>
      </c>
      <c r="Y11" s="730">
        <v>2010</v>
      </c>
      <c r="Z11" s="730">
        <v>2011</v>
      </c>
      <c r="AA11" s="730">
        <v>2012</v>
      </c>
      <c r="AB11" s="730">
        <v>2013</v>
      </c>
      <c r="AC11" s="414">
        <v>2014</v>
      </c>
      <c r="AD11" s="44">
        <v>8760</v>
      </c>
      <c r="AE11" s="587"/>
    </row>
    <row r="12" spans="2:36" ht="15.75" thickBot="1">
      <c r="B12" s="431" t="str">
        <f>'Market Size'!Z16</f>
        <v>Air Source Heat Pump</v>
      </c>
      <c r="C12" s="432" t="str">
        <f>'Market Size'!AA16</f>
        <v>HSPF_11.5</v>
      </c>
      <c r="D12" s="434">
        <f ca="1">'Market Size'!AB16</f>
        <v>124.34403471515274</v>
      </c>
      <c r="E12" s="434">
        <f ca="1">'Market Size'!AC16</f>
        <v>142.6902994674928</v>
      </c>
      <c r="F12" s="434">
        <f ca="1">'Market Size'!AD16</f>
        <v>230.45363577736578</v>
      </c>
      <c r="G12" s="434">
        <f ca="1">'Market Size'!AE16</f>
        <v>222.5398882826541</v>
      </c>
      <c r="H12" s="435">
        <f ca="1">'Market Size'!AF16</f>
        <v>145.88453147127308</v>
      </c>
      <c r="P12" s="820" t="str">
        <f t="shared" si="1"/>
        <v>Base Market Consumption</v>
      </c>
      <c r="Q12" s="821">
        <f t="shared" si="1"/>
        <v>0</v>
      </c>
      <c r="R12" s="714">
        <f aca="true" t="shared" si="2" ref="R12:V13">R7/8760</f>
        <v>62.41500314688669</v>
      </c>
      <c r="S12" s="714">
        <f ca="1" t="shared" si="2"/>
        <v>68.96189743403447</v>
      </c>
      <c r="T12" s="714">
        <f ca="1" t="shared" si="2"/>
        <v>70.38268984141492</v>
      </c>
      <c r="U12" s="714">
        <f ca="1" t="shared" si="2"/>
        <v>73.78648756213622</v>
      </c>
      <c r="V12" s="715">
        <f ca="1" t="shared" si="2"/>
        <v>76.22692620426278</v>
      </c>
      <c r="X12" s="697" t="s">
        <v>297</v>
      </c>
      <c r="Y12" s="694">
        <v>-213.51569145036046</v>
      </c>
      <c r="Z12" s="691">
        <v>-5260.433357438225</v>
      </c>
      <c r="AA12" s="691">
        <v>-988.5219767134404</v>
      </c>
      <c r="AB12" s="691">
        <v>-1965.3727764756331</v>
      </c>
      <c r="AC12" s="692">
        <v>6000.208495402458</v>
      </c>
      <c r="AE12" s="165" t="str">
        <f aca="true" t="shared" si="3" ref="AE12:AJ13">AE2</f>
        <v>Sources of Total Market Savings</v>
      </c>
      <c r="AF12" s="171"/>
      <c r="AG12" s="171"/>
      <c r="AH12" s="171"/>
      <c r="AI12" s="171"/>
      <c r="AJ12" s="172"/>
    </row>
    <row r="13" spans="2:36" ht="15.75" thickBot="1">
      <c r="B13" s="50" t="str">
        <f>'Market Size'!Z17</f>
        <v>Upgrades</v>
      </c>
      <c r="C13" s="50"/>
      <c r="D13" s="586"/>
      <c r="E13" s="50"/>
      <c r="F13" s="50"/>
      <c r="G13" s="50"/>
      <c r="H13" s="50"/>
      <c r="P13" s="822" t="str">
        <f t="shared" si="1"/>
        <v>Actual Market Consumption</v>
      </c>
      <c r="Q13" s="823">
        <f t="shared" si="1"/>
        <v>0</v>
      </c>
      <c r="R13" s="437">
        <f ca="1" t="shared" si="2"/>
        <v>59.73387797897007</v>
      </c>
      <c r="S13" s="437">
        <f ca="1" t="shared" si="2"/>
        <v>65.54113094580572</v>
      </c>
      <c r="T13" s="437">
        <f ca="1" t="shared" si="2"/>
        <v>66.26137457920808</v>
      </c>
      <c r="U13" s="437">
        <f ca="1" t="shared" si="2"/>
        <v>69.79154029703507</v>
      </c>
      <c r="V13" s="438">
        <f ca="1" t="shared" si="2"/>
        <v>71.92269770388232</v>
      </c>
      <c r="X13" s="698" t="s">
        <v>298</v>
      </c>
      <c r="Y13" s="695">
        <v>22840.33507659976</v>
      </c>
      <c r="Z13" s="407">
        <v>19545.429624956647</v>
      </c>
      <c r="AA13" s="407">
        <v>25299.86737889622</v>
      </c>
      <c r="AB13" s="407">
        <v>25244.165835443404</v>
      </c>
      <c r="AC13" s="421">
        <v>32880.54958145703</v>
      </c>
      <c r="AE13" s="166"/>
      <c r="AF13" s="724">
        <f t="shared" si="3"/>
        <v>2010</v>
      </c>
      <c r="AG13" s="724">
        <f t="shared" si="3"/>
        <v>2011</v>
      </c>
      <c r="AH13" s="724">
        <f t="shared" si="3"/>
        <v>2012</v>
      </c>
      <c r="AI13" s="724">
        <f t="shared" si="3"/>
        <v>2013</v>
      </c>
      <c r="AJ13" s="173">
        <f t="shared" si="3"/>
        <v>2014</v>
      </c>
    </row>
    <row r="14" spans="2:36" ht="15">
      <c r="B14" s="830" t="str">
        <f>'Market Size'!Z18</f>
        <v>Efficient Case Units Shipped by Efficiency Level - Single Family</v>
      </c>
      <c r="C14" s="831"/>
      <c r="D14" s="831"/>
      <c r="E14" s="831"/>
      <c r="F14" s="831"/>
      <c r="G14" s="831"/>
      <c r="H14" s="832"/>
      <c r="X14" s="698" t="s">
        <v>299</v>
      </c>
      <c r="Y14" s="695">
        <v>45894.18584465017</v>
      </c>
      <c r="Z14" s="407">
        <v>44351.29260735152</v>
      </c>
      <c r="AA14" s="407">
        <v>51588.256734505994</v>
      </c>
      <c r="AB14" s="407">
        <v>52453.704447362674</v>
      </c>
      <c r="AC14" s="421">
        <v>59760.890667511485</v>
      </c>
      <c r="AE14" s="166" t="s">
        <v>490</v>
      </c>
      <c r="AF14" s="725">
        <f aca="true" t="shared" si="4" ref="AF14:AJ15">AF4/$AD$11</f>
        <v>1.2553898400625914</v>
      </c>
      <c r="AG14" s="725">
        <f t="shared" si="4"/>
        <v>1.60699674598085</v>
      </c>
      <c r="AH14" s="725">
        <f t="shared" si="4"/>
        <v>1.3862208425345646</v>
      </c>
      <c r="AI14" s="725">
        <f t="shared" si="4"/>
        <v>1.4711990641477215</v>
      </c>
      <c r="AJ14" s="726">
        <f t="shared" si="4"/>
        <v>1.1187478734157095</v>
      </c>
    </row>
    <row r="15" spans="2:36" ht="15.75" thickBot="1">
      <c r="B15" s="427" t="str">
        <f>'Market Size'!Z19</f>
        <v>Unit Type</v>
      </c>
      <c r="C15" s="405" t="str">
        <f>'Market Size'!AA19</f>
        <v>Efficiency Level</v>
      </c>
      <c r="D15" s="406">
        <f>'Market Size'!AB19</f>
        <v>2010</v>
      </c>
      <c r="E15" s="406">
        <f>'Market Size'!AC19</f>
        <v>2011</v>
      </c>
      <c r="F15" s="406">
        <f>'Market Size'!AD19</f>
        <v>2012</v>
      </c>
      <c r="G15" s="406">
        <f>'Market Size'!AE19</f>
        <v>2013</v>
      </c>
      <c r="H15" s="428">
        <f>'Market Size'!AF19</f>
        <v>2014</v>
      </c>
      <c r="X15" s="699" t="s">
        <v>361</v>
      </c>
      <c r="Y15" s="696">
        <v>12489.441472001286</v>
      </c>
      <c r="Z15" s="422">
        <v>15888.622942091628</v>
      </c>
      <c r="AA15" s="422">
        <v>23959.427116329083</v>
      </c>
      <c r="AB15" s="422">
        <v>22108.03424035209</v>
      </c>
      <c r="AC15" s="423">
        <v>27904.810292211227</v>
      </c>
      <c r="AE15" s="727" t="s">
        <v>338</v>
      </c>
      <c r="AF15" s="725">
        <f ca="1" t="shared" si="4"/>
        <v>1.4257353278540281</v>
      </c>
      <c r="AG15" s="725">
        <f ca="1" t="shared" si="4"/>
        <v>1.8137697422479027</v>
      </c>
      <c r="AH15" s="725">
        <f ca="1" t="shared" si="4"/>
        <v>2.73509441967227</v>
      </c>
      <c r="AI15" s="725">
        <f ca="1" t="shared" si="4"/>
        <v>2.523748200953435</v>
      </c>
      <c r="AJ15" s="726">
        <f ca="1" t="shared" si="4"/>
        <v>3.1854806269647518</v>
      </c>
    </row>
    <row r="16" spans="2:36" ht="15.75" thickBot="1">
      <c r="B16" s="429" t="str">
        <f>'Market Size'!Z20</f>
        <v>Forced Air Furnace</v>
      </c>
      <c r="C16" s="416" t="str">
        <f>'Market Size'!AA20</f>
        <v>n/a</v>
      </c>
      <c r="D16" s="407">
        <f ca="1">'Market Size'!AB20</f>
        <v>0</v>
      </c>
      <c r="E16" s="407">
        <f ca="1">'Market Size'!AC20</f>
        <v>0</v>
      </c>
      <c r="F16" s="407">
        <f ca="1">'Market Size'!AD20</f>
        <v>0</v>
      </c>
      <c r="G16" s="407">
        <f ca="1">'Market Size'!AE20</f>
        <v>0</v>
      </c>
      <c r="H16" s="433">
        <f ca="1">'Market Size'!AF20</f>
        <v>0</v>
      </c>
      <c r="AE16" s="166" t="s">
        <v>488</v>
      </c>
      <c r="AF16" s="717">
        <f aca="true" t="shared" si="5" ref="AF16:AJ17">AF14/SUM(AF$14:AF$15)</f>
        <v>0.46823246265600416</v>
      </c>
      <c r="AG16" s="717">
        <f ca="1" t="shared" si="5"/>
        <v>0.4697768033891553</v>
      </c>
      <c r="AH16" s="717">
        <f ca="1" t="shared" si="5"/>
        <v>0.33635399243694036</v>
      </c>
      <c r="AI16" s="717">
        <f ca="1" t="shared" si="5"/>
        <v>0.3682649523310964</v>
      </c>
      <c r="AJ16" s="728">
        <f ca="1" t="shared" si="5"/>
        <v>0.2599183275973431</v>
      </c>
    </row>
    <row r="17" spans="2:36" ht="15.75" thickBot="1">
      <c r="B17" s="430" t="str">
        <f>'Market Size'!Z21</f>
        <v>Air Source Heat Pump</v>
      </c>
      <c r="C17" s="418" t="str">
        <f>'Market Size'!AA21</f>
        <v>HSPF_7.7</v>
      </c>
      <c r="D17" s="407">
        <f ca="1">'Market Size'!AB21</f>
        <v>10157.06711730182</v>
      </c>
      <c r="E17" s="407">
        <f ca="1">'Market Size'!AC21</f>
        <v>11165.29952579454</v>
      </c>
      <c r="F17" s="407">
        <f ca="1">'Market Size'!AD21</f>
        <v>11430.78808218861</v>
      </c>
      <c r="G17" s="407">
        <f ca="1">'Market Size'!AE21</f>
        <v>11910.595256951165</v>
      </c>
      <c r="H17" s="433">
        <f ca="1">'Market Size'!AF21</f>
        <v>11977.8939855501</v>
      </c>
      <c r="X17" s="824" t="s">
        <v>461</v>
      </c>
      <c r="Y17" s="825"/>
      <c r="Z17" s="825"/>
      <c r="AA17" s="825"/>
      <c r="AB17" s="825"/>
      <c r="AC17" s="826"/>
      <c r="AE17" s="729" t="s">
        <v>489</v>
      </c>
      <c r="AF17" s="722">
        <f ca="1" t="shared" si="5"/>
        <v>0.5317675373439958</v>
      </c>
      <c r="AG17" s="722">
        <f ca="1" t="shared" si="5"/>
        <v>0.5302231966108446</v>
      </c>
      <c r="AH17" s="722">
        <f ca="1" t="shared" si="5"/>
        <v>0.6636460075630596</v>
      </c>
      <c r="AI17" s="722">
        <f ca="1" t="shared" si="5"/>
        <v>0.6317350476689035</v>
      </c>
      <c r="AJ17" s="723">
        <f ca="1" t="shared" si="5"/>
        <v>0.740081672402657</v>
      </c>
    </row>
    <row r="18" spans="2:29" ht="15.75" thickBot="1">
      <c r="B18" s="430" t="str">
        <f>'Market Size'!Z22</f>
        <v>Air Source Heat Pump</v>
      </c>
      <c r="C18" s="418" t="str">
        <f>'Market Size'!AA22</f>
        <v>HSPF_8.5</v>
      </c>
      <c r="D18" s="407">
        <f ca="1">'Market Size'!AB22</f>
        <v>14163.983503026393</v>
      </c>
      <c r="E18" s="407">
        <f ca="1">'Market Size'!AC22</f>
        <v>15168.58686607412</v>
      </c>
      <c r="F18" s="407">
        <f ca="1">'Market Size'!AD22</f>
        <v>16012.728918930998</v>
      </c>
      <c r="G18" s="407">
        <f ca="1">'Market Size'!AE22</f>
        <v>16124.994542857468</v>
      </c>
      <c r="H18" s="433">
        <f ca="1">'Market Size'!AF22</f>
        <v>16487.464321548803</v>
      </c>
      <c r="X18" s="404" t="s">
        <v>360</v>
      </c>
      <c r="Y18" s="730">
        <v>2010</v>
      </c>
      <c r="Z18" s="730">
        <v>2011</v>
      </c>
      <c r="AA18" s="730">
        <v>2012</v>
      </c>
      <c r="AB18" s="730">
        <v>2013</v>
      </c>
      <c r="AC18" s="414">
        <v>2014</v>
      </c>
    </row>
    <row r="19" spans="2:37" ht="15">
      <c r="B19" s="430" t="str">
        <f>'Market Size'!Z23</f>
        <v>Air Source Heat Pump</v>
      </c>
      <c r="C19" s="418" t="str">
        <f>'Market Size'!AA23</f>
        <v>HSPF_9.0</v>
      </c>
      <c r="D19" s="407">
        <f ca="1">'Market Size'!AB23</f>
        <v>1737.2179014520154</v>
      </c>
      <c r="E19" s="407">
        <f ca="1">'Market Size'!AC23</f>
        <v>1692.2738398425531</v>
      </c>
      <c r="F19" s="407">
        <f ca="1">'Market Size'!AD23</f>
        <v>1646.6110200671765</v>
      </c>
      <c r="G19" s="407">
        <f ca="1">'Market Size'!AE23</f>
        <v>2375.155458019956</v>
      </c>
      <c r="H19" s="433">
        <f ca="1">'Market Size'!AF23</f>
        <v>2504.3439841430704</v>
      </c>
      <c r="X19" s="415" t="s">
        <v>297</v>
      </c>
      <c r="Y19" s="731">
        <f aca="true" t="shared" si="6" ref="Y19:AC22">Y12/$AD$11</f>
        <v>-0.024373937380178134</v>
      </c>
      <c r="Z19" s="731">
        <f t="shared" si="6"/>
        <v>-0.6005060910317609</v>
      </c>
      <c r="AA19" s="731">
        <f t="shared" si="6"/>
        <v>-0.1128449745106667</v>
      </c>
      <c r="AB19" s="731">
        <f t="shared" si="6"/>
        <v>-0.22435762288534625</v>
      </c>
      <c r="AC19" s="732">
        <f t="shared" si="6"/>
        <v>0.6849553076943444</v>
      </c>
      <c r="AE19" s="827" t="s">
        <v>300</v>
      </c>
      <c r="AF19" s="828"/>
      <c r="AG19" s="828"/>
      <c r="AH19" s="828"/>
      <c r="AI19" s="828"/>
      <c r="AJ19" s="828"/>
      <c r="AK19" s="829"/>
    </row>
    <row r="20" spans="2:37" ht="15">
      <c r="B20" s="430" t="str">
        <f>'Market Size'!Z24</f>
        <v>Air Source Heat Pump</v>
      </c>
      <c r="C20" s="418" t="str">
        <f>'Market Size'!AA24</f>
        <v>HSPF_9.5</v>
      </c>
      <c r="D20" s="407">
        <f ca="1">'Market Size'!AB24</f>
        <v>1737.2179014520154</v>
      </c>
      <c r="E20" s="407">
        <f ca="1">'Market Size'!AC24</f>
        <v>1692.2738398425531</v>
      </c>
      <c r="F20" s="407">
        <f ca="1">'Market Size'!AD24</f>
        <v>1646.6110200671765</v>
      </c>
      <c r="G20" s="407">
        <f ca="1">'Market Size'!AE24</f>
        <v>2375.155458019956</v>
      </c>
      <c r="H20" s="433">
        <f ca="1">'Market Size'!AF24</f>
        <v>2504.3439841430704</v>
      </c>
      <c r="X20" s="415" t="s">
        <v>298</v>
      </c>
      <c r="Y20" s="731">
        <f t="shared" si="6"/>
        <v>2.607344186826457</v>
      </c>
      <c r="Z20" s="731">
        <f t="shared" si="6"/>
        <v>2.2312134275064666</v>
      </c>
      <c r="AA20" s="731">
        <f t="shared" si="6"/>
        <v>2.8881127144858696</v>
      </c>
      <c r="AB20" s="731">
        <f t="shared" si="6"/>
        <v>2.8817540908040415</v>
      </c>
      <c r="AC20" s="732">
        <f t="shared" si="6"/>
        <v>3.753487395143497</v>
      </c>
      <c r="AE20" s="427" t="s">
        <v>301</v>
      </c>
      <c r="AF20" s="405"/>
      <c r="AG20" s="406">
        <v>2010</v>
      </c>
      <c r="AH20" s="406">
        <v>2011</v>
      </c>
      <c r="AI20" s="406">
        <v>2012</v>
      </c>
      <c r="AJ20" s="406">
        <v>2013</v>
      </c>
      <c r="AK20" s="428">
        <v>2014</v>
      </c>
    </row>
    <row r="21" spans="2:37" ht="15">
      <c r="B21" s="430" t="str">
        <f>'Market Size'!Z25</f>
        <v>Air Source Heat Pump</v>
      </c>
      <c r="C21" s="418" t="str">
        <f>'Market Size'!AA25</f>
        <v>HSPF_10.0</v>
      </c>
      <c r="D21" s="407">
        <f ca="1">'Market Size'!AB25</f>
        <v>763.7768359832136</v>
      </c>
      <c r="E21" s="407">
        <f ca="1">'Market Size'!AC25</f>
        <v>466.7377890234622</v>
      </c>
      <c r="F21" s="407">
        <f ca="1">'Market Size'!AD25</f>
        <v>472.1723012419706</v>
      </c>
      <c r="G21" s="407">
        <f ca="1">'Market Size'!AE25</f>
        <v>95.69850538100123</v>
      </c>
      <c r="H21" s="433">
        <f ca="1">'Market Size'!AF25</f>
        <v>244.80565524623665</v>
      </c>
      <c r="X21" s="415" t="s">
        <v>299</v>
      </c>
      <c r="Y21" s="731">
        <f t="shared" si="6"/>
        <v>5.239062311033124</v>
      </c>
      <c r="Z21" s="731">
        <f t="shared" si="6"/>
        <v>5.062932946044694</v>
      </c>
      <c r="AA21" s="731">
        <f t="shared" si="6"/>
        <v>5.889070403482419</v>
      </c>
      <c r="AB21" s="731">
        <f t="shared" si="6"/>
        <v>5.987865804493456</v>
      </c>
      <c r="AC21" s="732">
        <f t="shared" si="6"/>
        <v>6.822019482592635</v>
      </c>
      <c r="AE21" s="429" t="s">
        <v>130</v>
      </c>
      <c r="AF21" s="416" t="s">
        <v>130</v>
      </c>
      <c r="AG21" s="407">
        <f aca="true" t="shared" si="7" ref="AG21:AK28">SUM(D16,D5)</f>
        <v>5539.487669420487</v>
      </c>
      <c r="AH21" s="407">
        <f ca="1" t="shared" si="7"/>
        <v>6689.651688605543</v>
      </c>
      <c r="AI21" s="407">
        <f ca="1" t="shared" si="7"/>
        <v>5972.044333324912</v>
      </c>
      <c r="AJ21" s="407">
        <f ca="1" t="shared" si="7"/>
        <v>6640.471753673918</v>
      </c>
      <c r="AK21" s="433">
        <f ca="1" t="shared" si="7"/>
        <v>6641.505860251345</v>
      </c>
    </row>
    <row r="22" spans="2:37" ht="15.75" thickBot="1">
      <c r="B22" s="430" t="str">
        <f>'Market Size'!Z26</f>
        <v>Air Source Heat Pump</v>
      </c>
      <c r="C22" s="418" t="str">
        <f>'Market Size'!AA26</f>
        <v>HSPF_10.5</v>
      </c>
      <c r="D22" s="407">
        <f ca="1">'Market Size'!AB26</f>
        <v>763.7768359832136</v>
      </c>
      <c r="E22" s="407">
        <f ca="1">'Market Size'!AC26</f>
        <v>466.7377890234622</v>
      </c>
      <c r="F22" s="407">
        <f ca="1">'Market Size'!AD26</f>
        <v>472.1723012419706</v>
      </c>
      <c r="G22" s="407">
        <f ca="1">'Market Size'!AE26</f>
        <v>95.69850538100123</v>
      </c>
      <c r="H22" s="433">
        <f ca="1">'Market Size'!AF26</f>
        <v>244.80565524623665</v>
      </c>
      <c r="X22" s="488" t="s">
        <v>361</v>
      </c>
      <c r="Y22" s="733">
        <f t="shared" si="6"/>
        <v>1.4257353278540281</v>
      </c>
      <c r="Z22" s="733">
        <f t="shared" si="6"/>
        <v>1.8137697422479027</v>
      </c>
      <c r="AA22" s="733">
        <f t="shared" si="6"/>
        <v>2.73509441967227</v>
      </c>
      <c r="AB22" s="733">
        <f t="shared" si="6"/>
        <v>2.523748200953435</v>
      </c>
      <c r="AC22" s="734">
        <f t="shared" si="6"/>
        <v>3.1854806269647518</v>
      </c>
      <c r="AE22" s="430" t="s">
        <v>56</v>
      </c>
      <c r="AF22" s="418" t="s">
        <v>302</v>
      </c>
      <c r="AG22" s="407">
        <f ca="1" t="shared" si="7"/>
        <v>11274.88153247309</v>
      </c>
      <c r="AH22" s="407">
        <f ca="1" t="shared" si="7"/>
        <v>12980.72609043779</v>
      </c>
      <c r="AI22" s="407">
        <f ca="1" t="shared" si="7"/>
        <v>13548.457179691464</v>
      </c>
      <c r="AJ22" s="407">
        <f ca="1" t="shared" si="7"/>
        <v>14073.002782695705</v>
      </c>
      <c r="AK22" s="433">
        <f ca="1" t="shared" si="7"/>
        <v>14067.396882936806</v>
      </c>
    </row>
    <row r="23" spans="2:37" ht="15.75" thickBot="1">
      <c r="B23" s="431" t="str">
        <f>'Market Size'!Z27</f>
        <v>Air Source Heat Pump</v>
      </c>
      <c r="C23" s="432" t="str">
        <f>'Market Size'!AA27</f>
        <v>HSPF_11.5</v>
      </c>
      <c r="D23" s="434">
        <f ca="1">'Market Size'!AB27</f>
        <v>1129.8572366723356</v>
      </c>
      <c r="E23" s="434">
        <f ca="1">'Market Size'!AC27</f>
        <v>877.5788368465097</v>
      </c>
      <c r="F23" s="434">
        <f ca="1">'Market Size'!AD27</f>
        <v>1243.946316469963</v>
      </c>
      <c r="G23" s="434">
        <f ca="1">'Market Size'!AE27</f>
        <v>1225.7553242417603</v>
      </c>
      <c r="H23" s="435">
        <f ca="1">'Market Size'!AF27</f>
        <v>836.2704135418887</v>
      </c>
      <c r="AE23" s="430" t="s">
        <v>56</v>
      </c>
      <c r="AF23" s="418" t="s">
        <v>303</v>
      </c>
      <c r="AG23" s="407">
        <f ca="1" t="shared" si="7"/>
        <v>15722.770577393669</v>
      </c>
      <c r="AH23" s="407">
        <f ca="1" t="shared" si="7"/>
        <v>17634.929616768044</v>
      </c>
      <c r="AI23" s="407">
        <f ca="1" t="shared" si="7"/>
        <v>18979.24889589989</v>
      </c>
      <c r="AJ23" s="407">
        <f ca="1" t="shared" si="7"/>
        <v>19052.540043298748</v>
      </c>
      <c r="AK23" s="433">
        <f ca="1" t="shared" si="7"/>
        <v>19363.646437703508</v>
      </c>
    </row>
    <row r="24" spans="2:37" ht="15.75" thickBot="1">
      <c r="B24" s="50" t="str">
        <f>'Market Size'!Z28</f>
        <v>Conversions</v>
      </c>
      <c r="C24" s="50"/>
      <c r="D24" s="50"/>
      <c r="E24" s="50"/>
      <c r="F24" s="50"/>
      <c r="G24" s="50"/>
      <c r="H24" s="50"/>
      <c r="AE24" s="430" t="s">
        <v>56</v>
      </c>
      <c r="AF24" s="418" t="s">
        <v>304</v>
      </c>
      <c r="AG24" s="407">
        <f ca="1" t="shared" si="7"/>
        <v>1928.4037221333401</v>
      </c>
      <c r="AH24" s="407">
        <f ca="1" t="shared" si="7"/>
        <v>1967.4298154080527</v>
      </c>
      <c r="AI24" s="407">
        <f ca="1" t="shared" si="7"/>
        <v>1951.6623645354814</v>
      </c>
      <c r="AJ24" s="407">
        <f ca="1" t="shared" si="7"/>
        <v>2806.3727000161616</v>
      </c>
      <c r="AK24" s="433">
        <f ca="1" t="shared" si="7"/>
        <v>2941.218280846039</v>
      </c>
    </row>
    <row r="25" spans="2:37" ht="15">
      <c r="B25" s="830" t="str">
        <f>'Market Size'!Z29</f>
        <v>Efficient Case Units Shipped by Efficiency Level - Manufactured Homes</v>
      </c>
      <c r="C25" s="831"/>
      <c r="D25" s="831"/>
      <c r="E25" s="831"/>
      <c r="F25" s="831"/>
      <c r="G25" s="831"/>
      <c r="H25" s="832"/>
      <c r="AE25" s="430" t="s">
        <v>56</v>
      </c>
      <c r="AF25" s="418" t="s">
        <v>305</v>
      </c>
      <c r="AG25" s="407">
        <f ca="1" t="shared" si="7"/>
        <v>1928.4037221333401</v>
      </c>
      <c r="AH25" s="407">
        <f ca="1" t="shared" si="7"/>
        <v>1967.4298154080527</v>
      </c>
      <c r="AI25" s="407">
        <f ca="1" t="shared" si="7"/>
        <v>1951.6623645354814</v>
      </c>
      <c r="AJ25" s="407">
        <f ca="1" t="shared" si="7"/>
        <v>2806.3727000161616</v>
      </c>
      <c r="AK25" s="433">
        <f ca="1" t="shared" si="7"/>
        <v>2941.218280846039</v>
      </c>
    </row>
    <row r="26" spans="2:37" ht="15">
      <c r="B26" s="427" t="str">
        <f>'Market Size'!Z30</f>
        <v>Unit Type</v>
      </c>
      <c r="C26" s="405" t="str">
        <f>'Market Size'!AA30</f>
        <v>Efficiency Level</v>
      </c>
      <c r="D26" s="406">
        <f>'Market Size'!AB30</f>
        <v>2010</v>
      </c>
      <c r="E26" s="406">
        <f>'Market Size'!AC30</f>
        <v>2011</v>
      </c>
      <c r="F26" s="406">
        <f>'Market Size'!AD30</f>
        <v>2012</v>
      </c>
      <c r="G26" s="406">
        <f>'Market Size'!AE30</f>
        <v>2013</v>
      </c>
      <c r="H26" s="428">
        <f>'Market Size'!AF30</f>
        <v>2014</v>
      </c>
      <c r="AE26" s="430" t="s">
        <v>56</v>
      </c>
      <c r="AF26" s="418" t="s">
        <v>306</v>
      </c>
      <c r="AG26" s="407">
        <f ca="1" t="shared" si="7"/>
        <v>847.8326709379339</v>
      </c>
      <c r="AH26" s="407">
        <f ca="1" t="shared" si="7"/>
        <v>542.6272158103135</v>
      </c>
      <c r="AI26" s="407">
        <f ca="1" t="shared" si="7"/>
        <v>559.6469953617029</v>
      </c>
      <c r="AJ26" s="407">
        <f ca="1" t="shared" si="7"/>
        <v>113.07288204094266</v>
      </c>
      <c r="AK26" s="433">
        <f ca="1" t="shared" si="7"/>
        <v>287.51116980086147</v>
      </c>
    </row>
    <row r="27" spans="2:37" ht="15">
      <c r="B27" s="429" t="str">
        <f>'Market Size'!Z31</f>
        <v>Forced Air Furnace</v>
      </c>
      <c r="C27" s="416" t="str">
        <f>'Market Size'!AA31</f>
        <v>n/a</v>
      </c>
      <c r="D27" s="407">
        <f ca="1">'Market Size'!AB31</f>
        <v>13702.971253634012</v>
      </c>
      <c r="E27" s="407">
        <f ca="1">'Market Size'!AC31</f>
        <v>14642.761255842132</v>
      </c>
      <c r="F27" s="407">
        <f ca="1">'Market Size'!AD31</f>
        <v>14491.622890686722</v>
      </c>
      <c r="G27" s="407">
        <f ca="1">'Market Size'!AE31</f>
        <v>15343.652447239372</v>
      </c>
      <c r="H27" s="433">
        <f ca="1">'Market Size'!AF31</f>
        <v>17058.072165497717</v>
      </c>
      <c r="AE27" s="430" t="s">
        <v>56</v>
      </c>
      <c r="AF27" s="418" t="s">
        <v>307</v>
      </c>
      <c r="AG27" s="407">
        <f ca="1" t="shared" si="7"/>
        <v>847.8326709379339</v>
      </c>
      <c r="AH27" s="407">
        <f ca="1" t="shared" si="7"/>
        <v>542.6272158103135</v>
      </c>
      <c r="AI27" s="407">
        <f ca="1" t="shared" si="7"/>
        <v>559.6469953617029</v>
      </c>
      <c r="AJ27" s="407">
        <f ca="1" t="shared" si="7"/>
        <v>113.07288204094266</v>
      </c>
      <c r="AK27" s="433">
        <f ca="1" t="shared" si="7"/>
        <v>287.51116980086147</v>
      </c>
    </row>
    <row r="28" spans="2:37" ht="15.75" thickBot="1">
      <c r="B28" s="430" t="str">
        <f>'Market Size'!Z32</f>
        <v>Air Source Heat Pump</v>
      </c>
      <c r="C28" s="418" t="str">
        <f>'Market Size'!AA32</f>
        <v>HSPF_7.7</v>
      </c>
      <c r="D28" s="407">
        <f ca="1">'Market Size'!AB32</f>
        <v>1051.522949840742</v>
      </c>
      <c r="E28" s="407">
        <f ca="1">'Market Size'!AC32</f>
        <v>1096.5791501515143</v>
      </c>
      <c r="F28" s="407">
        <f ca="1">'Market Size'!AD32</f>
        <v>1040.7176729134223</v>
      </c>
      <c r="G28" s="407">
        <f ca="1">'Market Size'!AE32</f>
        <v>1002.6574840762906</v>
      </c>
      <c r="H28" s="433">
        <f ca="1">'Market Size'!AF32</f>
        <v>941.0861186024305</v>
      </c>
      <c r="AE28" s="431" t="s">
        <v>56</v>
      </c>
      <c r="AF28" s="432" t="s">
        <v>308</v>
      </c>
      <c r="AG28" s="434">
        <f ca="1" t="shared" si="7"/>
        <v>1254.2012713874883</v>
      </c>
      <c r="AH28" s="434">
        <f ca="1" t="shared" si="7"/>
        <v>1020.2691363140025</v>
      </c>
      <c r="AI28" s="434">
        <f ca="1" t="shared" si="7"/>
        <v>1474.3999522473287</v>
      </c>
      <c r="AJ28" s="434">
        <f ca="1" t="shared" si="7"/>
        <v>1448.2952125244144</v>
      </c>
      <c r="AK28" s="435">
        <f ca="1" t="shared" si="7"/>
        <v>982.1549450131618</v>
      </c>
    </row>
    <row r="29" spans="2:8" ht="15.75" thickBot="1">
      <c r="B29" s="430" t="str">
        <f>'Market Size'!Z33</f>
        <v>Air Source Heat Pump</v>
      </c>
      <c r="C29" s="418" t="str">
        <f>'Market Size'!AA33</f>
        <v>HSPF_8.5</v>
      </c>
      <c r="D29" s="407">
        <f ca="1">'Market Size'!AB33</f>
        <v>1466.3439300531452</v>
      </c>
      <c r="E29" s="407">
        <f ca="1">'Market Size'!AC33</f>
        <v>1489.754579012542</v>
      </c>
      <c r="F29" s="407">
        <f ca="1">'Market Size'!AD33</f>
        <v>1457.8811065065777</v>
      </c>
      <c r="G29" s="407">
        <f ca="1">'Market Size'!AE33</f>
        <v>1357.4339577738265</v>
      </c>
      <c r="H29" s="433">
        <f ca="1">'Market Size'!AF33</f>
        <v>1295.3966550948585</v>
      </c>
    </row>
    <row r="30" spans="2:37" ht="15">
      <c r="B30" s="430" t="str">
        <f>'Market Size'!Z34</f>
        <v>Air Source Heat Pump</v>
      </c>
      <c r="C30" s="418" t="str">
        <f>'Market Size'!AA34</f>
        <v>HSPF_9.0</v>
      </c>
      <c r="D30" s="407">
        <f ca="1">'Market Size'!AB34</f>
        <v>179.8476342781348</v>
      </c>
      <c r="E30" s="407">
        <f ca="1">'Market Size'!AC34</f>
        <v>166.20353129184247</v>
      </c>
      <c r="F30" s="407">
        <f ca="1">'Market Size'!AD34</f>
        <v>149.91592676520003</v>
      </c>
      <c r="G30" s="407">
        <f ca="1">'Market Size'!AE34</f>
        <v>199.94528774189567</v>
      </c>
      <c r="H30" s="433">
        <f ca="1">'Market Size'!AF34</f>
        <v>196.76274998975202</v>
      </c>
      <c r="AE30" s="827" t="s">
        <v>309</v>
      </c>
      <c r="AF30" s="828"/>
      <c r="AG30" s="828"/>
      <c r="AH30" s="828"/>
      <c r="AI30" s="828"/>
      <c r="AJ30" s="828"/>
      <c r="AK30" s="829"/>
    </row>
    <row r="31" spans="2:37" ht="15">
      <c r="B31" s="430" t="str">
        <f>'Market Size'!Z35</f>
        <v>Air Source Heat Pump</v>
      </c>
      <c r="C31" s="418" t="str">
        <f>'Market Size'!AA35</f>
        <v>HSPF_9.5</v>
      </c>
      <c r="D31" s="407">
        <f ca="1">'Market Size'!AB35</f>
        <v>179.8476342781348</v>
      </c>
      <c r="E31" s="407">
        <f ca="1">'Market Size'!AC35</f>
        <v>166.20353129184247</v>
      </c>
      <c r="F31" s="407">
        <f ca="1">'Market Size'!AD35</f>
        <v>149.91592676520003</v>
      </c>
      <c r="G31" s="407">
        <f ca="1">'Market Size'!AE35</f>
        <v>199.94528774189567</v>
      </c>
      <c r="H31" s="433">
        <f ca="1">'Market Size'!AF35</f>
        <v>196.76274998975202</v>
      </c>
      <c r="AE31" s="427" t="s">
        <v>301</v>
      </c>
      <c r="AF31" s="405" t="s">
        <v>310</v>
      </c>
      <c r="AG31" s="406">
        <v>2010</v>
      </c>
      <c r="AH31" s="406">
        <v>2011</v>
      </c>
      <c r="AI31" s="406">
        <v>2012</v>
      </c>
      <c r="AJ31" s="406">
        <v>2013</v>
      </c>
      <c r="AK31" s="428">
        <v>2014</v>
      </c>
    </row>
    <row r="32" spans="2:37" ht="15">
      <c r="B32" s="430" t="str">
        <f>'Market Size'!Z36</f>
        <v>Air Source Heat Pump</v>
      </c>
      <c r="C32" s="418" t="str">
        <f>'Market Size'!AA36</f>
        <v>HSPF_10.0</v>
      </c>
      <c r="D32" s="407">
        <f ca="1">'Market Size'!AB36</f>
        <v>79.07094265676616</v>
      </c>
      <c r="E32" s="407">
        <f ca="1">'Market Size'!AC36</f>
        <v>45.83978484845201</v>
      </c>
      <c r="F32" s="407">
        <f ca="1">'Market Size'!AD36</f>
        <v>42.988992100064635</v>
      </c>
      <c r="G32" s="407">
        <f ca="1">'Market Size'!AE36</f>
        <v>8.056089604688468</v>
      </c>
      <c r="H32" s="433">
        <f ca="1">'Market Size'!AF36</f>
        <v>19.234032642594386</v>
      </c>
      <c r="AE32" s="429" t="s">
        <v>130</v>
      </c>
      <c r="AF32" s="416" t="s">
        <v>130</v>
      </c>
      <c r="AG32" s="407">
        <f aca="true" t="shared" si="8" ref="AG32:AK39">SUM(D27,D38)</f>
        <v>13702.971253634012</v>
      </c>
      <c r="AH32" s="407">
        <f ca="1" t="shared" si="8"/>
        <v>14642.761255842132</v>
      </c>
      <c r="AI32" s="407">
        <f ca="1" t="shared" si="8"/>
        <v>14491.622890686722</v>
      </c>
      <c r="AJ32" s="407">
        <f ca="1" t="shared" si="8"/>
        <v>15343.652447239372</v>
      </c>
      <c r="AK32" s="433">
        <f ca="1" t="shared" si="8"/>
        <v>17058.072165497717</v>
      </c>
    </row>
    <row r="33" spans="2:37" ht="15">
      <c r="B33" s="430" t="str">
        <f>'Market Size'!Z37</f>
        <v>Air Source Heat Pump</v>
      </c>
      <c r="C33" s="418" t="str">
        <f>'Market Size'!AA37</f>
        <v>HSPF_10.5</v>
      </c>
      <c r="D33" s="407">
        <f ca="1">'Market Size'!AB37</f>
        <v>79.07094265676616</v>
      </c>
      <c r="E33" s="407">
        <f ca="1">'Market Size'!AC37</f>
        <v>45.83978484845201</v>
      </c>
      <c r="F33" s="407">
        <f ca="1">'Market Size'!AD37</f>
        <v>42.988992100064635</v>
      </c>
      <c r="G33" s="407">
        <f ca="1">'Market Size'!AE37</f>
        <v>8.056089604688468</v>
      </c>
      <c r="H33" s="433">
        <f ca="1">'Market Size'!AF37</f>
        <v>19.234032642594386</v>
      </c>
      <c r="AE33" s="430" t="s">
        <v>56</v>
      </c>
      <c r="AF33" s="418" t="s">
        <v>302</v>
      </c>
      <c r="AG33" s="407">
        <f ca="1" t="shared" si="8"/>
        <v>1993.8464091096098</v>
      </c>
      <c r="AH33" s="407">
        <f ca="1" t="shared" si="8"/>
        <v>2176.4946284467355</v>
      </c>
      <c r="AI33" s="407">
        <f ca="1" t="shared" si="8"/>
        <v>2183.1354541101523</v>
      </c>
      <c r="AJ33" s="407">
        <f ca="1" t="shared" si="8"/>
        <v>2261.3131198840697</v>
      </c>
      <c r="AK33" s="433">
        <f ca="1" t="shared" si="8"/>
        <v>2258.7489288613347</v>
      </c>
    </row>
    <row r="34" spans="2:37" ht="15.75" thickBot="1">
      <c r="B34" s="431" t="str">
        <f>'Market Size'!Z38</f>
        <v>Air Source Heat Pump</v>
      </c>
      <c r="C34" s="432" t="str">
        <f>'Market Size'!AA38</f>
        <v>HSPF_11.5</v>
      </c>
      <c r="D34" s="434">
        <f ca="1">'Market Size'!AB38</f>
        <v>116.96986942035778</v>
      </c>
      <c r="E34" s="434">
        <f ca="1">'Market Size'!AC38</f>
        <v>86.18977510427503</v>
      </c>
      <c r="F34" s="434">
        <f ca="1">'Market Size'!AD38</f>
        <v>113.25526345143932</v>
      </c>
      <c r="G34" s="434">
        <f ca="1">'Market Size'!AE38</f>
        <v>103.18650940473312</v>
      </c>
      <c r="H34" s="435">
        <f ca="1">'Market Size'!AF38</f>
        <v>65.70457866229323</v>
      </c>
      <c r="AE34" s="430" t="s">
        <v>56</v>
      </c>
      <c r="AF34" s="418" t="s">
        <v>303</v>
      </c>
      <c r="AG34" s="407">
        <f ca="1" t="shared" si="8"/>
        <v>2780.409671418906</v>
      </c>
      <c r="AH34" s="407">
        <f ca="1" t="shared" si="8"/>
        <v>2956.8707725992394</v>
      </c>
      <c r="AI34" s="407">
        <f ca="1" t="shared" si="8"/>
        <v>3058.228003933035</v>
      </c>
      <c r="AJ34" s="407">
        <f ca="1" t="shared" si="8"/>
        <v>3061.447470187688</v>
      </c>
      <c r="AK34" s="433">
        <f ca="1" t="shared" si="8"/>
        <v>3109.1477701225867</v>
      </c>
    </row>
    <row r="35" spans="2:37" ht="15.75" thickBot="1">
      <c r="B35" s="50" t="str">
        <f>'Market Size'!Z39</f>
        <v>Upgrades</v>
      </c>
      <c r="C35" s="50"/>
      <c r="D35" s="50"/>
      <c r="E35" s="50"/>
      <c r="F35" s="50"/>
      <c r="G35" s="50"/>
      <c r="H35" s="50"/>
      <c r="AE35" s="430" t="s">
        <v>56</v>
      </c>
      <c r="AF35" s="418" t="s">
        <v>304</v>
      </c>
      <c r="AG35" s="407">
        <f ca="1" t="shared" si="8"/>
        <v>341.0182914663226</v>
      </c>
      <c r="AH35" s="407">
        <f ca="1" t="shared" si="8"/>
        <v>329.88142537234296</v>
      </c>
      <c r="AI35" s="407">
        <f ca="1" t="shared" si="8"/>
        <v>314.4818074825913</v>
      </c>
      <c r="AJ35" s="407">
        <f ca="1" t="shared" si="8"/>
        <v>450.9405351382603</v>
      </c>
      <c r="AK35" s="433">
        <f ca="1" t="shared" si="8"/>
        <v>472.26034046616223</v>
      </c>
    </row>
    <row r="36" spans="2:37" ht="15">
      <c r="B36" s="830" t="str">
        <f>'Market Size'!Z40</f>
        <v>Efficient Case Units Shipped by Efficiency Level - Manufactured Homes</v>
      </c>
      <c r="C36" s="831"/>
      <c r="D36" s="831"/>
      <c r="E36" s="831"/>
      <c r="F36" s="831"/>
      <c r="G36" s="831"/>
      <c r="H36" s="832"/>
      <c r="AE36" s="430" t="s">
        <v>56</v>
      </c>
      <c r="AF36" s="418" t="s">
        <v>305</v>
      </c>
      <c r="AG36" s="407">
        <f ca="1" t="shared" si="8"/>
        <v>341.0182914663226</v>
      </c>
      <c r="AH36" s="407">
        <f ca="1" t="shared" si="8"/>
        <v>329.88142537234296</v>
      </c>
      <c r="AI36" s="407">
        <f ca="1" t="shared" si="8"/>
        <v>314.4818074825913</v>
      </c>
      <c r="AJ36" s="407">
        <f ca="1" t="shared" si="8"/>
        <v>450.9405351382603</v>
      </c>
      <c r="AK36" s="433">
        <f ca="1" t="shared" si="8"/>
        <v>472.26034046616223</v>
      </c>
    </row>
    <row r="37" spans="2:37" ht="15">
      <c r="B37" s="427" t="str">
        <f>'Market Size'!Z41</f>
        <v>Unit Type</v>
      </c>
      <c r="C37" s="405" t="str">
        <f>'Market Size'!AA41</f>
        <v>Efficiency Level</v>
      </c>
      <c r="D37" s="406">
        <f>'Market Size'!AB41</f>
        <v>2010</v>
      </c>
      <c r="E37" s="406">
        <f>'Market Size'!AC41</f>
        <v>2011</v>
      </c>
      <c r="F37" s="406">
        <f>'Market Size'!AD41</f>
        <v>2012</v>
      </c>
      <c r="G37" s="406">
        <f>'Market Size'!AE41</f>
        <v>2013</v>
      </c>
      <c r="H37" s="428">
        <f>'Market Size'!AF41</f>
        <v>2014</v>
      </c>
      <c r="AE37" s="430" t="s">
        <v>56</v>
      </c>
      <c r="AF37" s="418" t="s">
        <v>306</v>
      </c>
      <c r="AG37" s="407">
        <f ca="1" t="shared" si="8"/>
        <v>149.93045573088318</v>
      </c>
      <c r="AH37" s="407">
        <f ca="1" t="shared" si="8"/>
        <v>90.98298602342078</v>
      </c>
      <c r="AI37" s="407">
        <f ca="1" t="shared" si="8"/>
        <v>90.17891713838497</v>
      </c>
      <c r="AJ37" s="407">
        <f ca="1" t="shared" si="8"/>
        <v>18.169057138018204</v>
      </c>
      <c r="AK37" s="433">
        <f ca="1" t="shared" si="8"/>
        <v>46.16458554681715</v>
      </c>
    </row>
    <row r="38" spans="2:37" ht="15">
      <c r="B38" s="429" t="str">
        <f>'Market Size'!Z42</f>
        <v>Forced Air Furnace</v>
      </c>
      <c r="C38" s="416" t="str">
        <f>'Market Size'!AA42</f>
        <v>n/a</v>
      </c>
      <c r="D38" s="407">
        <f ca="1">'Market Size'!AB42</f>
        <v>0</v>
      </c>
      <c r="E38" s="407">
        <f ca="1">'Market Size'!AC42</f>
        <v>0</v>
      </c>
      <c r="F38" s="407">
        <f ca="1">'Market Size'!AD42</f>
        <v>0</v>
      </c>
      <c r="G38" s="407">
        <f ca="1">'Market Size'!AE42</f>
        <v>0</v>
      </c>
      <c r="H38" s="433">
        <f ca="1">'Market Size'!AF42</f>
        <v>0</v>
      </c>
      <c r="AE38" s="430" t="s">
        <v>56</v>
      </c>
      <c r="AF38" s="418" t="s">
        <v>307</v>
      </c>
      <c r="AG38" s="407">
        <f ca="1" t="shared" si="8"/>
        <v>149.93045573088318</v>
      </c>
      <c r="AH38" s="407">
        <f ca="1" t="shared" si="8"/>
        <v>90.98298602342078</v>
      </c>
      <c r="AI38" s="407">
        <f ca="1" t="shared" si="8"/>
        <v>90.17891713838497</v>
      </c>
      <c r="AJ38" s="407">
        <f ca="1" t="shared" si="8"/>
        <v>18.169057138018204</v>
      </c>
      <c r="AK38" s="433">
        <f ca="1" t="shared" si="8"/>
        <v>46.16458554681715</v>
      </c>
    </row>
    <row r="39" spans="2:37" ht="15.75" thickBot="1">
      <c r="B39" s="430" t="str">
        <f>'Market Size'!Z43</f>
        <v>Air Source Heat Pump</v>
      </c>
      <c r="C39" s="418" t="str">
        <f>'Market Size'!AA43</f>
        <v>HSPF_7.7</v>
      </c>
      <c r="D39" s="407">
        <f ca="1">'Market Size'!AB43</f>
        <v>942.3234592688679</v>
      </c>
      <c r="E39" s="407">
        <f ca="1">'Market Size'!AC43</f>
        <v>1079.9154782952212</v>
      </c>
      <c r="F39" s="407">
        <f ca="1">'Market Size'!AD43</f>
        <v>1142.41778119673</v>
      </c>
      <c r="G39" s="407">
        <f ca="1">'Market Size'!AE43</f>
        <v>1258.6556358077792</v>
      </c>
      <c r="H39" s="433">
        <f ca="1">'Market Size'!AF43</f>
        <v>1317.662810258904</v>
      </c>
      <c r="AE39" s="431" t="s">
        <v>56</v>
      </c>
      <c r="AF39" s="432" t="s">
        <v>308</v>
      </c>
      <c r="AG39" s="434">
        <f ca="1" t="shared" si="8"/>
        <v>221.7925478023305</v>
      </c>
      <c r="AH39" s="434">
        <f ca="1" t="shared" si="8"/>
        <v>171.06980605601268</v>
      </c>
      <c r="AI39" s="434">
        <f ca="1" t="shared" si="8"/>
        <v>237.57795936457768</v>
      </c>
      <c r="AJ39" s="434">
        <f ca="1" t="shared" si="8"/>
        <v>232.71856164014804</v>
      </c>
      <c r="AK39" s="435">
        <f ca="1" t="shared" si="8"/>
        <v>157.7009199701491</v>
      </c>
    </row>
    <row r="40" spans="2:8" ht="15.75" thickBot="1">
      <c r="B40" s="430" t="str">
        <f>'Market Size'!Z44</f>
        <v>Air Source Heat Pump</v>
      </c>
      <c r="C40" s="418" t="str">
        <f>'Market Size'!AA44</f>
        <v>HSPF_8.5</v>
      </c>
      <c r="D40" s="407">
        <f ca="1">'Market Size'!AB44</f>
        <v>1314.0657413657607</v>
      </c>
      <c r="E40" s="407">
        <f ca="1">'Market Size'!AC44</f>
        <v>1467.1161935866974</v>
      </c>
      <c r="F40" s="407">
        <f ca="1">'Market Size'!AD44</f>
        <v>1600.3468974264572</v>
      </c>
      <c r="G40" s="407">
        <f ca="1">'Market Size'!AE44</f>
        <v>1704.0135124138617</v>
      </c>
      <c r="H40" s="433">
        <f ca="1">'Market Size'!AF44</f>
        <v>1813.7511150277282</v>
      </c>
    </row>
    <row r="41" spans="2:37" ht="15">
      <c r="B41" s="430" t="str">
        <f>'Market Size'!Z45</f>
        <v>Air Source Heat Pump</v>
      </c>
      <c r="C41" s="418" t="str">
        <f>'Market Size'!AA45</f>
        <v>HSPF_9.0</v>
      </c>
      <c r="D41" s="407">
        <f ca="1">'Market Size'!AB45</f>
        <v>161.17065718818776</v>
      </c>
      <c r="E41" s="407">
        <f ca="1">'Market Size'!AC45</f>
        <v>163.6778940805005</v>
      </c>
      <c r="F41" s="407">
        <f ca="1">'Market Size'!AD45</f>
        <v>164.56588071739125</v>
      </c>
      <c r="G41" s="407">
        <f ca="1">'Market Size'!AE45</f>
        <v>250.99524739636462</v>
      </c>
      <c r="H41" s="433">
        <f ca="1">'Market Size'!AF45</f>
        <v>275.4975904764102</v>
      </c>
      <c r="AE41" s="744"/>
      <c r="AF41" s="536"/>
      <c r="AG41" s="536">
        <v>2010</v>
      </c>
      <c r="AH41" s="536">
        <v>2011</v>
      </c>
      <c r="AI41" s="537">
        <v>2012</v>
      </c>
      <c r="AJ41" s="536">
        <v>2013</v>
      </c>
      <c r="AK41" s="537">
        <v>2014</v>
      </c>
    </row>
    <row r="42" spans="2:37" ht="15">
      <c r="B42" s="430" t="str">
        <f>'Market Size'!Z46</f>
        <v>Air Source Heat Pump</v>
      </c>
      <c r="C42" s="418" t="str">
        <f>'Market Size'!AA46</f>
        <v>HSPF_9.5</v>
      </c>
      <c r="D42" s="407">
        <f ca="1">'Market Size'!AB46</f>
        <v>161.17065718818776</v>
      </c>
      <c r="E42" s="407">
        <f ca="1">'Market Size'!AC46</f>
        <v>163.6778940805005</v>
      </c>
      <c r="F42" s="407">
        <f ca="1">'Market Size'!AD46</f>
        <v>164.56588071739125</v>
      </c>
      <c r="G42" s="407">
        <f ca="1">'Market Size'!AE46</f>
        <v>250.99524739636462</v>
      </c>
      <c r="H42" s="433">
        <f ca="1">'Market Size'!AF46</f>
        <v>275.4975904764102</v>
      </c>
      <c r="AE42" s="415" t="s">
        <v>5</v>
      </c>
      <c r="AF42" s="745" t="s">
        <v>341</v>
      </c>
      <c r="AG42" s="746">
        <f ca="1">'Input and Scenario Summary'!J30</f>
        <v>0.09914200978092964</v>
      </c>
      <c r="AH42" s="746">
        <f ca="1">'Input and Scenario Summary'!K30</f>
        <v>0.13985554829483524</v>
      </c>
      <c r="AI42" s="746">
        <f ca="1">'Input and Scenario Summary'!L30</f>
        <v>0.15630333914898786</v>
      </c>
      <c r="AJ42" s="746">
        <f ca="1">'Input and Scenario Summary'!M30</f>
        <v>0.15365644128227254</v>
      </c>
      <c r="AK42" s="747">
        <f ca="1">'Input and Scenario Summary'!N30</f>
        <v>0.14853514937942716</v>
      </c>
    </row>
    <row r="43" spans="2:37" ht="15">
      <c r="B43" s="430" t="str">
        <f>'Market Size'!Z47</f>
        <v>Air Source Heat Pump</v>
      </c>
      <c r="C43" s="418" t="str">
        <f>'Market Size'!AA47</f>
        <v>HSPF_10.0</v>
      </c>
      <c r="D43" s="407">
        <f ca="1">'Market Size'!AB47</f>
        <v>70.85951307411703</v>
      </c>
      <c r="E43" s="407">
        <f ca="1">'Market Size'!AC47</f>
        <v>45.14320117496876</v>
      </c>
      <c r="F43" s="407">
        <f ca="1">'Market Size'!AD47</f>
        <v>47.18992503832035</v>
      </c>
      <c r="G43" s="407">
        <f ca="1">'Market Size'!AE47</f>
        <v>10.112967533329735</v>
      </c>
      <c r="H43" s="433">
        <f ca="1">'Market Size'!AF47</f>
        <v>26.930552904222765</v>
      </c>
      <c r="AE43" s="417" t="s">
        <v>5</v>
      </c>
      <c r="AF43" s="748" t="s">
        <v>342</v>
      </c>
      <c r="AG43" s="746">
        <f ca="1">'Input and Scenario Summary'!J31</f>
        <v>0.9008579902190704</v>
      </c>
      <c r="AH43" s="746">
        <f ca="1">'Input and Scenario Summary'!K31</f>
        <v>0.8601444517051648</v>
      </c>
      <c r="AI43" s="746">
        <f ca="1">'Input and Scenario Summary'!L31</f>
        <v>0.843696660851012</v>
      </c>
      <c r="AJ43" s="746">
        <f ca="1">'Input and Scenario Summary'!M31</f>
        <v>0.8463435587177275</v>
      </c>
      <c r="AK43" s="747">
        <f ca="1">'Input and Scenario Summary'!N31</f>
        <v>0.8514648506205729</v>
      </c>
    </row>
    <row r="44" spans="2:37" ht="15">
      <c r="B44" s="430" t="str">
        <f>'Market Size'!Z48</f>
        <v>Air Source Heat Pump</v>
      </c>
      <c r="C44" s="418" t="str">
        <f>'Market Size'!AA48</f>
        <v>HSPF_10.5</v>
      </c>
      <c r="D44" s="407">
        <f ca="1">'Market Size'!AB48</f>
        <v>70.85951307411703</v>
      </c>
      <c r="E44" s="407">
        <f ca="1">'Market Size'!AC48</f>
        <v>45.14320117496876</v>
      </c>
      <c r="F44" s="407">
        <f ca="1">'Market Size'!AD48</f>
        <v>47.18992503832035</v>
      </c>
      <c r="G44" s="407">
        <f ca="1">'Market Size'!AE48</f>
        <v>10.112967533329735</v>
      </c>
      <c r="H44" s="433">
        <f ca="1">'Market Size'!AF48</f>
        <v>26.930552904222765</v>
      </c>
      <c r="AE44" s="417" t="s">
        <v>6</v>
      </c>
      <c r="AF44" s="748" t="s">
        <v>341</v>
      </c>
      <c r="AG44" s="746">
        <f ca="1">'Input and Scenario Summary'!J33</f>
        <v>0.5273841280032797</v>
      </c>
      <c r="AH44" s="746">
        <f ca="1">'Input and Scenario Summary'!K33</f>
        <v>0.5038280985485789</v>
      </c>
      <c r="AI44" s="746">
        <f ca="1">'Input and Scenario Summary'!L33</f>
        <v>0.47670778785351164</v>
      </c>
      <c r="AJ44" s="746">
        <f ca="1">'Input and Scenario Summary'!M33</f>
        <v>0.44339612911620735</v>
      </c>
      <c r="AK44" s="747">
        <f ca="1">'Input and Scenario Summary'!N33</f>
        <v>0.41664042717525257</v>
      </c>
    </row>
    <row r="45" spans="2:37" ht="15.75" thickBot="1">
      <c r="B45" s="431" t="str">
        <f>'Market Size'!Z49</f>
        <v>Air Source Heat Pump</v>
      </c>
      <c r="C45" s="432" t="str">
        <f>'Market Size'!AA49</f>
        <v>HSPF_11.5</v>
      </c>
      <c r="D45" s="434">
        <f ca="1">'Market Size'!AB49</f>
        <v>104.8226783819727</v>
      </c>
      <c r="E45" s="434">
        <f ca="1">'Market Size'!AC49</f>
        <v>84.88003095173767</v>
      </c>
      <c r="F45" s="434">
        <f ca="1">'Market Size'!AD49</f>
        <v>124.32269591313836</v>
      </c>
      <c r="G45" s="434">
        <f ca="1">'Market Size'!AE49</f>
        <v>129.5320522354149</v>
      </c>
      <c r="H45" s="435">
        <f ca="1">'Market Size'!AF49</f>
        <v>91.99634130785587</v>
      </c>
      <c r="AE45" s="417" t="s">
        <v>6</v>
      </c>
      <c r="AF45" s="748" t="s">
        <v>342</v>
      </c>
      <c r="AG45" s="746">
        <f ca="1">'Input and Scenario Summary'!J34</f>
        <v>0.47261587199672034</v>
      </c>
      <c r="AH45" s="746">
        <f ca="1">'Input and Scenario Summary'!K34</f>
        <v>0.4961719014514212</v>
      </c>
      <c r="AI45" s="746">
        <f ca="1">'Input and Scenario Summary'!L34</f>
        <v>0.5232922121464884</v>
      </c>
      <c r="AJ45" s="746">
        <f ca="1">'Input and Scenario Summary'!M34</f>
        <v>0.5566038708837927</v>
      </c>
      <c r="AK45" s="747">
        <f ca="1">'Input and Scenario Summary'!N34</f>
        <v>0.5833595728247475</v>
      </c>
    </row>
    <row r="46" spans="31:37" ht="15">
      <c r="AE46" s="417" t="s">
        <v>5</v>
      </c>
      <c r="AF46" s="748" t="s">
        <v>470</v>
      </c>
      <c r="AG46" s="749">
        <f ca="1">AVERAGE('Input and Scenario Summary'!$J$7:$N$7)</f>
        <v>5371.615872353797</v>
      </c>
      <c r="AH46" s="749">
        <f ca="1">AVERAGE('Input and Scenario Summary'!$J$7:$N$7)</f>
        <v>5371.615872353797</v>
      </c>
      <c r="AI46" s="749">
        <f ca="1">AVERAGE('Input and Scenario Summary'!$J$7:$N$7)</f>
        <v>5371.615872353797</v>
      </c>
      <c r="AJ46" s="749">
        <f ca="1">AVERAGE('Input and Scenario Summary'!$J$7:$N$7)</f>
        <v>5371.615872353797</v>
      </c>
      <c r="AK46" s="421">
        <f ca="1">AVERAGE('Input and Scenario Summary'!$J$7:$N$7)</f>
        <v>5371.615872353797</v>
      </c>
    </row>
    <row r="47" spans="31:37" ht="15">
      <c r="AE47" s="417" t="s">
        <v>5</v>
      </c>
      <c r="AF47" s="748" t="s">
        <v>471</v>
      </c>
      <c r="AG47" s="749">
        <f ca="1">AVERAGE('Input and Scenario Summary'!$J$8:$N$8)</f>
        <v>32782.07936575956</v>
      </c>
      <c r="AH47" s="749">
        <f ca="1">AVERAGE('Input and Scenario Summary'!$J$8:$N$8)</f>
        <v>32782.07936575956</v>
      </c>
      <c r="AI47" s="749">
        <f ca="1">AVERAGE('Input and Scenario Summary'!$J$8:$N$8)</f>
        <v>32782.07936575956</v>
      </c>
      <c r="AJ47" s="749">
        <f ca="1">AVERAGE('Input and Scenario Summary'!$J$8:$N$8)</f>
        <v>32782.07936575956</v>
      </c>
      <c r="AK47" s="421">
        <f ca="1">AVERAGE('Input and Scenario Summary'!$J$8:$N$8)</f>
        <v>32782.07936575956</v>
      </c>
    </row>
    <row r="48" spans="31:37" ht="15">
      <c r="AE48" s="417" t="s">
        <v>6</v>
      </c>
      <c r="AF48" s="748" t="s">
        <v>470</v>
      </c>
      <c r="AG48" s="749">
        <f ca="1">AVERAGE('Input and Scenario Summary'!$J$19:$N$19)</f>
        <v>2972.081908781446</v>
      </c>
      <c r="AH48" s="749">
        <f ca="1">AVERAGE('Input and Scenario Summary'!$J$19:$N$19)</f>
        <v>2972.081908781446</v>
      </c>
      <c r="AI48" s="749">
        <f ca="1">AVERAGE('Input and Scenario Summary'!$J$19:$N$19)</f>
        <v>2972.081908781446</v>
      </c>
      <c r="AJ48" s="749">
        <f ca="1">AVERAGE('Input and Scenario Summary'!$J$19:$N$19)</f>
        <v>2972.081908781446</v>
      </c>
      <c r="AK48" s="421">
        <f ca="1">AVERAGE('Input and Scenario Summary'!$J$19:$N$19)</f>
        <v>2972.081908781446</v>
      </c>
    </row>
    <row r="49" spans="31:37" ht="15.75" thickBot="1">
      <c r="AE49" s="419" t="s">
        <v>6</v>
      </c>
      <c r="AF49" s="420" t="s">
        <v>471</v>
      </c>
      <c r="AG49" s="422">
        <f ca="1">AVERAGE('Input and Scenario Summary'!$J$20:$N$20)</f>
        <v>3321.6218565211507</v>
      </c>
      <c r="AH49" s="422">
        <f ca="1">AVERAGE('Input and Scenario Summary'!$J$20:$N$20)</f>
        <v>3321.6218565211507</v>
      </c>
      <c r="AI49" s="422">
        <f ca="1">AVERAGE('Input and Scenario Summary'!$J$20:$N$20)</f>
        <v>3321.6218565211507</v>
      </c>
      <c r="AJ49" s="422">
        <f ca="1">AVERAGE('Input and Scenario Summary'!$J$20:$N$20)</f>
        <v>3321.6218565211507</v>
      </c>
      <c r="AK49" s="423">
        <f ca="1">AVERAGE('Input and Scenario Summary'!$J$20:$N$20)</f>
        <v>3321.6218565211507</v>
      </c>
    </row>
  </sheetData>
  <mergeCells count="19">
    <mergeCell ref="AE30:AK30"/>
    <mergeCell ref="B3:H3"/>
    <mergeCell ref="B14:H14"/>
    <mergeCell ref="B25:H25"/>
    <mergeCell ref="AE19:AK19"/>
    <mergeCell ref="P5:V5"/>
    <mergeCell ref="Y6:AC6"/>
    <mergeCell ref="X10:AC10"/>
    <mergeCell ref="P6:Q6"/>
    <mergeCell ref="P7:Q7"/>
    <mergeCell ref="P8:Q8"/>
    <mergeCell ref="P10:V10"/>
    <mergeCell ref="P11:Q11"/>
    <mergeCell ref="P12:Q12"/>
    <mergeCell ref="P13:Q13"/>
    <mergeCell ref="X17:AC17"/>
    <mergeCell ref="Y2:AC2"/>
    <mergeCell ref="B36:H36"/>
    <mergeCell ref="J2:N2"/>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J72"/>
  <sheetViews>
    <sheetView workbookViewId="0" topLeftCell="A10">
      <selection activeCell="I26" sqref="I26"/>
    </sheetView>
  </sheetViews>
  <sheetFormatPr defaultColWidth="9.140625" defaultRowHeight="12.75"/>
  <cols>
    <col min="1" max="2" width="3.7109375" style="26" customWidth="1"/>
    <col min="3" max="3" width="55.7109375" style="26" customWidth="1"/>
    <col min="4" max="4" width="9.7109375" style="26" customWidth="1"/>
    <col min="5" max="7" width="3.7109375" style="26" customWidth="1"/>
    <col min="8" max="8" width="55.7109375" style="26" customWidth="1"/>
    <col min="9" max="9" width="9.7109375" style="26" customWidth="1"/>
    <col min="10" max="21" width="3.7109375" style="26" customWidth="1"/>
    <col min="22" max="22" width="29.7109375" style="26" customWidth="1"/>
    <col min="23" max="26" width="13.421875" style="26" customWidth="1"/>
    <col min="27" max="27" width="3.7109375" style="26" customWidth="1"/>
    <col min="28" max="16384" width="9.140625" style="26" customWidth="1"/>
  </cols>
  <sheetData>
    <row r="1" ht="13.5" thickBot="1"/>
    <row r="2" spans="2:3" ht="13.5" thickBot="1">
      <c r="B2" s="907" t="s">
        <v>112</v>
      </c>
      <c r="C2" s="908"/>
    </row>
    <row r="3" ht="13.5" thickBot="1"/>
    <row r="4" spans="2:3" ht="13.5" thickBot="1">
      <c r="B4" s="907" t="s">
        <v>24</v>
      </c>
      <c r="C4" s="908"/>
    </row>
    <row r="5" ht="13.5" thickBot="1"/>
    <row r="6" spans="2:10" ht="12.75">
      <c r="B6" s="210"/>
      <c r="C6" s="211"/>
      <c r="D6" s="211"/>
      <c r="E6" s="211"/>
      <c r="F6" s="211"/>
      <c r="G6" s="211"/>
      <c r="H6" s="211"/>
      <c r="I6" s="211"/>
      <c r="J6" s="212"/>
    </row>
    <row r="7" spans="2:10" ht="12.75">
      <c r="B7" s="213"/>
      <c r="C7" s="272" t="s">
        <v>191</v>
      </c>
      <c r="D7" s="241" t="s">
        <v>189</v>
      </c>
      <c r="E7" s="218"/>
      <c r="F7" s="218"/>
      <c r="G7" s="218"/>
      <c r="H7" s="278"/>
      <c r="I7" s="218"/>
      <c r="J7" s="216"/>
    </row>
    <row r="8" spans="2:10" ht="12.75">
      <c r="B8" s="213"/>
      <c r="C8" s="272"/>
      <c r="D8" s="241" t="s">
        <v>190</v>
      </c>
      <c r="E8" s="218"/>
      <c r="F8" s="218"/>
      <c r="G8" s="218"/>
      <c r="H8" s="278"/>
      <c r="I8" s="218"/>
      <c r="J8" s="216"/>
    </row>
    <row r="9" spans="2:10" ht="13.5" thickBot="1">
      <c r="B9" s="219"/>
      <c r="C9" s="220"/>
      <c r="D9" s="220"/>
      <c r="E9" s="220"/>
      <c r="F9" s="220"/>
      <c r="G9" s="220"/>
      <c r="H9" s="220"/>
      <c r="I9" s="220"/>
      <c r="J9" s="221"/>
    </row>
    <row r="10" ht="13.5" thickBot="1"/>
    <row r="11" spans="2:10" ht="12.75">
      <c r="B11" s="210"/>
      <c r="C11" s="211"/>
      <c r="D11" s="211"/>
      <c r="E11" s="212"/>
      <c r="G11" s="210"/>
      <c r="H11" s="211"/>
      <c r="I11" s="211"/>
      <c r="J11" s="212"/>
    </row>
    <row r="12" spans="2:10" ht="12.75">
      <c r="B12" s="213"/>
      <c r="C12" s="273" t="s">
        <v>175</v>
      </c>
      <c r="D12" s="273"/>
      <c r="E12" s="284"/>
      <c r="G12" s="213"/>
      <c r="H12" s="273" t="s">
        <v>176</v>
      </c>
      <c r="I12" s="273"/>
      <c r="J12" s="284"/>
    </row>
    <row r="13" spans="2:10" ht="12.75">
      <c r="B13" s="213"/>
      <c r="C13" s="273"/>
      <c r="D13" s="273"/>
      <c r="E13" s="284"/>
      <c r="G13" s="213"/>
      <c r="H13" s="273"/>
      <c r="I13" s="273"/>
      <c r="J13" s="284"/>
    </row>
    <row r="14" spans="2:10" ht="12.75">
      <c r="B14" s="213"/>
      <c r="C14" s="278" t="s">
        <v>169</v>
      </c>
      <c r="D14" s="279">
        <f>D26*D43</f>
        <v>0.053018</v>
      </c>
      <c r="E14" s="216"/>
      <c r="G14" s="213"/>
      <c r="H14" s="278" t="s">
        <v>169</v>
      </c>
      <c r="I14" s="279">
        <f>I26*I43</f>
        <v>0.5131140000000001</v>
      </c>
      <c r="J14" s="216"/>
    </row>
    <row r="15" spans="2:10" ht="12.75">
      <c r="B15" s="213"/>
      <c r="C15" s="278" t="s">
        <v>170</v>
      </c>
      <c r="D15" s="279">
        <f>D26*D44</f>
        <v>0.4349640000000001</v>
      </c>
      <c r="E15" s="216"/>
      <c r="G15" s="213"/>
      <c r="H15" s="278" t="s">
        <v>170</v>
      </c>
      <c r="I15" s="279">
        <f>I26*I44</f>
        <v>0.08937700000000001</v>
      </c>
      <c r="J15" s="216"/>
    </row>
    <row r="16" spans="2:10" ht="12.75">
      <c r="B16" s="213"/>
      <c r="C16" s="278" t="s">
        <v>56</v>
      </c>
      <c r="D16" s="279">
        <f>MAX(D32,D57*D68)</f>
        <v>0.133668</v>
      </c>
      <c r="E16" s="216"/>
      <c r="G16" s="213"/>
      <c r="H16" s="278" t="s">
        <v>56</v>
      </c>
      <c r="I16" s="279">
        <f>MAX(I32,I57*I68)</f>
        <v>0.17721</v>
      </c>
      <c r="J16" s="216"/>
    </row>
    <row r="17" spans="2:10" ht="12.75">
      <c r="B17" s="213"/>
      <c r="C17" s="278"/>
      <c r="D17" s="278"/>
      <c r="E17" s="216"/>
      <c r="G17" s="213"/>
      <c r="H17" s="278"/>
      <c r="I17" s="278"/>
      <c r="J17" s="216"/>
    </row>
    <row r="18" spans="2:10" ht="12.75">
      <c r="B18" s="213"/>
      <c r="C18" s="273" t="s">
        <v>207</v>
      </c>
      <c r="D18" s="273"/>
      <c r="E18" s="284"/>
      <c r="G18" s="213"/>
      <c r="H18" s="273" t="s">
        <v>209</v>
      </c>
      <c r="I18" s="273"/>
      <c r="J18" s="284"/>
    </row>
    <row r="19" spans="2:10" ht="12.75">
      <c r="B19" s="213"/>
      <c r="C19" s="278" t="s">
        <v>208</v>
      </c>
      <c r="D19" s="279">
        <f>(D26*D43)/SUM((D26*D43),D28)</f>
        <v>0.3012078310172823</v>
      </c>
      <c r="E19" s="216"/>
      <c r="G19" s="213"/>
      <c r="H19" s="278" t="s">
        <v>208</v>
      </c>
      <c r="I19" s="285">
        <f>D19</f>
        <v>0.3012078310172823</v>
      </c>
      <c r="J19" s="216"/>
    </row>
    <row r="20" spans="2:10" ht="13.5" thickBot="1">
      <c r="B20" s="219"/>
      <c r="C20" s="220"/>
      <c r="D20" s="220"/>
      <c r="E20" s="221"/>
      <c r="G20" s="219"/>
      <c r="H20" s="220" t="s">
        <v>440</v>
      </c>
      <c r="I20" s="220"/>
      <c r="J20" s="221"/>
    </row>
    <row r="21" ht="13.5" thickBot="1"/>
    <row r="22" spans="2:10" ht="12.75">
      <c r="B22" s="210"/>
      <c r="C22" s="211"/>
      <c r="D22" s="211"/>
      <c r="E22" s="212"/>
      <c r="G22" s="210"/>
      <c r="H22" s="211"/>
      <c r="I22" s="211"/>
      <c r="J22" s="212"/>
    </row>
    <row r="23" spans="2:10" ht="12.75">
      <c r="B23" s="213"/>
      <c r="C23" s="657" t="s">
        <v>177</v>
      </c>
      <c r="D23" s="218"/>
      <c r="E23" s="216"/>
      <c r="G23" s="213"/>
      <c r="H23" s="657" t="s">
        <v>192</v>
      </c>
      <c r="I23" s="218"/>
      <c r="J23" s="216"/>
    </row>
    <row r="24" spans="2:10" ht="12.75">
      <c r="B24" s="213"/>
      <c r="C24" s="218"/>
      <c r="D24" s="218"/>
      <c r="E24" s="216"/>
      <c r="G24" s="213"/>
      <c r="H24" s="218"/>
      <c r="I24" s="218"/>
      <c r="J24" s="216"/>
    </row>
    <row r="25" spans="2:10" ht="12.75">
      <c r="B25" s="213"/>
      <c r="C25" s="232" t="s">
        <v>178</v>
      </c>
      <c r="D25" s="277" t="s">
        <v>155</v>
      </c>
      <c r="E25" s="216"/>
      <c r="G25" s="213"/>
      <c r="H25" s="232" t="s">
        <v>178</v>
      </c>
      <c r="I25" s="277" t="s">
        <v>155</v>
      </c>
      <c r="J25" s="216"/>
    </row>
    <row r="26" spans="2:10" ht="12.75">
      <c r="B26" s="213"/>
      <c r="C26" s="278" t="s">
        <v>130</v>
      </c>
      <c r="D26" s="285">
        <v>0.541</v>
      </c>
      <c r="E26" s="216"/>
      <c r="G26" s="213"/>
      <c r="H26" s="278" t="s">
        <v>130</v>
      </c>
      <c r="I26" s="285">
        <v>0.643</v>
      </c>
      <c r="J26" s="216"/>
    </row>
    <row r="27" spans="2:10" ht="12.75">
      <c r="B27" s="213"/>
      <c r="C27" s="278" t="s">
        <v>156</v>
      </c>
      <c r="D27" s="285">
        <v>0.014</v>
      </c>
      <c r="E27" s="216"/>
      <c r="G27" s="213"/>
      <c r="H27" s="278" t="s">
        <v>156</v>
      </c>
      <c r="I27" s="285">
        <v>0.008</v>
      </c>
      <c r="J27" s="216"/>
    </row>
    <row r="28" spans="2:10" ht="12.75">
      <c r="B28" s="213"/>
      <c r="C28" s="278" t="s">
        <v>157</v>
      </c>
      <c r="D28" s="285">
        <v>0.123</v>
      </c>
      <c r="E28" s="216"/>
      <c r="G28" s="213"/>
      <c r="H28" s="278" t="s">
        <v>157</v>
      </c>
      <c r="I28" s="285">
        <v>0.015</v>
      </c>
      <c r="J28" s="216"/>
    </row>
    <row r="29" spans="2:10" ht="12.75">
      <c r="B29" s="213"/>
      <c r="C29" s="278" t="s">
        <v>158</v>
      </c>
      <c r="D29" s="285">
        <v>0.051</v>
      </c>
      <c r="E29" s="216"/>
      <c r="G29" s="213"/>
      <c r="H29" s="278"/>
      <c r="I29" s="278"/>
      <c r="J29" s="216"/>
    </row>
    <row r="30" spans="2:10" ht="12.75">
      <c r="B30" s="213"/>
      <c r="C30" s="278" t="s">
        <v>159</v>
      </c>
      <c r="D30" s="285">
        <v>0.001</v>
      </c>
      <c r="E30" s="216"/>
      <c r="G30" s="213"/>
      <c r="H30" s="278" t="s">
        <v>159</v>
      </c>
      <c r="I30" s="285">
        <v>0.013</v>
      </c>
      <c r="J30" s="216"/>
    </row>
    <row r="31" spans="2:10" ht="12.75">
      <c r="B31" s="213"/>
      <c r="C31" s="278" t="s">
        <v>160</v>
      </c>
      <c r="D31" s="285">
        <v>0.008</v>
      </c>
      <c r="E31" s="216"/>
      <c r="G31" s="213"/>
      <c r="H31" s="278"/>
      <c r="I31" s="278"/>
      <c r="J31" s="216"/>
    </row>
    <row r="32" spans="2:10" ht="12.75">
      <c r="B32" s="213"/>
      <c r="C32" s="278" t="s">
        <v>56</v>
      </c>
      <c r="D32" s="285">
        <v>0.114</v>
      </c>
      <c r="E32" s="216"/>
      <c r="G32" s="213"/>
      <c r="H32" s="278" t="s">
        <v>56</v>
      </c>
      <c r="I32" s="285">
        <v>0.144</v>
      </c>
      <c r="J32" s="216"/>
    </row>
    <row r="33" spans="2:10" ht="12.75">
      <c r="B33" s="213"/>
      <c r="C33" s="278" t="s">
        <v>161</v>
      </c>
      <c r="D33" s="285">
        <v>0.012</v>
      </c>
      <c r="E33" s="216"/>
      <c r="G33" s="213"/>
      <c r="H33" s="278"/>
      <c r="I33" s="278"/>
      <c r="J33" s="216"/>
    </row>
    <row r="34" spans="2:10" ht="12.75">
      <c r="B34" s="213"/>
      <c r="C34" s="278" t="s">
        <v>162</v>
      </c>
      <c r="D34" s="285">
        <v>0.128</v>
      </c>
      <c r="E34" s="216"/>
      <c r="G34" s="213"/>
      <c r="H34" s="278" t="s">
        <v>162</v>
      </c>
      <c r="I34" s="285">
        <v>0.16</v>
      </c>
      <c r="J34" s="216"/>
    </row>
    <row r="35" spans="2:10" ht="12.75">
      <c r="B35" s="213"/>
      <c r="C35" s="278" t="s">
        <v>163</v>
      </c>
      <c r="D35" s="285">
        <v>0.01</v>
      </c>
      <c r="E35" s="216"/>
      <c r="G35" s="213"/>
      <c r="H35" s="278" t="s">
        <v>163</v>
      </c>
      <c r="I35" s="285">
        <v>0.017</v>
      </c>
      <c r="J35" s="216"/>
    </row>
    <row r="36" spans="2:10" ht="12.75">
      <c r="B36" s="213"/>
      <c r="C36" s="278" t="s">
        <v>1</v>
      </c>
      <c r="D36" s="286">
        <f>SUM(D26:D35)</f>
        <v>1.002</v>
      </c>
      <c r="E36" s="216"/>
      <c r="G36" s="213"/>
      <c r="H36" s="278" t="s">
        <v>1</v>
      </c>
      <c r="I36" s="286">
        <f>SUM(I26:I35)</f>
        <v>1</v>
      </c>
      <c r="J36" s="216"/>
    </row>
    <row r="37" spans="2:10" ht="13.5" thickBot="1">
      <c r="B37" s="219"/>
      <c r="C37" s="220"/>
      <c r="D37" s="220"/>
      <c r="E37" s="221"/>
      <c r="G37" s="219"/>
      <c r="H37" s="220"/>
      <c r="I37" s="220"/>
      <c r="J37" s="221"/>
    </row>
    <row r="38" ht="13.5" thickBot="1"/>
    <row r="39" spans="2:10" ht="12.75">
      <c r="B39" s="210"/>
      <c r="C39" s="211"/>
      <c r="D39" s="211"/>
      <c r="E39" s="212"/>
      <c r="G39" s="210"/>
      <c r="H39" s="211"/>
      <c r="I39" s="211"/>
      <c r="J39" s="212"/>
    </row>
    <row r="40" spans="2:10" ht="12.75">
      <c r="B40" s="213"/>
      <c r="C40" s="657" t="s">
        <v>180</v>
      </c>
      <c r="D40" s="218"/>
      <c r="E40" s="216"/>
      <c r="G40" s="213"/>
      <c r="H40" s="657" t="s">
        <v>193</v>
      </c>
      <c r="I40" s="218"/>
      <c r="J40" s="216"/>
    </row>
    <row r="41" spans="2:10" ht="12.75">
      <c r="B41" s="213"/>
      <c r="C41" s="218"/>
      <c r="D41" s="218"/>
      <c r="E41" s="216"/>
      <c r="G41" s="213"/>
      <c r="H41" s="218"/>
      <c r="I41" s="218"/>
      <c r="J41" s="216"/>
    </row>
    <row r="42" spans="2:10" ht="12.75">
      <c r="B42" s="213"/>
      <c r="C42" s="232" t="s">
        <v>179</v>
      </c>
      <c r="D42" s="277" t="s">
        <v>155</v>
      </c>
      <c r="E42" s="216"/>
      <c r="G42" s="213"/>
      <c r="H42" s="232" t="s">
        <v>179</v>
      </c>
      <c r="I42" s="277" t="s">
        <v>155</v>
      </c>
      <c r="J42" s="216"/>
    </row>
    <row r="43" spans="2:10" ht="12.75">
      <c r="B43" s="213"/>
      <c r="C43" s="278" t="s">
        <v>147</v>
      </c>
      <c r="D43" s="285">
        <v>0.098</v>
      </c>
      <c r="E43" s="216"/>
      <c r="G43" s="213"/>
      <c r="H43" s="278" t="s">
        <v>147</v>
      </c>
      <c r="I43" s="285">
        <v>0.798</v>
      </c>
      <c r="J43" s="216"/>
    </row>
    <row r="44" spans="2:10" ht="12.75">
      <c r="B44" s="213"/>
      <c r="C44" s="278" t="s">
        <v>148</v>
      </c>
      <c r="D44" s="285">
        <v>0.804</v>
      </c>
      <c r="E44" s="216"/>
      <c r="G44" s="213"/>
      <c r="H44" s="278" t="s">
        <v>148</v>
      </c>
      <c r="I44" s="285">
        <v>0.139</v>
      </c>
      <c r="J44" s="216"/>
    </row>
    <row r="45" spans="2:10" ht="12.75">
      <c r="B45" s="213"/>
      <c r="C45" s="278" t="s">
        <v>164</v>
      </c>
      <c r="D45" s="285">
        <v>0.067</v>
      </c>
      <c r="E45" s="216"/>
      <c r="G45" s="213"/>
      <c r="H45" s="278" t="s">
        <v>164</v>
      </c>
      <c r="I45" s="285">
        <v>0.007</v>
      </c>
      <c r="J45" s="216"/>
    </row>
    <row r="46" spans="2:10" ht="12.75">
      <c r="B46" s="213"/>
      <c r="C46" s="278" t="s">
        <v>165</v>
      </c>
      <c r="D46" s="285">
        <v>0.032</v>
      </c>
      <c r="E46" s="216"/>
      <c r="G46" s="213"/>
      <c r="H46" s="278" t="s">
        <v>165</v>
      </c>
      <c r="I46" s="285">
        <v>0.056</v>
      </c>
      <c r="J46" s="216"/>
    </row>
    <row r="47" spans="2:10" ht="12.75">
      <c r="B47" s="213"/>
      <c r="C47" s="278" t="s">
        <v>1</v>
      </c>
      <c r="D47" s="286">
        <f>SUM(D43:D46)</f>
        <v>1.0010000000000001</v>
      </c>
      <c r="E47" s="216"/>
      <c r="G47" s="213"/>
      <c r="H47" s="278" t="s">
        <v>1</v>
      </c>
      <c r="I47" s="286">
        <f>SUM(I43:I46)</f>
        <v>1</v>
      </c>
      <c r="J47" s="216"/>
    </row>
    <row r="48" spans="2:10" ht="13.5" thickBot="1">
      <c r="B48" s="219"/>
      <c r="C48" s="220"/>
      <c r="D48" s="220"/>
      <c r="E48" s="221"/>
      <c r="G48" s="219"/>
      <c r="H48" s="220"/>
      <c r="I48" s="220"/>
      <c r="J48" s="221"/>
    </row>
    <row r="49" ht="13.5" thickBot="1"/>
    <row r="50" spans="2:10" ht="12.75">
      <c r="B50" s="210"/>
      <c r="C50" s="211"/>
      <c r="D50" s="211"/>
      <c r="E50" s="212"/>
      <c r="G50" s="210"/>
      <c r="H50" s="211"/>
      <c r="I50" s="211"/>
      <c r="J50" s="212"/>
    </row>
    <row r="51" spans="2:10" ht="12.75">
      <c r="B51" s="213"/>
      <c r="C51" s="657" t="s">
        <v>181</v>
      </c>
      <c r="D51" s="218"/>
      <c r="E51" s="216"/>
      <c r="G51" s="213"/>
      <c r="H51" s="657" t="s">
        <v>194</v>
      </c>
      <c r="I51" s="218"/>
      <c r="J51" s="216"/>
    </row>
    <row r="52" spans="2:10" ht="12.75">
      <c r="B52" s="213"/>
      <c r="C52" s="218"/>
      <c r="D52" s="218"/>
      <c r="E52" s="216"/>
      <c r="G52" s="213"/>
      <c r="H52" s="218"/>
      <c r="I52" s="218"/>
      <c r="J52" s="216"/>
    </row>
    <row r="53" spans="2:10" ht="12.75">
      <c r="B53" s="213"/>
      <c r="C53" s="232" t="s">
        <v>182</v>
      </c>
      <c r="D53" s="277" t="s">
        <v>155</v>
      </c>
      <c r="E53" s="216"/>
      <c r="G53" s="213"/>
      <c r="H53" s="232" t="s">
        <v>182</v>
      </c>
      <c r="I53" s="277" t="s">
        <v>155</v>
      </c>
      <c r="J53" s="216"/>
    </row>
    <row r="54" spans="2:10" ht="12.75">
      <c r="B54" s="213"/>
      <c r="C54" s="278" t="s">
        <v>82</v>
      </c>
      <c r="D54" s="285">
        <v>0.316</v>
      </c>
      <c r="E54" s="216"/>
      <c r="G54" s="213"/>
      <c r="H54" s="278" t="s">
        <v>82</v>
      </c>
      <c r="I54" s="285">
        <v>0.404</v>
      </c>
      <c r="J54" s="216"/>
    </row>
    <row r="55" spans="2:10" ht="12.75">
      <c r="B55" s="213"/>
      <c r="C55" s="278" t="s">
        <v>83</v>
      </c>
      <c r="D55" s="285">
        <v>0.516</v>
      </c>
      <c r="E55" s="216"/>
      <c r="G55" s="213"/>
      <c r="H55" s="278" t="s">
        <v>83</v>
      </c>
      <c r="I55" s="285">
        <v>0.702</v>
      </c>
      <c r="J55" s="216"/>
    </row>
    <row r="56" spans="2:10" ht="12.75">
      <c r="B56" s="213"/>
      <c r="C56" s="278" t="s">
        <v>84</v>
      </c>
      <c r="D56" s="285">
        <v>0.854</v>
      </c>
      <c r="E56" s="216"/>
      <c r="G56" s="213"/>
      <c r="H56" s="278" t="s">
        <v>84</v>
      </c>
      <c r="I56" s="285">
        <v>0.905</v>
      </c>
      <c r="J56" s="216"/>
    </row>
    <row r="57" spans="2:10" ht="12.75">
      <c r="B57" s="213"/>
      <c r="C57" s="278" t="s">
        <v>183</v>
      </c>
      <c r="D57" s="285">
        <v>0.423</v>
      </c>
      <c r="E57" s="216"/>
      <c r="G57" s="213"/>
      <c r="H57" s="278" t="s">
        <v>183</v>
      </c>
      <c r="I57" s="285">
        <v>0.537</v>
      </c>
      <c r="J57" s="216"/>
    </row>
    <row r="58" spans="2:10" ht="13.5" thickBot="1">
      <c r="B58" s="219"/>
      <c r="C58" s="220"/>
      <c r="D58" s="220"/>
      <c r="E58" s="221"/>
      <c r="G58" s="219"/>
      <c r="H58" s="220"/>
      <c r="I58" s="220"/>
      <c r="J58" s="221"/>
    </row>
    <row r="59" ht="13.5" thickBot="1"/>
    <row r="60" spans="2:10" ht="12.75">
      <c r="B60" s="210"/>
      <c r="C60" s="211"/>
      <c r="D60" s="211"/>
      <c r="E60" s="212"/>
      <c r="G60" s="210"/>
      <c r="H60" s="211"/>
      <c r="I60" s="211"/>
      <c r="J60" s="212"/>
    </row>
    <row r="61" spans="2:10" ht="12.75">
      <c r="B61" s="213"/>
      <c r="C61" s="657" t="s">
        <v>184</v>
      </c>
      <c r="D61" s="218"/>
      <c r="E61" s="216"/>
      <c r="G61" s="213"/>
      <c r="H61" s="657" t="s">
        <v>195</v>
      </c>
      <c r="I61" s="218"/>
      <c r="J61" s="216"/>
    </row>
    <row r="62" spans="2:10" ht="12.75">
      <c r="B62" s="213"/>
      <c r="C62" s="218"/>
      <c r="D62" s="218"/>
      <c r="E62" s="216"/>
      <c r="G62" s="213"/>
      <c r="H62" s="218"/>
      <c r="I62" s="218"/>
      <c r="J62" s="216"/>
    </row>
    <row r="63" spans="2:10" ht="12.75">
      <c r="B63" s="213"/>
      <c r="C63" s="232" t="s">
        <v>185</v>
      </c>
      <c r="D63" s="277" t="s">
        <v>155</v>
      </c>
      <c r="E63" s="216"/>
      <c r="G63" s="213"/>
      <c r="H63" s="232" t="s">
        <v>185</v>
      </c>
      <c r="I63" s="277" t="s">
        <v>155</v>
      </c>
      <c r="J63" s="216"/>
    </row>
    <row r="64" spans="2:10" ht="12.75">
      <c r="B64" s="213"/>
      <c r="C64" s="278" t="s">
        <v>186</v>
      </c>
      <c r="D64" s="285">
        <v>0.057</v>
      </c>
      <c r="E64" s="216"/>
      <c r="G64" s="213"/>
      <c r="H64" s="278" t="s">
        <v>186</v>
      </c>
      <c r="I64" s="285">
        <v>0.019</v>
      </c>
      <c r="J64" s="216"/>
    </row>
    <row r="65" spans="2:10" ht="12.75">
      <c r="B65" s="213"/>
      <c r="C65" s="278" t="s">
        <v>3</v>
      </c>
      <c r="D65" s="285">
        <v>0.399</v>
      </c>
      <c r="E65" s="216"/>
      <c r="G65" s="213"/>
      <c r="H65" s="278" t="s">
        <v>3</v>
      </c>
      <c r="I65" s="285">
        <v>0.251</v>
      </c>
      <c r="J65" s="216"/>
    </row>
    <row r="66" spans="2:10" ht="12.75">
      <c r="B66" s="213"/>
      <c r="C66" s="278" t="s">
        <v>187</v>
      </c>
      <c r="D66" s="285">
        <v>0.017</v>
      </c>
      <c r="E66" s="216"/>
      <c r="G66" s="213"/>
      <c r="H66" s="278" t="s">
        <v>187</v>
      </c>
      <c r="I66" s="285">
        <v>0.05</v>
      </c>
      <c r="J66" s="216"/>
    </row>
    <row r="67" spans="2:10" ht="12.75">
      <c r="B67" s="213"/>
      <c r="C67" s="278" t="s">
        <v>160</v>
      </c>
      <c r="D67" s="285">
        <v>0.017</v>
      </c>
      <c r="E67" s="216"/>
      <c r="G67" s="213"/>
      <c r="H67" s="278"/>
      <c r="I67" s="278"/>
      <c r="J67" s="216"/>
    </row>
    <row r="68" spans="2:10" ht="12.75">
      <c r="B68" s="213"/>
      <c r="C68" s="278" t="s">
        <v>56</v>
      </c>
      <c r="D68" s="285">
        <v>0.316</v>
      </c>
      <c r="E68" s="216"/>
      <c r="G68" s="213"/>
      <c r="H68" s="278" t="s">
        <v>56</v>
      </c>
      <c r="I68" s="285">
        <v>0.33</v>
      </c>
      <c r="J68" s="216"/>
    </row>
    <row r="69" spans="2:10" ht="12.75">
      <c r="B69" s="213"/>
      <c r="C69" s="278" t="s">
        <v>156</v>
      </c>
      <c r="D69" s="285">
        <v>0.036</v>
      </c>
      <c r="E69" s="216"/>
      <c r="G69" s="213"/>
      <c r="H69" s="278" t="s">
        <v>156</v>
      </c>
      <c r="I69" s="285">
        <v>0.015</v>
      </c>
      <c r="J69" s="216"/>
    </row>
    <row r="70" spans="2:10" ht="12.75">
      <c r="B70" s="213"/>
      <c r="C70" s="278" t="s">
        <v>188</v>
      </c>
      <c r="D70" s="285">
        <v>0.157</v>
      </c>
      <c r="E70" s="216"/>
      <c r="G70" s="213"/>
      <c r="H70" s="278" t="s">
        <v>188</v>
      </c>
      <c r="I70" s="285">
        <v>0.335</v>
      </c>
      <c r="J70" s="216"/>
    </row>
    <row r="71" spans="2:10" ht="12.75">
      <c r="B71" s="213"/>
      <c r="C71" s="278" t="s">
        <v>1</v>
      </c>
      <c r="D71" s="286">
        <f>SUM(D64:D70)</f>
        <v>0.9990000000000001</v>
      </c>
      <c r="E71" s="216"/>
      <c r="G71" s="213"/>
      <c r="H71" s="278" t="s">
        <v>1</v>
      </c>
      <c r="I71" s="286">
        <f>SUM(I64:I70)</f>
        <v>1</v>
      </c>
      <c r="J71" s="216"/>
    </row>
    <row r="72" spans="2:10" ht="13.5" thickBot="1">
      <c r="B72" s="219"/>
      <c r="C72" s="220"/>
      <c r="D72" s="220"/>
      <c r="E72" s="221"/>
      <c r="G72" s="219"/>
      <c r="H72" s="220"/>
      <c r="I72" s="220"/>
      <c r="J72" s="221"/>
    </row>
  </sheetData>
  <mergeCells count="2">
    <mergeCell ref="B2:C2"/>
    <mergeCell ref="B4:C4"/>
  </mergeCells>
  <hyperlinks>
    <hyperlink ref="B4:C4" location="Navigation!A1" display="NAVIGATION"/>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R64"/>
  <sheetViews>
    <sheetView workbookViewId="0" topLeftCell="C1">
      <selection activeCell="J20" sqref="J20"/>
    </sheetView>
  </sheetViews>
  <sheetFormatPr defaultColWidth="9.140625" defaultRowHeight="12.75"/>
  <cols>
    <col min="1" max="2" width="3.7109375" style="17" customWidth="1"/>
    <col min="3" max="3" width="24.7109375" style="17" bestFit="1" customWidth="1"/>
    <col min="4" max="7" width="12.7109375" style="17" customWidth="1"/>
    <col min="8" max="8" width="3.7109375" style="17" customWidth="1"/>
    <col min="9" max="12" width="12.7109375" style="17" customWidth="1"/>
    <col min="13" max="13" width="3.7109375" style="17" customWidth="1"/>
    <col min="14" max="17" width="12.7109375" style="17" customWidth="1"/>
    <col min="18" max="18" width="3.7109375" style="17" customWidth="1"/>
    <col min="19" max="16384" width="9.140625" style="17" customWidth="1"/>
  </cols>
  <sheetData>
    <row r="1" ht="13.5" thickBot="1"/>
    <row r="2" spans="2:3" ht="13.5" thickBot="1">
      <c r="B2" s="907" t="s">
        <v>128</v>
      </c>
      <c r="C2" s="908"/>
    </row>
    <row r="3" spans="14:17" ht="13.5" thickBot="1">
      <c r="N3" s="33"/>
      <c r="O3" s="33"/>
      <c r="P3" s="33"/>
      <c r="Q3" s="33"/>
    </row>
    <row r="4" spans="2:9" ht="13.5" thickBot="1">
      <c r="B4" s="907" t="s">
        <v>24</v>
      </c>
      <c r="C4" s="908"/>
      <c r="D4" s="33"/>
      <c r="I4" s="36"/>
    </row>
    <row r="5" ht="13.5" thickBot="1"/>
    <row r="6" spans="2:18" ht="12.75">
      <c r="B6" s="287"/>
      <c r="C6" s="288"/>
      <c r="D6" s="231"/>
      <c r="E6" s="231"/>
      <c r="F6" s="231"/>
      <c r="G6" s="289"/>
      <c r="H6" s="288"/>
      <c r="I6" s="231"/>
      <c r="J6" s="231"/>
      <c r="K6" s="231"/>
      <c r="L6" s="289"/>
      <c r="M6" s="288"/>
      <c r="N6" s="231"/>
      <c r="O6" s="231"/>
      <c r="P6" s="231"/>
      <c r="Q6" s="289"/>
      <c r="R6" s="212"/>
    </row>
    <row r="7" spans="2:18" ht="12.75">
      <c r="B7" s="290"/>
      <c r="C7" s="261" t="s">
        <v>134</v>
      </c>
      <c r="D7" s="233"/>
      <c r="E7" s="233"/>
      <c r="F7" s="233"/>
      <c r="G7" s="291"/>
      <c r="H7" s="292"/>
      <c r="I7" s="233"/>
      <c r="J7" s="233"/>
      <c r="K7" s="233"/>
      <c r="L7" s="291"/>
      <c r="M7" s="292"/>
      <c r="N7" s="233"/>
      <c r="O7" s="233"/>
      <c r="P7" s="233"/>
      <c r="Q7" s="291"/>
      <c r="R7" s="216"/>
    </row>
    <row r="8" spans="2:18" ht="12.75">
      <c r="B8" s="290"/>
      <c r="C8" s="292"/>
      <c r="D8" s="911" t="s">
        <v>48</v>
      </c>
      <c r="E8" s="911"/>
      <c r="F8" s="911"/>
      <c r="G8" s="911"/>
      <c r="H8" s="292"/>
      <c r="I8" s="911" t="s">
        <v>49</v>
      </c>
      <c r="J8" s="911"/>
      <c r="K8" s="911"/>
      <c r="L8" s="911"/>
      <c r="M8" s="292"/>
      <c r="N8" s="911" t="s">
        <v>52</v>
      </c>
      <c r="O8" s="911"/>
      <c r="P8" s="911"/>
      <c r="Q8" s="911"/>
      <c r="R8" s="216"/>
    </row>
    <row r="9" spans="2:18" ht="12.75">
      <c r="B9" s="293"/>
      <c r="C9" s="294" t="s">
        <v>131</v>
      </c>
      <c r="D9" s="233" t="s">
        <v>171</v>
      </c>
      <c r="E9" s="233" t="s">
        <v>172</v>
      </c>
      <c r="F9" s="233" t="s">
        <v>173</v>
      </c>
      <c r="G9" s="233" t="s">
        <v>62</v>
      </c>
      <c r="H9" s="273"/>
      <c r="I9" s="233" t="s">
        <v>171</v>
      </c>
      <c r="J9" s="233" t="s">
        <v>172</v>
      </c>
      <c r="K9" s="233" t="s">
        <v>173</v>
      </c>
      <c r="L9" s="233" t="s">
        <v>62</v>
      </c>
      <c r="M9" s="273"/>
      <c r="N9" s="233" t="s">
        <v>171</v>
      </c>
      <c r="O9" s="233" t="s">
        <v>172</v>
      </c>
      <c r="P9" s="233" t="s">
        <v>173</v>
      </c>
      <c r="Q9" s="233" t="s">
        <v>62</v>
      </c>
      <c r="R9" s="216"/>
    </row>
    <row r="10" spans="2:18" ht="12.75">
      <c r="B10" s="290"/>
      <c r="C10" s="261">
        <v>1992</v>
      </c>
      <c r="D10" s="279">
        <f>(($N$10*'Housing Stock'!$U$25)-($I$10*'Housing Stock'!$N$25))/'Housing Stock'!$G$25</f>
        <v>0.10188526680756511</v>
      </c>
      <c r="E10" s="279">
        <f>(INDEX(HOUSING_STOCK,MATCH($C$10,HOUSING_STOCK_YEARS,0)+2,MATCH($N$8,HOUSING_STOCK_BLDG,0)+4)*O10)/(INDEX(HOUSING_STOCK,MATCH($C$10,HOUSING_STOCK_YEARS,0)+2,MATCH($D$8,HOUSING_STOCK_BLDG,0)+4)+(INDEX(HOUSING_STOCK,MATCH($C$10,HOUSING_STOCK_YEARS,0)+2,MATCH($I$8,HOUSING_STOCK_BLDG,0)+4)*(J11/E11)))</f>
        <v>0.23289941935275071</v>
      </c>
      <c r="F10" s="279">
        <f>(INDEX(HOUSING_STOCK,MATCH($C$10,HOUSING_STOCK_YEARS,0)+2,MATCH($N$8,HOUSING_STOCK_BLDG,0)+4)*P10)/(INDEX(HOUSING_STOCK,MATCH($C$10,HOUSING_STOCK_YEARS,0)+2,MATCH($D$8,HOUSING_STOCK_BLDG,0)+4)+(INDEX(HOUSING_STOCK,MATCH($C$10,HOUSING_STOCK_YEARS,0)+2,MATCH($I$8,HOUSING_STOCK_BLDG,0)+4)*(K11/F11)))</f>
        <v>0.05851494662452086</v>
      </c>
      <c r="G10" s="279">
        <f>1-SUM(D10:F10)</f>
        <v>0.6067003672151634</v>
      </c>
      <c r="H10" s="292"/>
      <c r="I10" s="279">
        <f>I11</f>
        <v>0.5131140000000001</v>
      </c>
      <c r="J10" s="279">
        <f>J11/E11*E10</f>
        <v>0.04785649249935811</v>
      </c>
      <c r="K10" s="279">
        <f>K11/F11*F10</f>
        <v>0.07757603683253539</v>
      </c>
      <c r="L10" s="279">
        <f>1-SUM(I10:K10)</f>
        <v>0.3614534706681065</v>
      </c>
      <c r="M10" s="292"/>
      <c r="N10" s="279">
        <f>'1992 Saturation Data'!D12</f>
        <v>0.14683531873742098</v>
      </c>
      <c r="O10" s="279">
        <f>'1992 Saturation Data'!D13</f>
        <v>0.21267298938823687</v>
      </c>
      <c r="P10" s="279">
        <f>'1992 Saturation Data'!D14</f>
        <v>0.06059845131554394</v>
      </c>
      <c r="Q10" s="279">
        <f>1-SUM(N10:P10)</f>
        <v>0.5798932405587982</v>
      </c>
      <c r="R10" s="216"/>
    </row>
    <row r="11" spans="2:18" ht="12.75">
      <c r="B11" s="290"/>
      <c r="C11" s="261">
        <v>2011</v>
      </c>
      <c r="D11" s="279">
        <f>'2011 Saturation Data'!D14</f>
        <v>0.053018</v>
      </c>
      <c r="E11" s="279">
        <f>'2011 Saturation Data'!D15</f>
        <v>0.4349640000000001</v>
      </c>
      <c r="F11" s="279">
        <f>'2011 Saturation Data'!D16</f>
        <v>0.133668</v>
      </c>
      <c r="G11" s="279">
        <f>1-SUM(D11:F11)</f>
        <v>0.37834999999999996</v>
      </c>
      <c r="H11" s="292"/>
      <c r="I11" s="279">
        <f>'2011 Saturation Data'!I14</f>
        <v>0.5131140000000001</v>
      </c>
      <c r="J11" s="279">
        <f>'2011 Saturation Data'!I15</f>
        <v>0.08937700000000001</v>
      </c>
      <c r="K11" s="279">
        <f>'2011 Saturation Data'!I16</f>
        <v>0.17721</v>
      </c>
      <c r="L11" s="279">
        <f>1-SUM(I11:K11)</f>
        <v>0.2202989999999999</v>
      </c>
      <c r="M11" s="292"/>
      <c r="N11" s="279">
        <f>(D11*INDEX(HOUSING_STOCK,MATCH($C$11,HOUSING_STOCK_YEARS,0)+2,MATCH($D$8,HOUSING_STOCK_BLDG,0)+4)+I11*INDEX(HOUSING_STOCK,MATCH($C$11,HOUSING_STOCK_YEARS,0)+2,MATCH($I$8,HOUSING_STOCK_BLDG,0)+4))/INDEX(HOUSING_STOCK,MATCH($C$11,HOUSING_STOCK_YEARS,0)+2,MATCH($N$8,HOUSING_STOCK_BLDG,0)+4)</f>
        <v>0.10721628730754099</v>
      </c>
      <c r="O11" s="279">
        <f>(E11*INDEX(HOUSING_STOCK,MATCH($C$11,HOUSING_STOCK_YEARS,0)+2,MATCH($D$8,HOUSING_STOCK_BLDG,0)+4)+J11*INDEX(HOUSING_STOCK,MATCH($C$11,HOUSING_STOCK_YEARS,0)+2,MATCH($I$8,HOUSING_STOCK_BLDG,0)+4))/INDEX(HOUSING_STOCK,MATCH($C$11,HOUSING_STOCK_YEARS,0)+2,MATCH($N$8,HOUSING_STOCK_BLDG,0)+4)</f>
        <v>0.39425461866273304</v>
      </c>
      <c r="P11" s="279">
        <f>(F11*INDEX(HOUSING_STOCK,MATCH($C$11,HOUSING_STOCK_YEARS,0)+2,MATCH($D$8,HOUSING_STOCK_BLDG,0)+4)+K11*INDEX(HOUSING_STOCK,MATCH($C$11,HOUSING_STOCK_YEARS,0)+2,MATCH($I$8,HOUSING_STOCK_BLDG,0)+4))/INDEX(HOUSING_STOCK,MATCH($C$11,HOUSING_STOCK_YEARS,0)+2,MATCH($N$8,HOUSING_STOCK_BLDG,0)+4)</f>
        <v>0.1387971509292516</v>
      </c>
      <c r="Q11" s="279">
        <f>1-SUM(N11:P11)</f>
        <v>0.3597319431004744</v>
      </c>
      <c r="R11" s="216"/>
    </row>
    <row r="12" spans="2:18" ht="12.75">
      <c r="B12" s="290"/>
      <c r="C12" s="261"/>
      <c r="D12" s="261"/>
      <c r="E12" s="261"/>
      <c r="F12" s="261"/>
      <c r="G12" s="261"/>
      <c r="H12" s="261"/>
      <c r="I12" s="261"/>
      <c r="J12" s="261"/>
      <c r="K12" s="261"/>
      <c r="L12" s="261"/>
      <c r="M12" s="261"/>
      <c r="N12" s="261"/>
      <c r="O12" s="261"/>
      <c r="P12" s="261"/>
      <c r="Q12" s="261"/>
      <c r="R12" s="216"/>
    </row>
    <row r="13" spans="2:18" ht="12.75">
      <c r="B13" s="293"/>
      <c r="C13" s="294" t="s">
        <v>198</v>
      </c>
      <c r="D13" s="233" t="s">
        <v>171</v>
      </c>
      <c r="E13" s="233" t="s">
        <v>172</v>
      </c>
      <c r="F13" s="233" t="s">
        <v>173</v>
      </c>
      <c r="G13" s="233" t="s">
        <v>62</v>
      </c>
      <c r="H13" s="273"/>
      <c r="I13" s="233" t="s">
        <v>171</v>
      </c>
      <c r="J13" s="233" t="s">
        <v>172</v>
      </c>
      <c r="K13" s="233" t="s">
        <v>173</v>
      </c>
      <c r="L13" s="233" t="s">
        <v>62</v>
      </c>
      <c r="M13" s="273"/>
      <c r="N13" s="233" t="s">
        <v>171</v>
      </c>
      <c r="O13" s="233" t="s">
        <v>172</v>
      </c>
      <c r="P13" s="233" t="s">
        <v>173</v>
      </c>
      <c r="Q13" s="233" t="s">
        <v>62</v>
      </c>
      <c r="R13" s="216"/>
    </row>
    <row r="14" spans="2:18" ht="12.75">
      <c r="B14" s="290"/>
      <c r="C14" s="261">
        <v>1992</v>
      </c>
      <c r="D14" s="300">
        <v>0.1</v>
      </c>
      <c r="E14" s="300">
        <v>0.65</v>
      </c>
      <c r="F14" s="300">
        <v>0.1</v>
      </c>
      <c r="G14" s="279">
        <f>1-SUM(D14:F14)</f>
        <v>0.15000000000000002</v>
      </c>
      <c r="H14" s="292"/>
      <c r="I14" s="300">
        <v>0.8</v>
      </c>
      <c r="J14" s="300">
        <v>0.05</v>
      </c>
      <c r="K14" s="300">
        <v>0.1</v>
      </c>
      <c r="L14" s="279">
        <f>1-SUM(I14:K14)</f>
        <v>0.04999999999999993</v>
      </c>
      <c r="M14" s="292"/>
      <c r="N14" s="279">
        <f aca="true" t="shared" si="0" ref="N14:P15">N10</f>
        <v>0.14683531873742098</v>
      </c>
      <c r="O14" s="279">
        <f t="shared" si="0"/>
        <v>0.21267298938823687</v>
      </c>
      <c r="P14" s="279">
        <f t="shared" si="0"/>
        <v>0.06059845131554394</v>
      </c>
      <c r="Q14" s="279">
        <f>1-SUM(N14:P14)</f>
        <v>0.5798932405587982</v>
      </c>
      <c r="R14" s="216"/>
    </row>
    <row r="15" spans="2:18" ht="12.75">
      <c r="B15" s="290"/>
      <c r="C15" s="261">
        <v>2011</v>
      </c>
      <c r="D15" s="300">
        <v>0.1</v>
      </c>
      <c r="E15" s="300">
        <v>0.65</v>
      </c>
      <c r="F15" s="300">
        <v>0.1</v>
      </c>
      <c r="G15" s="279">
        <f>1-SUM(D15:F15)</f>
        <v>0.15000000000000002</v>
      </c>
      <c r="H15" s="292"/>
      <c r="I15" s="300">
        <v>0.8</v>
      </c>
      <c r="J15" s="300">
        <v>0.05</v>
      </c>
      <c r="K15" s="300">
        <v>0.1</v>
      </c>
      <c r="L15" s="279">
        <f>1-SUM(I15:K15)</f>
        <v>0.04999999999999993</v>
      </c>
      <c r="M15" s="292"/>
      <c r="N15" s="279">
        <f t="shared" si="0"/>
        <v>0.10721628730754099</v>
      </c>
      <c r="O15" s="279">
        <f t="shared" si="0"/>
        <v>0.39425461866273304</v>
      </c>
      <c r="P15" s="279">
        <f t="shared" si="0"/>
        <v>0.1387971509292516</v>
      </c>
      <c r="Q15" s="279">
        <f>1-SUM(N15:P15)</f>
        <v>0.3597319431004744</v>
      </c>
      <c r="R15" s="216"/>
    </row>
    <row r="16" spans="2:18" ht="12.75">
      <c r="B16" s="290"/>
      <c r="C16" s="261"/>
      <c r="D16" s="261"/>
      <c r="E16" s="261"/>
      <c r="F16" s="261"/>
      <c r="G16" s="261"/>
      <c r="H16" s="261"/>
      <c r="I16" s="261"/>
      <c r="J16" s="261"/>
      <c r="K16" s="261"/>
      <c r="L16" s="261"/>
      <c r="M16" s="261"/>
      <c r="N16" s="261"/>
      <c r="O16" s="261"/>
      <c r="P16" s="261"/>
      <c r="Q16" s="261"/>
      <c r="R16" s="216"/>
    </row>
    <row r="17" spans="2:18" ht="12.75">
      <c r="B17" s="290"/>
      <c r="C17" s="261" t="s">
        <v>206</v>
      </c>
      <c r="D17" s="657" t="s">
        <v>227</v>
      </c>
      <c r="E17" s="261"/>
      <c r="F17" s="261"/>
      <c r="G17" s="261"/>
      <c r="H17" s="261"/>
      <c r="I17" s="261"/>
      <c r="J17" s="261"/>
      <c r="K17" s="261"/>
      <c r="L17" s="261"/>
      <c r="M17" s="261"/>
      <c r="N17" s="261"/>
      <c r="O17" s="261"/>
      <c r="P17" s="261"/>
      <c r="Q17" s="261"/>
      <c r="R17" s="216"/>
    </row>
    <row r="18" spans="2:18" ht="12.75">
      <c r="B18" s="290"/>
      <c r="C18" s="261"/>
      <c r="D18" s="657" t="s">
        <v>530</v>
      </c>
      <c r="E18" s="261"/>
      <c r="F18" s="261"/>
      <c r="G18" s="261"/>
      <c r="H18" s="261"/>
      <c r="I18" s="261"/>
      <c r="J18" s="261"/>
      <c r="K18" s="261"/>
      <c r="L18" s="261"/>
      <c r="M18" s="261"/>
      <c r="N18" s="261"/>
      <c r="O18" s="261"/>
      <c r="P18" s="261"/>
      <c r="Q18" s="261"/>
      <c r="R18" s="216"/>
    </row>
    <row r="19" spans="2:18" ht="12.75">
      <c r="B19" s="290"/>
      <c r="C19" s="261"/>
      <c r="D19" s="657" t="s">
        <v>228</v>
      </c>
      <c r="E19" s="261"/>
      <c r="F19" s="261"/>
      <c r="G19" s="261"/>
      <c r="H19" s="261"/>
      <c r="I19" s="261"/>
      <c r="J19" s="261"/>
      <c r="K19" s="261"/>
      <c r="L19" s="261"/>
      <c r="M19" s="261"/>
      <c r="N19" s="261"/>
      <c r="O19" s="261"/>
      <c r="P19" s="261"/>
      <c r="Q19" s="261"/>
      <c r="R19" s="216"/>
    </row>
    <row r="20" spans="2:18" ht="12.75">
      <c r="B20" s="290"/>
      <c r="C20" s="261"/>
      <c r="D20" s="657"/>
      <c r="E20" s="261"/>
      <c r="F20" s="261"/>
      <c r="G20" s="261"/>
      <c r="H20" s="261"/>
      <c r="I20" s="261"/>
      <c r="J20" s="261"/>
      <c r="K20" s="261"/>
      <c r="L20" s="261"/>
      <c r="M20" s="261"/>
      <c r="N20" s="261"/>
      <c r="O20" s="261"/>
      <c r="P20" s="261"/>
      <c r="Q20" s="261"/>
      <c r="R20" s="216"/>
    </row>
    <row r="21" spans="2:18" ht="13.5" thickBot="1">
      <c r="B21" s="295"/>
      <c r="C21" s="275"/>
      <c r="D21" s="296"/>
      <c r="E21" s="296"/>
      <c r="F21" s="296"/>
      <c r="G21" s="296"/>
      <c r="H21" s="296"/>
      <c r="I21" s="296"/>
      <c r="J21" s="296"/>
      <c r="K21" s="296"/>
      <c r="L21" s="296"/>
      <c r="M21" s="296"/>
      <c r="N21" s="296"/>
      <c r="O21" s="296"/>
      <c r="P21" s="296"/>
      <c r="Q21" s="296"/>
      <c r="R21" s="221"/>
    </row>
    <row r="22" ht="13.5" thickBot="1"/>
    <row r="23" spans="2:18" ht="12.75">
      <c r="B23" s="287"/>
      <c r="C23" s="297"/>
      <c r="D23" s="288"/>
      <c r="E23" s="288"/>
      <c r="F23" s="288"/>
      <c r="G23" s="288"/>
      <c r="H23" s="288"/>
      <c r="I23" s="288"/>
      <c r="J23" s="288"/>
      <c r="K23" s="288"/>
      <c r="L23" s="288"/>
      <c r="M23" s="288"/>
      <c r="N23" s="288"/>
      <c r="O23" s="288"/>
      <c r="P23" s="288"/>
      <c r="Q23" s="288"/>
      <c r="R23" s="212"/>
    </row>
    <row r="24" spans="2:18" ht="12.75">
      <c r="B24" s="290"/>
      <c r="C24" s="261" t="s">
        <v>133</v>
      </c>
      <c r="D24" s="292"/>
      <c r="E24" s="292"/>
      <c r="F24" s="292"/>
      <c r="G24" s="292"/>
      <c r="H24" s="292"/>
      <c r="I24" s="292"/>
      <c r="J24" s="292"/>
      <c r="K24" s="292"/>
      <c r="L24" s="292"/>
      <c r="M24" s="292"/>
      <c r="N24" s="292"/>
      <c r="O24" s="292"/>
      <c r="P24" s="292"/>
      <c r="Q24" s="292"/>
      <c r="R24" s="216"/>
    </row>
    <row r="25" spans="2:18" ht="12.75">
      <c r="B25" s="290"/>
      <c r="C25" s="261"/>
      <c r="D25" s="911" t="s">
        <v>48</v>
      </c>
      <c r="E25" s="911"/>
      <c r="F25" s="911"/>
      <c r="G25" s="911"/>
      <c r="H25" s="292"/>
      <c r="I25" s="911" t="s">
        <v>49</v>
      </c>
      <c r="J25" s="911"/>
      <c r="K25" s="911"/>
      <c r="L25" s="911"/>
      <c r="M25" s="292"/>
      <c r="N25" s="911" t="s">
        <v>52</v>
      </c>
      <c r="O25" s="911"/>
      <c r="P25" s="911"/>
      <c r="Q25" s="911"/>
      <c r="R25" s="216"/>
    </row>
    <row r="26" spans="2:18" ht="12.75">
      <c r="B26" s="290"/>
      <c r="C26" s="298" t="s">
        <v>126</v>
      </c>
      <c r="D26" s="233" t="s">
        <v>171</v>
      </c>
      <c r="E26" s="233" t="s">
        <v>172</v>
      </c>
      <c r="F26" s="233" t="s">
        <v>173</v>
      </c>
      <c r="G26" s="233" t="s">
        <v>174</v>
      </c>
      <c r="H26" s="292"/>
      <c r="I26" s="233" t="s">
        <v>171</v>
      </c>
      <c r="J26" s="233" t="s">
        <v>172</v>
      </c>
      <c r="K26" s="233" t="s">
        <v>173</v>
      </c>
      <c r="L26" s="233" t="s">
        <v>174</v>
      </c>
      <c r="M26" s="292"/>
      <c r="N26" s="233" t="s">
        <v>171</v>
      </c>
      <c r="O26" s="233" t="s">
        <v>172</v>
      </c>
      <c r="P26" s="233" t="s">
        <v>173</v>
      </c>
      <c r="Q26" s="233" t="s">
        <v>174</v>
      </c>
      <c r="R26" s="216"/>
    </row>
    <row r="27" spans="2:18" ht="12.75">
      <c r="B27" s="290"/>
      <c r="C27" s="261" t="s">
        <v>100</v>
      </c>
      <c r="D27" s="300">
        <v>0.8040892492005658</v>
      </c>
      <c r="E27" s="279" t="s">
        <v>129</v>
      </c>
      <c r="F27" s="300">
        <v>0.8516003165669976</v>
      </c>
      <c r="G27" s="279" t="s">
        <v>129</v>
      </c>
      <c r="H27" s="292"/>
      <c r="I27" s="300">
        <v>0.6765488295455194</v>
      </c>
      <c r="J27" s="279" t="s">
        <v>129</v>
      </c>
      <c r="K27" s="300">
        <v>0.8061888302074309</v>
      </c>
      <c r="L27" s="279" t="s">
        <v>129</v>
      </c>
      <c r="M27" s="292"/>
      <c r="N27" s="279">
        <f aca="true" t="shared" si="1" ref="N27:P29">(D27*D$11*INDEX(HOUSING_STOCK,MATCH($C$11,HOUSING_STOCK_YEARS,0)+2,MATCH($D$8,HOUSING_STOCK_BLDG,0)+4)+I27*I$11*INDEX(HOUSING_STOCK,MATCH($C$11,HOUSING_STOCK_YEARS,0)+2,MATCH($I$8,HOUSING_STOCK_BLDG,0)+4))/(D$11*INDEX(HOUSING_STOCK,MATCH($C$11,HOUSING_STOCK_YEARS,0)+2,MATCH($D$8,HOUSING_STOCK_BLDG,0)+4)+I$11*INDEX(HOUSING_STOCK,MATCH($C$11,HOUSING_STOCK_YEARS,0)+2,MATCH($I$8,HOUSING_STOCK_BLDG,0)+4))</f>
        <v>0.7321877332882706</v>
      </c>
      <c r="O27" s="279" t="s">
        <v>129</v>
      </c>
      <c r="P27" s="279">
        <f t="shared" si="1"/>
        <v>0.8447704770930333</v>
      </c>
      <c r="Q27" s="279" t="s">
        <v>129</v>
      </c>
      <c r="R27" s="216"/>
    </row>
    <row r="28" spans="2:18" ht="12.75">
      <c r="B28" s="290"/>
      <c r="C28" s="261" t="s">
        <v>101</v>
      </c>
      <c r="D28" s="300">
        <v>0.15792993201361444</v>
      </c>
      <c r="E28" s="279" t="s">
        <v>129</v>
      </c>
      <c r="F28" s="300">
        <v>0.1270758676874099</v>
      </c>
      <c r="G28" s="279" t="s">
        <v>129</v>
      </c>
      <c r="H28" s="292"/>
      <c r="I28" s="300">
        <v>0.2679380965095537</v>
      </c>
      <c r="J28" s="279" t="s">
        <v>129</v>
      </c>
      <c r="K28" s="300">
        <v>0.1938111697925691</v>
      </c>
      <c r="L28" s="279" t="s">
        <v>129</v>
      </c>
      <c r="M28" s="292"/>
      <c r="N28" s="279">
        <f t="shared" si="1"/>
        <v>0.21994755600591728</v>
      </c>
      <c r="O28" s="279" t="s">
        <v>129</v>
      </c>
      <c r="P28" s="279">
        <f t="shared" si="1"/>
        <v>0.13711278647522054</v>
      </c>
      <c r="Q28" s="279" t="s">
        <v>129</v>
      </c>
      <c r="R28" s="216"/>
    </row>
    <row r="29" spans="2:18" ht="12.75">
      <c r="B29" s="290"/>
      <c r="C29" s="261" t="s">
        <v>102</v>
      </c>
      <c r="D29" s="300">
        <v>0.037980818785819714</v>
      </c>
      <c r="E29" s="279" t="s">
        <v>129</v>
      </c>
      <c r="F29" s="300">
        <v>0.02132381574559238</v>
      </c>
      <c r="G29" s="279" t="s">
        <v>129</v>
      </c>
      <c r="H29" s="292"/>
      <c r="I29" s="300">
        <v>0.05551307394492681</v>
      </c>
      <c r="J29" s="279" t="s">
        <v>129</v>
      </c>
      <c r="K29" s="300">
        <v>0</v>
      </c>
      <c r="L29" s="279" t="s">
        <v>129</v>
      </c>
      <c r="M29" s="292"/>
      <c r="N29" s="279">
        <f t="shared" si="1"/>
        <v>0.04786471070581218</v>
      </c>
      <c r="O29" s="279" t="s">
        <v>129</v>
      </c>
      <c r="P29" s="279">
        <f t="shared" si="1"/>
        <v>0.018116736431745935</v>
      </c>
      <c r="Q29" s="279" t="s">
        <v>129</v>
      </c>
      <c r="R29" s="216"/>
    </row>
    <row r="30" spans="2:18" ht="12.75">
      <c r="B30" s="290"/>
      <c r="C30" s="261" t="s">
        <v>66</v>
      </c>
      <c r="D30" s="279">
        <f>SUM(D27:D29)</f>
        <v>1</v>
      </c>
      <c r="E30" s="279">
        <f>SUM(E27:E29)</f>
        <v>0</v>
      </c>
      <c r="F30" s="279">
        <f>SUM(F27:F29)</f>
        <v>0.9999999999999999</v>
      </c>
      <c r="G30" s="279">
        <f>SUM(G27:G29)</f>
        <v>0</v>
      </c>
      <c r="H30" s="292"/>
      <c r="I30" s="279">
        <f>SUM(I27:I29)</f>
        <v>0.9999999999999999</v>
      </c>
      <c r="J30" s="279">
        <f>SUM(J27:J29)</f>
        <v>0</v>
      </c>
      <c r="K30" s="279">
        <f>SUM(K27:K29)</f>
        <v>1</v>
      </c>
      <c r="L30" s="279">
        <f>SUM(L27:L29)</f>
        <v>0</v>
      </c>
      <c r="M30" s="292"/>
      <c r="N30" s="279">
        <f>SUM(N27:N29)</f>
        <v>1</v>
      </c>
      <c r="O30" s="279">
        <f>SUM(O27:O29)</f>
        <v>0</v>
      </c>
      <c r="P30" s="279">
        <f>SUM(P27:P29)</f>
        <v>0.9999999999999998</v>
      </c>
      <c r="Q30" s="279">
        <f>SUM(Q27:Q29)</f>
        <v>0</v>
      </c>
      <c r="R30" s="216"/>
    </row>
    <row r="31" spans="2:18" ht="12.75">
      <c r="B31" s="290"/>
      <c r="C31" s="233"/>
      <c r="D31" s="292"/>
      <c r="E31" s="292"/>
      <c r="F31" s="292"/>
      <c r="G31" s="292"/>
      <c r="H31" s="292"/>
      <c r="I31" s="292"/>
      <c r="J31" s="292"/>
      <c r="K31" s="292"/>
      <c r="L31" s="292"/>
      <c r="M31" s="292"/>
      <c r="N31" s="292"/>
      <c r="O31" s="292"/>
      <c r="P31" s="292"/>
      <c r="Q31" s="292"/>
      <c r="R31" s="216"/>
    </row>
    <row r="32" spans="2:18" ht="12.75">
      <c r="B32" s="290"/>
      <c r="C32" s="298" t="s">
        <v>127</v>
      </c>
      <c r="D32" s="233" t="s">
        <v>171</v>
      </c>
      <c r="E32" s="233" t="s">
        <v>172</v>
      </c>
      <c r="F32" s="233" t="s">
        <v>173</v>
      </c>
      <c r="G32" s="233" t="s">
        <v>174</v>
      </c>
      <c r="H32" s="292"/>
      <c r="I32" s="233" t="s">
        <v>171</v>
      </c>
      <c r="J32" s="233" t="s">
        <v>172</v>
      </c>
      <c r="K32" s="233" t="s">
        <v>173</v>
      </c>
      <c r="L32" s="233" t="s">
        <v>174</v>
      </c>
      <c r="M32" s="292"/>
      <c r="N32" s="233" t="s">
        <v>171</v>
      </c>
      <c r="O32" s="233" t="s">
        <v>172</v>
      </c>
      <c r="P32" s="233" t="s">
        <v>173</v>
      </c>
      <c r="Q32" s="233" t="s">
        <v>174</v>
      </c>
      <c r="R32" s="216"/>
    </row>
    <row r="33" spans="2:18" ht="12.75">
      <c r="B33" s="290"/>
      <c r="C33" s="261" t="s">
        <v>82</v>
      </c>
      <c r="D33" s="279" t="s">
        <v>129</v>
      </c>
      <c r="E33" s="279" t="s">
        <v>129</v>
      </c>
      <c r="F33" s="300">
        <v>0.6100432508374128</v>
      </c>
      <c r="G33" s="300">
        <v>0.36534380413231615</v>
      </c>
      <c r="H33" s="292"/>
      <c r="I33" s="279" t="s">
        <v>129</v>
      </c>
      <c r="J33" s="279" t="s">
        <v>129</v>
      </c>
      <c r="K33" s="300">
        <v>0.19815412636232993</v>
      </c>
      <c r="L33" s="300">
        <v>0.5812364227092939</v>
      </c>
      <c r="M33" s="292"/>
      <c r="N33" s="279" t="s">
        <v>129</v>
      </c>
      <c r="O33" s="279" t="s">
        <v>129</v>
      </c>
      <c r="P33" s="279">
        <f aca="true" t="shared" si="2" ref="P33:Q35">(F33*F$11*INDEX(HOUSING_STOCK,MATCH($C$11,HOUSING_STOCK_YEARS,0)+2,MATCH($D$8,HOUSING_STOCK_BLDG,0)+4)+K33*K$11*INDEX(HOUSING_STOCK,MATCH($C$11,HOUSING_STOCK_YEARS,0)+2,MATCH($I$8,HOUSING_STOCK_BLDG,0)+4))/(F$11*INDEX(HOUSING_STOCK,MATCH($C$11,HOUSING_STOCK_YEARS,0)+2,MATCH($D$8,HOUSING_STOCK_BLDG,0)+4)+K$11*INDEX(HOUSING_STOCK,MATCH($C$11,HOUSING_STOCK_YEARS,0)+2,MATCH($I$8,HOUSING_STOCK_BLDG,0)+4))</f>
        <v>0.5480955625595584</v>
      </c>
      <c r="Q33" s="279">
        <f t="shared" si="2"/>
        <v>0.3809181000213099</v>
      </c>
      <c r="R33" s="216"/>
    </row>
    <row r="34" spans="2:18" ht="12.75">
      <c r="B34" s="290"/>
      <c r="C34" s="261" t="s">
        <v>83</v>
      </c>
      <c r="D34" s="279" t="s">
        <v>129</v>
      </c>
      <c r="E34" s="279" t="s">
        <v>129</v>
      </c>
      <c r="F34" s="300">
        <v>0.17273274098130273</v>
      </c>
      <c r="G34" s="300">
        <v>0.3752311673993324</v>
      </c>
      <c r="H34" s="292"/>
      <c r="I34" s="279" t="s">
        <v>129</v>
      </c>
      <c r="J34" s="279" t="s">
        <v>129</v>
      </c>
      <c r="K34" s="300">
        <v>0.36650918954134476</v>
      </c>
      <c r="L34" s="300">
        <v>0.26633604741860445</v>
      </c>
      <c r="M34" s="292"/>
      <c r="N34" s="279" t="s">
        <v>129</v>
      </c>
      <c r="O34" s="279" t="s">
        <v>129</v>
      </c>
      <c r="P34" s="279">
        <f t="shared" si="2"/>
        <v>0.20187651370481235</v>
      </c>
      <c r="Q34" s="279">
        <f t="shared" si="2"/>
        <v>0.3673755731199817</v>
      </c>
      <c r="R34" s="216"/>
    </row>
    <row r="35" spans="2:18" ht="12.75">
      <c r="B35" s="290"/>
      <c r="C35" s="261" t="s">
        <v>84</v>
      </c>
      <c r="D35" s="279" t="s">
        <v>129</v>
      </c>
      <c r="E35" s="279" t="s">
        <v>129</v>
      </c>
      <c r="F35" s="300">
        <v>0.21722400818128437</v>
      </c>
      <c r="G35" s="300">
        <v>0.2594250284683516</v>
      </c>
      <c r="H35" s="292"/>
      <c r="I35" s="279" t="s">
        <v>129</v>
      </c>
      <c r="J35" s="279" t="s">
        <v>129</v>
      </c>
      <c r="K35" s="300">
        <v>0.4353366840963253</v>
      </c>
      <c r="L35" s="300">
        <v>0.15242752987210173</v>
      </c>
      <c r="M35" s="292"/>
      <c r="N35" s="279" t="s">
        <v>129</v>
      </c>
      <c r="O35" s="279" t="s">
        <v>129</v>
      </c>
      <c r="P35" s="279">
        <f t="shared" si="2"/>
        <v>0.2500279237356292</v>
      </c>
      <c r="Q35" s="279">
        <f t="shared" si="2"/>
        <v>0.2517063268587084</v>
      </c>
      <c r="R35" s="216"/>
    </row>
    <row r="36" spans="2:18" ht="12.75">
      <c r="B36" s="290"/>
      <c r="C36" s="261" t="s">
        <v>66</v>
      </c>
      <c r="D36" s="279">
        <f>SUM(D33:D35)</f>
        <v>0</v>
      </c>
      <c r="E36" s="279">
        <f>SUM(E33:E35)</f>
        <v>0</v>
      </c>
      <c r="F36" s="279">
        <f>SUM(F33:F35)</f>
        <v>1</v>
      </c>
      <c r="G36" s="279">
        <f>SUM(G33:G35)</f>
        <v>1</v>
      </c>
      <c r="H36" s="292"/>
      <c r="I36" s="279">
        <f>SUM(I33:I35)</f>
        <v>0</v>
      </c>
      <c r="J36" s="279">
        <f>SUM(J33:J35)</f>
        <v>0</v>
      </c>
      <c r="K36" s="279">
        <f>SUM(K33:K35)</f>
        <v>1</v>
      </c>
      <c r="L36" s="279">
        <f>SUM(L33:L35)</f>
        <v>1</v>
      </c>
      <c r="M36" s="292"/>
      <c r="N36" s="279">
        <f>SUM(N33:N35)</f>
        <v>0</v>
      </c>
      <c r="O36" s="279">
        <f>SUM(O33:O35)</f>
        <v>0</v>
      </c>
      <c r="P36" s="279">
        <f>SUM(P33:P35)</f>
        <v>0.9999999999999999</v>
      </c>
      <c r="Q36" s="279">
        <f>SUM(Q33:Q35)</f>
        <v>1</v>
      </c>
      <c r="R36" s="216"/>
    </row>
    <row r="37" spans="2:18" ht="12.75">
      <c r="B37" s="290"/>
      <c r="C37" s="261"/>
      <c r="D37" s="261"/>
      <c r="E37" s="261"/>
      <c r="F37" s="261"/>
      <c r="G37" s="261"/>
      <c r="H37" s="261"/>
      <c r="I37" s="261"/>
      <c r="J37" s="261"/>
      <c r="K37" s="261"/>
      <c r="L37" s="261"/>
      <c r="M37" s="261"/>
      <c r="N37" s="261"/>
      <c r="O37" s="261"/>
      <c r="P37" s="261"/>
      <c r="Q37" s="261"/>
      <c r="R37" s="216"/>
    </row>
    <row r="38" spans="2:18" ht="12.75">
      <c r="B38" s="290"/>
      <c r="C38" s="261" t="s">
        <v>197</v>
      </c>
      <c r="D38" s="657" t="s">
        <v>196</v>
      </c>
      <c r="E38" s="261"/>
      <c r="F38" s="261"/>
      <c r="G38" s="261"/>
      <c r="H38" s="261"/>
      <c r="I38" s="261"/>
      <c r="J38" s="261"/>
      <c r="K38" s="261"/>
      <c r="L38" s="261"/>
      <c r="M38" s="261"/>
      <c r="N38" s="261"/>
      <c r="O38" s="261"/>
      <c r="P38" s="261"/>
      <c r="Q38" s="261"/>
      <c r="R38" s="216"/>
    </row>
    <row r="39" spans="2:18" ht="13.5" thickBot="1">
      <c r="B39" s="295"/>
      <c r="C39" s="296"/>
      <c r="D39" s="296"/>
      <c r="E39" s="296"/>
      <c r="F39" s="296"/>
      <c r="G39" s="299"/>
      <c r="H39" s="296"/>
      <c r="I39" s="296"/>
      <c r="J39" s="296"/>
      <c r="K39" s="296"/>
      <c r="L39" s="299"/>
      <c r="M39" s="296"/>
      <c r="N39" s="296"/>
      <c r="O39" s="296"/>
      <c r="P39" s="296"/>
      <c r="Q39" s="299"/>
      <c r="R39" s="221"/>
    </row>
    <row r="41" spans="4:5" ht="12.75">
      <c r="D41" s="34"/>
      <c r="E41" s="34"/>
    </row>
    <row r="42" spans="4:5" ht="12.75">
      <c r="D42" s="34"/>
      <c r="E42" s="34"/>
    </row>
    <row r="43" spans="4:5" ht="12.75">
      <c r="D43" s="34"/>
      <c r="E43" s="34"/>
    </row>
    <row r="44" spans="4:5" ht="12.75">
      <c r="D44" s="34"/>
      <c r="E44" s="34"/>
    </row>
    <row r="45" spans="4:5" ht="12.75">
      <c r="D45" s="34"/>
      <c r="E45" s="34"/>
    </row>
    <row r="46" spans="4:5" ht="12.75">
      <c r="D46" s="34"/>
      <c r="E46" s="34"/>
    </row>
    <row r="47" spans="4:5" ht="12.75">
      <c r="D47" s="34"/>
      <c r="E47" s="34"/>
    </row>
    <row r="48" spans="4:5" ht="12.75">
      <c r="D48" s="34"/>
      <c r="E48" s="34"/>
    </row>
    <row r="49" spans="4:5" ht="12.75">
      <c r="D49" s="34"/>
      <c r="E49" s="34"/>
    </row>
    <row r="50" spans="4:5" ht="12.75">
      <c r="D50" s="34"/>
      <c r="E50" s="34"/>
    </row>
    <row r="51" spans="4:5" ht="12.75">
      <c r="D51" s="34"/>
      <c r="E51" s="34"/>
    </row>
    <row r="52" spans="4:5" ht="12.75">
      <c r="D52" s="34"/>
      <c r="E52" s="34"/>
    </row>
    <row r="54" spans="4:5" ht="12.75">
      <c r="D54" s="34"/>
      <c r="E54" s="34"/>
    </row>
    <row r="55" spans="4:5" ht="12.75">
      <c r="D55" s="34"/>
      <c r="E55" s="34"/>
    </row>
    <row r="58" spans="4:5" ht="12.75">
      <c r="D58" s="34"/>
      <c r="E58" s="34"/>
    </row>
    <row r="59" spans="4:5" ht="12.75">
      <c r="D59" s="34"/>
      <c r="E59" s="34"/>
    </row>
    <row r="62" spans="4:5" ht="12.75">
      <c r="D62" s="34"/>
      <c r="E62" s="34"/>
    </row>
    <row r="64" spans="4:5" ht="12.75">
      <c r="D64" s="35"/>
      <c r="E64" s="35"/>
    </row>
  </sheetData>
  <mergeCells count="8">
    <mergeCell ref="D25:G25"/>
    <mergeCell ref="I25:L25"/>
    <mergeCell ref="N25:Q25"/>
    <mergeCell ref="B2:C2"/>
    <mergeCell ref="B4:C4"/>
    <mergeCell ref="D8:G8"/>
    <mergeCell ref="I8:L8"/>
    <mergeCell ref="N8:Q8"/>
  </mergeCells>
  <hyperlinks>
    <hyperlink ref="B4:C4" location="Navigation!A1" display="NAVIGATION"/>
  </hyperlink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A85"/>
  <sheetViews>
    <sheetView zoomScale="70" zoomScaleNormal="70" workbookViewId="0" topLeftCell="A14">
      <selection activeCell="W14" sqref="W14"/>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16384" width="9.140625" style="4" customWidth="1"/>
  </cols>
  <sheetData>
    <row r="1" ht="13.5" thickBot="1"/>
    <row r="2" spans="2:79" ht="13.5" thickBot="1">
      <c r="B2" s="913" t="s">
        <v>171</v>
      </c>
      <c r="C2" s="914"/>
      <c r="D2" s="914"/>
      <c r="E2" s="914"/>
      <c r="F2" s="914"/>
      <c r="G2" s="915"/>
      <c r="Z2" s="913" t="str">
        <f>B2</f>
        <v>FAF - Electric</v>
      </c>
      <c r="AA2" s="914"/>
      <c r="AB2" s="914"/>
      <c r="AC2" s="914"/>
      <c r="AD2" s="914"/>
      <c r="AE2" s="915"/>
      <c r="AX2" s="913" t="str">
        <f>B2</f>
        <v>FAF - Electric</v>
      </c>
      <c r="AY2" s="914"/>
      <c r="AZ2" s="914"/>
      <c r="BA2" s="914"/>
      <c r="BB2" s="914"/>
      <c r="BC2" s="915"/>
      <c r="BM2" s="4"/>
      <c r="BV2" s="913" t="str">
        <f>$B$2</f>
        <v>FAF - Electric</v>
      </c>
      <c r="BW2" s="914"/>
      <c r="BX2" s="914"/>
      <c r="BY2" s="914"/>
      <c r="BZ2" s="914"/>
      <c r="CA2" s="915"/>
    </row>
    <row r="3" spans="2:79" ht="13.5" thickBot="1">
      <c r="B3" s="319"/>
      <c r="C3" s="319"/>
      <c r="D3" s="319"/>
      <c r="E3" s="319"/>
      <c r="F3" s="319"/>
      <c r="G3" s="319"/>
      <c r="Z3" s="319"/>
      <c r="AA3" s="319"/>
      <c r="AB3" s="319"/>
      <c r="AC3" s="319"/>
      <c r="AD3" s="319"/>
      <c r="AE3" s="319"/>
      <c r="AX3" s="319"/>
      <c r="AY3" s="319"/>
      <c r="AZ3" s="319"/>
      <c r="BA3" s="319"/>
      <c r="BB3" s="319"/>
      <c r="BC3" s="319"/>
      <c r="BM3" s="4"/>
      <c r="BV3" s="319"/>
      <c r="BW3" s="319"/>
      <c r="BX3" s="319"/>
      <c r="BY3" s="319"/>
      <c r="BZ3" s="319"/>
      <c r="CA3" s="31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M4" s="4"/>
      <c r="BV4" s="913" t="s">
        <v>24</v>
      </c>
      <c r="BW4" s="914"/>
      <c r="BX4" s="914"/>
      <c r="BY4" s="914"/>
      <c r="BZ4" s="914"/>
      <c r="CA4" s="915"/>
    </row>
    <row r="5" spans="2:79" ht="13.5" thickBot="1">
      <c r="B5" s="7"/>
      <c r="C5" s="320"/>
      <c r="D5" s="7"/>
      <c r="E5" s="7"/>
      <c r="F5" s="7"/>
      <c r="G5" s="7"/>
      <c r="H5" s="7"/>
      <c r="I5" s="7"/>
      <c r="M5" s="7"/>
      <c r="T5" s="9"/>
      <c r="U5" s="8" t="s">
        <v>23</v>
      </c>
      <c r="Z5" s="7"/>
      <c r="AA5" s="320"/>
      <c r="AB5" s="7"/>
      <c r="AC5" s="7"/>
      <c r="AD5" s="7"/>
      <c r="AE5" s="7"/>
      <c r="AF5" s="7"/>
      <c r="AG5" s="7"/>
      <c r="AK5" s="7"/>
      <c r="AR5" s="9"/>
      <c r="AS5" s="8" t="s">
        <v>23</v>
      </c>
      <c r="BB5" s="7"/>
      <c r="BC5" s="7"/>
      <c r="BD5" s="7"/>
      <c r="BE5" s="7"/>
      <c r="BI5" s="7"/>
      <c r="BP5" s="9"/>
      <c r="BQ5" s="8" t="s">
        <v>23</v>
      </c>
      <c r="BV5" s="7"/>
      <c r="BW5" s="320"/>
      <c r="BX5" s="7"/>
      <c r="BY5" s="7"/>
      <c r="BZ5" s="7"/>
      <c r="CA5" s="7"/>
    </row>
    <row r="6" spans="2:79" ht="13.5" thickBot="1">
      <c r="B6" s="316" t="s">
        <v>48</v>
      </c>
      <c r="C6" s="317"/>
      <c r="D6" s="317"/>
      <c r="E6" s="317"/>
      <c r="F6" s="317"/>
      <c r="G6" s="318"/>
      <c r="H6" s="7"/>
      <c r="I6" s="7"/>
      <c r="M6" s="7"/>
      <c r="U6" s="356">
        <f>ROUND(INDEX(LIFETIMES_TABLE,MATCH(B$2,HVAC_SYSTEMS,0),MATCH(B$6,LIFETIMES_HOUSING_TYPE,0)),0)</f>
        <v>21</v>
      </c>
      <c r="Z6" s="316" t="s">
        <v>49</v>
      </c>
      <c r="AA6" s="317"/>
      <c r="AB6" s="317"/>
      <c r="AC6" s="317"/>
      <c r="AD6" s="317"/>
      <c r="AE6" s="318"/>
      <c r="AF6" s="7"/>
      <c r="AG6" s="7"/>
      <c r="AK6" s="7"/>
      <c r="AS6" s="356">
        <f>ROUND(INDEX(LIFETIMES_TABLE,MATCH(Z$2,HVAC_SYSTEMS,0),MATCH(Z$6,LIFETIMES_HOUSING_TYPE,0)),0)</f>
        <v>21</v>
      </c>
      <c r="AX6" s="316" t="s">
        <v>52</v>
      </c>
      <c r="AY6" s="317"/>
      <c r="AZ6" s="317"/>
      <c r="BA6" s="317"/>
      <c r="BB6" s="317"/>
      <c r="BC6" s="318"/>
      <c r="BD6" s="7"/>
      <c r="BE6" s="7"/>
      <c r="BI6" s="7"/>
      <c r="BQ6" s="356">
        <f>ROUND(INDEX(LIFETIMES_TABLE,MATCH(AX$2,HVAC_SYSTEMS,0),MATCH(AX$6,LIFETIMES_HOUSING_TYPE,0)),0)</f>
        <v>21</v>
      </c>
      <c r="BV6" s="913" t="s">
        <v>52</v>
      </c>
      <c r="BW6" s="914"/>
      <c r="BX6" s="914"/>
      <c r="BY6" s="914"/>
      <c r="BZ6" s="914"/>
      <c r="CA6" s="915"/>
    </row>
    <row r="7" spans="6:67" ht="13.5" thickBot="1">
      <c r="F7" s="7"/>
      <c r="G7" s="7"/>
      <c r="H7" s="7"/>
      <c r="I7" s="7"/>
      <c r="M7" s="7"/>
      <c r="S7" s="10"/>
      <c r="AD7" s="7"/>
      <c r="AE7" s="7"/>
      <c r="AF7" s="7"/>
      <c r="AG7" s="7"/>
      <c r="AK7" s="7"/>
      <c r="AQ7" s="10"/>
      <c r="BB7" s="7"/>
      <c r="BC7" s="7"/>
      <c r="BD7" s="7"/>
      <c r="BE7" s="7"/>
      <c r="BI7" s="7"/>
      <c r="BO7" s="10"/>
    </row>
    <row r="8" spans="2:79" ht="12.75">
      <c r="B8" s="321"/>
      <c r="C8" s="301"/>
      <c r="D8" s="302"/>
      <c r="E8" s="302"/>
      <c r="F8" s="332"/>
      <c r="G8" s="342"/>
      <c r="H8" s="7"/>
      <c r="I8" s="330"/>
      <c r="J8" s="301"/>
      <c r="K8" s="331"/>
      <c r="L8" s="302"/>
      <c r="M8" s="332"/>
      <c r="N8" s="304"/>
      <c r="P8" s="321"/>
      <c r="Q8" s="301"/>
      <c r="R8" s="302"/>
      <c r="S8" s="303"/>
      <c r="T8" s="302"/>
      <c r="U8" s="302"/>
      <c r="V8" s="302"/>
      <c r="W8" s="302"/>
      <c r="X8" s="304"/>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21"/>
      <c r="BW8" s="301"/>
      <c r="BX8" s="302"/>
      <c r="BY8" s="302"/>
      <c r="BZ8" s="302"/>
      <c r="CA8" s="304"/>
    </row>
    <row r="9" spans="2:79" ht="12.75">
      <c r="B9" s="343"/>
      <c r="C9" s="912" t="s">
        <v>41</v>
      </c>
      <c r="D9" s="912"/>
      <c r="E9" s="912"/>
      <c r="F9" s="912"/>
      <c r="G9" s="334"/>
      <c r="H9" s="11"/>
      <c r="I9" s="333"/>
      <c r="J9" s="912" t="s">
        <v>46</v>
      </c>
      <c r="K9" s="912"/>
      <c r="L9" s="912"/>
      <c r="M9" s="912"/>
      <c r="N9" s="334"/>
      <c r="O9" s="11"/>
      <c r="P9" s="322"/>
      <c r="Q9" s="912" t="s">
        <v>47</v>
      </c>
      <c r="R9" s="912"/>
      <c r="S9" s="912"/>
      <c r="T9" s="912"/>
      <c r="U9" s="912"/>
      <c r="V9" s="306"/>
      <c r="W9" s="306"/>
      <c r="X9" s="307"/>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59">
        <f>SUMIF($BY$11:$BY$81,"&gt;0",BX$11:BX$81)</f>
        <v>0</v>
      </c>
      <c r="BY9" s="359">
        <f>SUMIF($BY$11:$BY$81,"&gt;0",BY$11:BY$81)</f>
        <v>0</v>
      </c>
      <c r="BZ9" s="360">
        <f>IF(ISNUMBER(BY9/BX9),BY9/BX9,0)</f>
        <v>0</v>
      </c>
      <c r="CA9" s="307"/>
    </row>
    <row r="10" spans="2:79" s="5" customFormat="1" ht="39" thickBot="1">
      <c r="B10" s="335"/>
      <c r="C10" s="308"/>
      <c r="D10" s="336" t="s">
        <v>10</v>
      </c>
      <c r="E10" s="336" t="s">
        <v>4</v>
      </c>
      <c r="F10" s="336" t="s">
        <v>11</v>
      </c>
      <c r="G10" s="310"/>
      <c r="I10" s="335"/>
      <c r="J10" s="308"/>
      <c r="K10" s="336" t="s">
        <v>21</v>
      </c>
      <c r="L10" s="309" t="s">
        <v>42</v>
      </c>
      <c r="M10" s="309" t="s">
        <v>45</v>
      </c>
      <c r="N10" s="337"/>
      <c r="O10" s="13"/>
      <c r="P10" s="323"/>
      <c r="Q10" s="308"/>
      <c r="R10" s="309" t="s">
        <v>44</v>
      </c>
      <c r="S10" s="309" t="s">
        <v>93</v>
      </c>
      <c r="T10" s="309" t="s">
        <v>92</v>
      </c>
      <c r="U10" s="309" t="s">
        <v>43</v>
      </c>
      <c r="V10" s="309" t="s">
        <v>86</v>
      </c>
      <c r="W10" s="309" t="s">
        <v>91</v>
      </c>
      <c r="X10" s="310"/>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08"/>
      <c r="BX10" s="309" t="s">
        <v>43</v>
      </c>
      <c r="BY10" s="309" t="s">
        <v>114</v>
      </c>
      <c r="BZ10" s="309"/>
      <c r="CA10" s="310"/>
    </row>
    <row r="11" spans="2:79" s="5" customFormat="1" ht="12.75">
      <c r="B11" s="335"/>
      <c r="C11" s="311">
        <v>1945</v>
      </c>
      <c r="D11" s="336"/>
      <c r="E11" s="336"/>
      <c r="F11" s="336"/>
      <c r="G11" s="310"/>
      <c r="I11" s="335"/>
      <c r="J11" s="311">
        <v>1945</v>
      </c>
      <c r="K11" s="309"/>
      <c r="L11" s="309"/>
      <c r="M11" s="309"/>
      <c r="N11" s="337"/>
      <c r="O11" s="13"/>
      <c r="P11" s="323"/>
      <c r="Q11" s="311">
        <v>1945</v>
      </c>
      <c r="R11" s="309"/>
      <c r="S11" s="309"/>
      <c r="T11" s="309" t="str">
        <f>IF($Q$47-$Q11=$U$6,"CALIBRATE"," ")</f>
        <v xml:space="preserve"> </v>
      </c>
      <c r="U11" s="353">
        <f>IF(Q$47-Q11&gt;U$6,0,L$46/U$6)</f>
        <v>0</v>
      </c>
      <c r="V11" s="309"/>
      <c r="W11" s="309"/>
      <c r="X11" s="310"/>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53">
        <f>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53">
        <f>IF(BM$47-BM11&gt;BQ$6,0,BH$46/BQ$6)</f>
        <v>0</v>
      </c>
      <c r="BR11" s="309"/>
      <c r="BS11" s="309"/>
      <c r="BT11" s="310"/>
      <c r="BV11" s="323"/>
      <c r="BW11" s="311">
        <v>1945</v>
      </c>
      <c r="BX11" s="359">
        <f>BQ11</f>
        <v>0</v>
      </c>
      <c r="BY11" s="359">
        <f aca="true" t="shared" si="0" ref="BY11:BY81">IF(ISNUMBER(INDEX(TARGET_SHIPMENTS,MATCH($BV$2,HVAC_SYSTEMS,0),MATCH(BW11,TARGET_SHIPMENT_YEARS,0))),INDEX(TARGET_SHIPMENTS,MATCH($BV$2,HVAC_SYSTEMS,0),MATCH(BW11,TARGET_SHIPMENT_YEARS,0)),0)</f>
        <v>0</v>
      </c>
      <c r="BZ11" s="360">
        <f>IF(ISNUMBER(BY11/BX11),BY11/BX11,0)</f>
        <v>0</v>
      </c>
      <c r="CA11" s="310"/>
    </row>
    <row r="12" spans="2:79" s="5" customFormat="1" ht="12.75">
      <c r="B12" s="335"/>
      <c r="C12" s="311">
        <v>1946</v>
      </c>
      <c r="D12" s="336"/>
      <c r="E12" s="336"/>
      <c r="F12" s="336"/>
      <c r="G12" s="310"/>
      <c r="I12" s="335"/>
      <c r="J12" s="311">
        <v>1946</v>
      </c>
      <c r="K12" s="309"/>
      <c r="L12" s="309"/>
      <c r="M12" s="309"/>
      <c r="N12" s="337"/>
      <c r="O12" s="13"/>
      <c r="P12" s="323"/>
      <c r="Q12" s="311">
        <v>1946</v>
      </c>
      <c r="R12" s="309"/>
      <c r="S12" s="309"/>
      <c r="T12" s="309"/>
      <c r="U12" s="805">
        <f aca="true" t="shared" si="1" ref="U12:U46">IF(Q$47-Q12&gt;U$6,0,L$46/U$6)</f>
        <v>0</v>
      </c>
      <c r="V12" s="309"/>
      <c r="W12" s="309"/>
      <c r="X12" s="310"/>
      <c r="Z12" s="335"/>
      <c r="AA12" s="311">
        <v>1946</v>
      </c>
      <c r="AB12" s="336"/>
      <c r="AC12" s="336"/>
      <c r="AD12" s="336"/>
      <c r="AE12" s="310"/>
      <c r="AG12" s="335"/>
      <c r="AH12" s="311">
        <v>1946</v>
      </c>
      <c r="AI12" s="309"/>
      <c r="AJ12" s="309"/>
      <c r="AK12" s="309"/>
      <c r="AL12" s="337"/>
      <c r="AM12" s="13"/>
      <c r="AN12" s="323"/>
      <c r="AO12" s="311">
        <v>1946</v>
      </c>
      <c r="AP12" s="309"/>
      <c r="AQ12" s="309"/>
      <c r="AR12" s="309"/>
      <c r="AS12" s="805">
        <f aca="true" t="shared" si="2" ref="AS12:AS46">IF(AO$47-AO12&gt;AS$6,0,AJ$46/AS$6)</f>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5">
        <f aca="true" t="shared" si="3" ref="BQ12:BQ46">IF(BM$47-BM12&gt;BQ$6,0,BH$46/BQ$6)</f>
        <v>0</v>
      </c>
      <c r="BR12" s="309"/>
      <c r="BS12" s="309"/>
      <c r="BT12" s="310"/>
      <c r="BV12" s="323"/>
      <c r="BW12" s="311">
        <v>1946</v>
      </c>
      <c r="BX12" s="359">
        <f aca="true" t="shared" si="4" ref="BX12:BX29">BQ12</f>
        <v>0</v>
      </c>
      <c r="BY12" s="359">
        <f aca="true" t="shared" si="5" ref="BY12:BY29">IF(ISNUMBER(INDEX(TARGET_SHIPMENTS,MATCH($BV$2,HVAC_SYSTEMS,0),MATCH(BW12,TARGET_SHIPMENT_YEARS,0))),INDEX(TARGET_SHIPMENTS,MATCH($BV$2,HVAC_SYSTEMS,0),MATCH(BW12,TARGET_SHIPMENT_YEARS,0)),0)</f>
        <v>0</v>
      </c>
      <c r="BZ12" s="360">
        <f aca="true" t="shared" si="6" ref="BZ12:BZ29">IF(ISNUMBER(BY12/BX12),BY12/BX12,0)</f>
        <v>0</v>
      </c>
      <c r="CA12" s="310"/>
    </row>
    <row r="13" spans="2:79" s="5" customFormat="1" ht="12.75">
      <c r="B13" s="335"/>
      <c r="C13" s="311">
        <v>1947</v>
      </c>
      <c r="D13" s="336"/>
      <c r="E13" s="336"/>
      <c r="F13" s="336"/>
      <c r="G13" s="310"/>
      <c r="I13" s="335"/>
      <c r="J13" s="311">
        <v>1947</v>
      </c>
      <c r="K13" s="309"/>
      <c r="L13" s="309"/>
      <c r="M13" s="309"/>
      <c r="N13" s="337"/>
      <c r="O13" s="13"/>
      <c r="P13" s="323"/>
      <c r="Q13" s="311">
        <v>1947</v>
      </c>
      <c r="R13" s="309"/>
      <c r="S13" s="309"/>
      <c r="T13" s="309"/>
      <c r="U13" s="805">
        <f t="shared" si="1"/>
        <v>0</v>
      </c>
      <c r="V13" s="309"/>
      <c r="W13" s="309"/>
      <c r="X13" s="310"/>
      <c r="Z13" s="335"/>
      <c r="AA13" s="311">
        <v>1947</v>
      </c>
      <c r="AB13" s="336"/>
      <c r="AC13" s="336"/>
      <c r="AD13" s="336"/>
      <c r="AE13" s="310"/>
      <c r="AG13" s="335"/>
      <c r="AH13" s="311">
        <v>1947</v>
      </c>
      <c r="AI13" s="309"/>
      <c r="AJ13" s="309"/>
      <c r="AK13" s="309"/>
      <c r="AL13" s="337"/>
      <c r="AM13" s="13"/>
      <c r="AN13" s="323"/>
      <c r="AO13" s="311">
        <v>1947</v>
      </c>
      <c r="AP13" s="309"/>
      <c r="AQ13" s="309"/>
      <c r="AR13" s="309"/>
      <c r="AS13" s="805">
        <f t="shared" si="2"/>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5">
        <f t="shared" si="3"/>
        <v>0</v>
      </c>
      <c r="BR13" s="309"/>
      <c r="BS13" s="309"/>
      <c r="BT13" s="310"/>
      <c r="BV13" s="323"/>
      <c r="BW13" s="311">
        <v>1947</v>
      </c>
      <c r="BX13" s="359">
        <f t="shared" si="4"/>
        <v>0</v>
      </c>
      <c r="BY13" s="359">
        <f t="shared" si="5"/>
        <v>0</v>
      </c>
      <c r="BZ13" s="360">
        <f t="shared" si="6"/>
        <v>0</v>
      </c>
      <c r="CA13" s="310"/>
    </row>
    <row r="14" spans="2:79" s="5" customFormat="1" ht="12.75">
      <c r="B14" s="335"/>
      <c r="C14" s="311">
        <v>1948</v>
      </c>
      <c r="D14" s="336"/>
      <c r="E14" s="336"/>
      <c r="F14" s="336"/>
      <c r="G14" s="310"/>
      <c r="I14" s="335"/>
      <c r="J14" s="311">
        <v>1948</v>
      </c>
      <c r="K14" s="309"/>
      <c r="L14" s="309"/>
      <c r="M14" s="309"/>
      <c r="N14" s="337"/>
      <c r="O14" s="13"/>
      <c r="P14" s="323"/>
      <c r="Q14" s="311">
        <v>1948</v>
      </c>
      <c r="R14" s="309"/>
      <c r="S14" s="309"/>
      <c r="T14" s="309"/>
      <c r="U14" s="805">
        <f t="shared" si="1"/>
        <v>0</v>
      </c>
      <c r="V14" s="309"/>
      <c r="W14" s="309"/>
      <c r="X14" s="310"/>
      <c r="Z14" s="335"/>
      <c r="AA14" s="311">
        <v>1948</v>
      </c>
      <c r="AB14" s="336"/>
      <c r="AC14" s="336"/>
      <c r="AD14" s="336"/>
      <c r="AE14" s="310"/>
      <c r="AG14" s="335"/>
      <c r="AH14" s="311">
        <v>1948</v>
      </c>
      <c r="AI14" s="309"/>
      <c r="AJ14" s="309"/>
      <c r="AK14" s="309"/>
      <c r="AL14" s="337"/>
      <c r="AM14" s="13"/>
      <c r="AN14" s="323"/>
      <c r="AO14" s="311">
        <v>1948</v>
      </c>
      <c r="AP14" s="309"/>
      <c r="AQ14" s="309"/>
      <c r="AR14" s="309"/>
      <c r="AS14" s="805">
        <f t="shared" si="2"/>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5">
        <f t="shared" si="3"/>
        <v>0</v>
      </c>
      <c r="BR14" s="309"/>
      <c r="BS14" s="309"/>
      <c r="BT14" s="310"/>
      <c r="BV14" s="323"/>
      <c r="BW14" s="311">
        <v>1948</v>
      </c>
      <c r="BX14" s="359">
        <f t="shared" si="4"/>
        <v>0</v>
      </c>
      <c r="BY14" s="359">
        <f t="shared" si="5"/>
        <v>0</v>
      </c>
      <c r="BZ14" s="360">
        <f t="shared" si="6"/>
        <v>0</v>
      </c>
      <c r="CA14" s="310"/>
    </row>
    <row r="15" spans="2:79" s="5" customFormat="1" ht="12.75">
      <c r="B15" s="335"/>
      <c r="C15" s="311">
        <v>1949</v>
      </c>
      <c r="D15" s="336"/>
      <c r="E15" s="336"/>
      <c r="F15" s="336"/>
      <c r="G15" s="310"/>
      <c r="I15" s="335"/>
      <c r="J15" s="311">
        <v>1949</v>
      </c>
      <c r="K15" s="309"/>
      <c r="L15" s="309"/>
      <c r="M15" s="309"/>
      <c r="N15" s="337"/>
      <c r="O15" s="13"/>
      <c r="P15" s="323"/>
      <c r="Q15" s="311">
        <v>1949</v>
      </c>
      <c r="R15" s="309"/>
      <c r="S15" s="309"/>
      <c r="T15" s="309"/>
      <c r="U15" s="805">
        <f t="shared" si="1"/>
        <v>0</v>
      </c>
      <c r="V15" s="309"/>
      <c r="W15" s="309"/>
      <c r="X15" s="310"/>
      <c r="Z15" s="335"/>
      <c r="AA15" s="311">
        <v>1949</v>
      </c>
      <c r="AB15" s="336"/>
      <c r="AC15" s="336"/>
      <c r="AD15" s="336"/>
      <c r="AE15" s="310"/>
      <c r="AG15" s="335"/>
      <c r="AH15" s="311">
        <v>1949</v>
      </c>
      <c r="AI15" s="309"/>
      <c r="AJ15" s="309"/>
      <c r="AK15" s="309"/>
      <c r="AL15" s="337"/>
      <c r="AM15" s="13"/>
      <c r="AN15" s="323"/>
      <c r="AO15" s="311">
        <v>1949</v>
      </c>
      <c r="AP15" s="309"/>
      <c r="AQ15" s="309"/>
      <c r="AR15" s="309"/>
      <c r="AS15" s="805">
        <f t="shared" si="2"/>
        <v>0</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5">
        <f t="shared" si="3"/>
        <v>0</v>
      </c>
      <c r="BR15" s="309"/>
      <c r="BS15" s="309"/>
      <c r="BT15" s="310"/>
      <c r="BV15" s="323"/>
      <c r="BW15" s="311">
        <v>1949</v>
      </c>
      <c r="BX15" s="359">
        <f t="shared" si="4"/>
        <v>0</v>
      </c>
      <c r="BY15" s="359">
        <f t="shared" si="5"/>
        <v>0</v>
      </c>
      <c r="BZ15" s="360">
        <f t="shared" si="6"/>
        <v>0</v>
      </c>
      <c r="CA15" s="310"/>
    </row>
    <row r="16" spans="2:79" s="5" customFormat="1" ht="12.75">
      <c r="B16" s="335"/>
      <c r="C16" s="311">
        <v>1950</v>
      </c>
      <c r="D16" s="336"/>
      <c r="E16" s="336"/>
      <c r="F16" s="336"/>
      <c r="G16" s="310"/>
      <c r="I16" s="335"/>
      <c r="J16" s="311">
        <v>1950</v>
      </c>
      <c r="K16" s="309"/>
      <c r="L16" s="309"/>
      <c r="M16" s="309"/>
      <c r="N16" s="337"/>
      <c r="O16" s="13"/>
      <c r="P16" s="323"/>
      <c r="Q16" s="311">
        <v>1950</v>
      </c>
      <c r="R16" s="309"/>
      <c r="S16" s="309"/>
      <c r="T16" s="309"/>
      <c r="U16" s="805">
        <f t="shared" si="1"/>
        <v>0</v>
      </c>
      <c r="V16" s="309"/>
      <c r="W16" s="309"/>
      <c r="X16" s="310"/>
      <c r="Z16" s="335"/>
      <c r="AA16" s="311">
        <v>1950</v>
      </c>
      <c r="AB16" s="336"/>
      <c r="AC16" s="336"/>
      <c r="AD16" s="336"/>
      <c r="AE16" s="310"/>
      <c r="AG16" s="335"/>
      <c r="AH16" s="311">
        <v>1950</v>
      </c>
      <c r="AI16" s="309"/>
      <c r="AJ16" s="309"/>
      <c r="AK16" s="309"/>
      <c r="AL16" s="337"/>
      <c r="AM16" s="13"/>
      <c r="AN16" s="323"/>
      <c r="AO16" s="311">
        <v>1950</v>
      </c>
      <c r="AP16" s="309"/>
      <c r="AQ16" s="309"/>
      <c r="AR16" s="309"/>
      <c r="AS16" s="805">
        <f t="shared" si="2"/>
        <v>0</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5">
        <f t="shared" si="3"/>
        <v>0</v>
      </c>
      <c r="BR16" s="309"/>
      <c r="BS16" s="309"/>
      <c r="BT16" s="310"/>
      <c r="BV16" s="323"/>
      <c r="BW16" s="311">
        <v>1950</v>
      </c>
      <c r="BX16" s="359">
        <f t="shared" si="4"/>
        <v>0</v>
      </c>
      <c r="BY16" s="359">
        <f t="shared" si="5"/>
        <v>0</v>
      </c>
      <c r="BZ16" s="360">
        <f t="shared" si="6"/>
        <v>0</v>
      </c>
      <c r="CA16" s="310"/>
    </row>
    <row r="17" spans="2:79" s="5" customFormat="1" ht="12.75">
      <c r="B17" s="335"/>
      <c r="C17" s="311">
        <v>1951</v>
      </c>
      <c r="D17" s="336"/>
      <c r="E17" s="336"/>
      <c r="F17" s="336"/>
      <c r="G17" s="310"/>
      <c r="I17" s="335"/>
      <c r="J17" s="311">
        <v>1951</v>
      </c>
      <c r="K17" s="309"/>
      <c r="L17" s="309"/>
      <c r="M17" s="309"/>
      <c r="N17" s="337"/>
      <c r="O17" s="13"/>
      <c r="P17" s="323"/>
      <c r="Q17" s="311">
        <v>1951</v>
      </c>
      <c r="R17" s="309"/>
      <c r="S17" s="309"/>
      <c r="T17" s="309"/>
      <c r="U17" s="805">
        <f t="shared" si="1"/>
        <v>0</v>
      </c>
      <c r="V17" s="309"/>
      <c r="W17" s="309"/>
      <c r="X17" s="310"/>
      <c r="Z17" s="335"/>
      <c r="AA17" s="311">
        <v>1951</v>
      </c>
      <c r="AB17" s="336"/>
      <c r="AC17" s="336"/>
      <c r="AD17" s="336"/>
      <c r="AE17" s="310"/>
      <c r="AG17" s="335"/>
      <c r="AH17" s="311">
        <v>1951</v>
      </c>
      <c r="AI17" s="309"/>
      <c r="AJ17" s="309"/>
      <c r="AK17" s="309"/>
      <c r="AL17" s="337"/>
      <c r="AM17" s="13"/>
      <c r="AN17" s="323"/>
      <c r="AO17" s="311">
        <v>1951</v>
      </c>
      <c r="AP17" s="309"/>
      <c r="AQ17" s="309"/>
      <c r="AR17" s="309"/>
      <c r="AS17" s="805">
        <f t="shared" si="2"/>
        <v>0</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5">
        <f t="shared" si="3"/>
        <v>0</v>
      </c>
      <c r="BR17" s="309"/>
      <c r="BS17" s="309"/>
      <c r="BT17" s="310"/>
      <c r="BV17" s="323"/>
      <c r="BW17" s="311">
        <v>1951</v>
      </c>
      <c r="BX17" s="359">
        <f t="shared" si="4"/>
        <v>0</v>
      </c>
      <c r="BY17" s="359">
        <f t="shared" si="5"/>
        <v>0</v>
      </c>
      <c r="BZ17" s="360">
        <f t="shared" si="6"/>
        <v>0</v>
      </c>
      <c r="CA17" s="310"/>
    </row>
    <row r="18" spans="2:79" s="5" customFormat="1" ht="12.75">
      <c r="B18" s="335"/>
      <c r="C18" s="311">
        <v>1952</v>
      </c>
      <c r="D18" s="336"/>
      <c r="E18" s="336"/>
      <c r="F18" s="336"/>
      <c r="G18" s="310"/>
      <c r="I18" s="335"/>
      <c r="J18" s="311">
        <v>1952</v>
      </c>
      <c r="K18" s="309"/>
      <c r="L18" s="309"/>
      <c r="M18" s="309"/>
      <c r="N18" s="337"/>
      <c r="O18" s="13"/>
      <c r="P18" s="323"/>
      <c r="Q18" s="311">
        <v>1952</v>
      </c>
      <c r="R18" s="309"/>
      <c r="S18" s="309"/>
      <c r="T18" s="309"/>
      <c r="U18" s="805">
        <f t="shared" si="1"/>
        <v>0</v>
      </c>
      <c r="V18" s="309"/>
      <c r="W18" s="309"/>
      <c r="X18" s="310"/>
      <c r="Z18" s="335"/>
      <c r="AA18" s="311">
        <v>1952</v>
      </c>
      <c r="AB18" s="336"/>
      <c r="AC18" s="336"/>
      <c r="AD18" s="336"/>
      <c r="AE18" s="310"/>
      <c r="AG18" s="335"/>
      <c r="AH18" s="311">
        <v>1952</v>
      </c>
      <c r="AI18" s="309"/>
      <c r="AJ18" s="309"/>
      <c r="AK18" s="309"/>
      <c r="AL18" s="337"/>
      <c r="AM18" s="13"/>
      <c r="AN18" s="323"/>
      <c r="AO18" s="311">
        <v>1952</v>
      </c>
      <c r="AP18" s="309"/>
      <c r="AQ18" s="309"/>
      <c r="AR18" s="309"/>
      <c r="AS18" s="805">
        <f t="shared" si="2"/>
        <v>0</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5">
        <f t="shared" si="3"/>
        <v>0</v>
      </c>
      <c r="BR18" s="309"/>
      <c r="BS18" s="309"/>
      <c r="BT18" s="310"/>
      <c r="BV18" s="323"/>
      <c r="BW18" s="311">
        <v>1952</v>
      </c>
      <c r="BX18" s="359">
        <f t="shared" si="4"/>
        <v>0</v>
      </c>
      <c r="BY18" s="359">
        <f t="shared" si="5"/>
        <v>0</v>
      </c>
      <c r="BZ18" s="360">
        <f t="shared" si="6"/>
        <v>0</v>
      </c>
      <c r="CA18" s="310"/>
    </row>
    <row r="19" spans="2:79" s="5" customFormat="1" ht="12.75">
      <c r="B19" s="335"/>
      <c r="C19" s="311">
        <v>1953</v>
      </c>
      <c r="D19" s="336"/>
      <c r="E19" s="336"/>
      <c r="F19" s="336"/>
      <c r="G19" s="310"/>
      <c r="I19" s="335"/>
      <c r="J19" s="311">
        <v>1953</v>
      </c>
      <c r="K19" s="309"/>
      <c r="L19" s="309"/>
      <c r="M19" s="309"/>
      <c r="N19" s="337"/>
      <c r="O19" s="13"/>
      <c r="P19" s="323"/>
      <c r="Q19" s="311">
        <v>1953</v>
      </c>
      <c r="R19" s="309"/>
      <c r="S19" s="309"/>
      <c r="T19" s="309"/>
      <c r="U19" s="805">
        <f t="shared" si="1"/>
        <v>0</v>
      </c>
      <c r="V19" s="309"/>
      <c r="W19" s="309"/>
      <c r="X19" s="310"/>
      <c r="Z19" s="335"/>
      <c r="AA19" s="311">
        <v>1953</v>
      </c>
      <c r="AB19" s="336"/>
      <c r="AC19" s="336"/>
      <c r="AD19" s="336"/>
      <c r="AE19" s="310"/>
      <c r="AG19" s="335"/>
      <c r="AH19" s="311">
        <v>1953</v>
      </c>
      <c r="AI19" s="309"/>
      <c r="AJ19" s="309"/>
      <c r="AK19" s="309"/>
      <c r="AL19" s="337"/>
      <c r="AM19" s="13"/>
      <c r="AN19" s="323"/>
      <c r="AO19" s="311">
        <v>1953</v>
      </c>
      <c r="AP19" s="309"/>
      <c r="AQ19" s="309"/>
      <c r="AR19" s="309"/>
      <c r="AS19" s="805">
        <f t="shared" si="2"/>
        <v>0</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5">
        <f t="shared" si="3"/>
        <v>0</v>
      </c>
      <c r="BR19" s="309"/>
      <c r="BS19" s="309"/>
      <c r="BT19" s="310"/>
      <c r="BV19" s="323"/>
      <c r="BW19" s="311">
        <v>1953</v>
      </c>
      <c r="BX19" s="359">
        <f t="shared" si="4"/>
        <v>0</v>
      </c>
      <c r="BY19" s="359">
        <f t="shared" si="5"/>
        <v>0</v>
      </c>
      <c r="BZ19" s="360">
        <f t="shared" si="6"/>
        <v>0</v>
      </c>
      <c r="CA19" s="310"/>
    </row>
    <row r="20" spans="2:79" s="5" customFormat="1" ht="12.75">
      <c r="B20" s="335"/>
      <c r="C20" s="311">
        <v>1954</v>
      </c>
      <c r="D20" s="336"/>
      <c r="E20" s="336"/>
      <c r="F20" s="336"/>
      <c r="G20" s="310"/>
      <c r="I20" s="335"/>
      <c r="J20" s="311">
        <v>1954</v>
      </c>
      <c r="K20" s="309"/>
      <c r="L20" s="309"/>
      <c r="M20" s="309"/>
      <c r="N20" s="337"/>
      <c r="O20" s="13"/>
      <c r="P20" s="323"/>
      <c r="Q20" s="311">
        <v>1954</v>
      </c>
      <c r="R20" s="309"/>
      <c r="S20" s="309"/>
      <c r="T20" s="309"/>
      <c r="U20" s="805">
        <f t="shared" si="1"/>
        <v>0</v>
      </c>
      <c r="V20" s="309"/>
      <c r="W20" s="309"/>
      <c r="X20" s="310"/>
      <c r="Z20" s="335"/>
      <c r="AA20" s="311">
        <v>1954</v>
      </c>
      <c r="AB20" s="336"/>
      <c r="AC20" s="336"/>
      <c r="AD20" s="336"/>
      <c r="AE20" s="310"/>
      <c r="AG20" s="335"/>
      <c r="AH20" s="311">
        <v>1954</v>
      </c>
      <c r="AI20" s="309"/>
      <c r="AJ20" s="309"/>
      <c r="AK20" s="309"/>
      <c r="AL20" s="337"/>
      <c r="AM20" s="13"/>
      <c r="AN20" s="323"/>
      <c r="AO20" s="311">
        <v>1954</v>
      </c>
      <c r="AP20" s="309"/>
      <c r="AQ20" s="309"/>
      <c r="AR20" s="309"/>
      <c r="AS20" s="805">
        <f t="shared" si="2"/>
        <v>0</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5">
        <f t="shared" si="3"/>
        <v>0</v>
      </c>
      <c r="BR20" s="309"/>
      <c r="BS20" s="309"/>
      <c r="BT20" s="310"/>
      <c r="BV20" s="323"/>
      <c r="BW20" s="311">
        <v>1954</v>
      </c>
      <c r="BX20" s="359">
        <f t="shared" si="4"/>
        <v>0</v>
      </c>
      <c r="BY20" s="359">
        <f t="shared" si="5"/>
        <v>0</v>
      </c>
      <c r="BZ20" s="360">
        <f t="shared" si="6"/>
        <v>0</v>
      </c>
      <c r="CA20" s="310"/>
    </row>
    <row r="21" spans="2:79" s="5" customFormat="1" ht="12.75">
      <c r="B21" s="335"/>
      <c r="C21" s="311">
        <v>1955</v>
      </c>
      <c r="D21" s="336"/>
      <c r="E21" s="336"/>
      <c r="F21" s="336"/>
      <c r="G21" s="310"/>
      <c r="I21" s="335"/>
      <c r="J21" s="311">
        <v>1955</v>
      </c>
      <c r="K21" s="309"/>
      <c r="L21" s="309"/>
      <c r="M21" s="309"/>
      <c r="N21" s="337"/>
      <c r="O21" s="13"/>
      <c r="P21" s="323"/>
      <c r="Q21" s="311">
        <v>1955</v>
      </c>
      <c r="R21" s="309"/>
      <c r="S21" s="309"/>
      <c r="T21" s="309"/>
      <c r="U21" s="805">
        <f t="shared" si="1"/>
        <v>0</v>
      </c>
      <c r="V21" s="309"/>
      <c r="W21" s="309"/>
      <c r="X21" s="310"/>
      <c r="Z21" s="335"/>
      <c r="AA21" s="311">
        <v>1955</v>
      </c>
      <c r="AB21" s="336"/>
      <c r="AC21" s="336"/>
      <c r="AD21" s="336"/>
      <c r="AE21" s="310"/>
      <c r="AG21" s="335"/>
      <c r="AH21" s="311">
        <v>1955</v>
      </c>
      <c r="AI21" s="309"/>
      <c r="AJ21" s="309"/>
      <c r="AK21" s="309"/>
      <c r="AL21" s="337"/>
      <c r="AM21" s="13"/>
      <c r="AN21" s="323"/>
      <c r="AO21" s="311">
        <v>1955</v>
      </c>
      <c r="AP21" s="309"/>
      <c r="AQ21" s="309"/>
      <c r="AR21" s="309"/>
      <c r="AS21" s="805">
        <f t="shared" si="2"/>
        <v>0</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5">
        <f t="shared" si="3"/>
        <v>0</v>
      </c>
      <c r="BR21" s="309"/>
      <c r="BS21" s="309"/>
      <c r="BT21" s="310"/>
      <c r="BV21" s="323"/>
      <c r="BW21" s="311">
        <v>1955</v>
      </c>
      <c r="BX21" s="359">
        <f t="shared" si="4"/>
        <v>0</v>
      </c>
      <c r="BY21" s="359">
        <f t="shared" si="5"/>
        <v>0</v>
      </c>
      <c r="BZ21" s="360">
        <f t="shared" si="6"/>
        <v>0</v>
      </c>
      <c r="CA21" s="310"/>
    </row>
    <row r="22" spans="2:79" s="5" customFormat="1" ht="12.75">
      <c r="B22" s="335"/>
      <c r="C22" s="311">
        <v>1956</v>
      </c>
      <c r="D22" s="336"/>
      <c r="E22" s="336"/>
      <c r="F22" s="336"/>
      <c r="G22" s="310"/>
      <c r="I22" s="335"/>
      <c r="J22" s="311">
        <v>1956</v>
      </c>
      <c r="K22" s="309"/>
      <c r="L22" s="309"/>
      <c r="M22" s="309"/>
      <c r="N22" s="337"/>
      <c r="O22" s="13"/>
      <c r="P22" s="323"/>
      <c r="Q22" s="311">
        <v>1956</v>
      </c>
      <c r="R22" s="309"/>
      <c r="S22" s="309"/>
      <c r="T22" s="309" t="str">
        <f aca="true" t="shared" si="7" ref="T22:T46">IF($Q$47-$Q22=$U$6,"CALIBRATE"," ")</f>
        <v xml:space="preserve"> </v>
      </c>
      <c r="U22" s="354">
        <f t="shared" si="1"/>
        <v>0</v>
      </c>
      <c r="V22" s="309"/>
      <c r="W22" s="309"/>
      <c r="X22" s="310"/>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8" ref="AR22:AR46">IF($Q$47-$Q22=$U$6,"CALIBRATE"," ")</f>
        <v xml:space="preserve"> </v>
      </c>
      <c r="AS22" s="354">
        <f t="shared" si="2"/>
        <v>0</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9" ref="BP22:BP46">IF($Q$47-$Q22=$U$6,"CALIBRATE"," ")</f>
        <v xml:space="preserve"> </v>
      </c>
      <c r="BQ22" s="354">
        <f t="shared" si="3"/>
        <v>0</v>
      </c>
      <c r="BR22" s="309"/>
      <c r="BS22" s="309"/>
      <c r="BT22" s="310"/>
      <c r="BV22" s="323"/>
      <c r="BW22" s="311">
        <v>1956</v>
      </c>
      <c r="BX22" s="359">
        <f t="shared" si="4"/>
        <v>0</v>
      </c>
      <c r="BY22" s="359">
        <f t="shared" si="5"/>
        <v>0</v>
      </c>
      <c r="BZ22" s="360">
        <f t="shared" si="6"/>
        <v>0</v>
      </c>
      <c r="CA22" s="310"/>
    </row>
    <row r="23" spans="2:79" s="5" customFormat="1" ht="12.75">
      <c r="B23" s="335"/>
      <c r="C23" s="311">
        <v>1957</v>
      </c>
      <c r="D23" s="336"/>
      <c r="E23" s="336"/>
      <c r="F23" s="336"/>
      <c r="G23" s="310"/>
      <c r="I23" s="335"/>
      <c r="J23" s="311">
        <v>1957</v>
      </c>
      <c r="K23" s="309"/>
      <c r="L23" s="309"/>
      <c r="M23" s="309"/>
      <c r="N23" s="337"/>
      <c r="O23" s="13"/>
      <c r="P23" s="323"/>
      <c r="Q23" s="311">
        <v>1957</v>
      </c>
      <c r="R23" s="309"/>
      <c r="S23" s="309"/>
      <c r="T23" s="309" t="str">
        <f t="shared" si="7"/>
        <v xml:space="preserve"> </v>
      </c>
      <c r="U23" s="354">
        <f t="shared" si="1"/>
        <v>0</v>
      </c>
      <c r="V23" s="309"/>
      <c r="W23" s="309"/>
      <c r="X23" s="310"/>
      <c r="Z23" s="335"/>
      <c r="AA23" s="311">
        <v>1957</v>
      </c>
      <c r="AB23" s="336"/>
      <c r="AC23" s="336"/>
      <c r="AD23" s="336"/>
      <c r="AE23" s="310"/>
      <c r="AG23" s="335"/>
      <c r="AH23" s="311">
        <v>1957</v>
      </c>
      <c r="AI23" s="309"/>
      <c r="AJ23" s="309"/>
      <c r="AK23" s="309"/>
      <c r="AL23" s="337"/>
      <c r="AM23" s="13"/>
      <c r="AN23" s="323"/>
      <c r="AO23" s="311">
        <v>1957</v>
      </c>
      <c r="AP23" s="309"/>
      <c r="AQ23" s="309"/>
      <c r="AR23" s="309" t="str">
        <f t="shared" si="8"/>
        <v xml:space="preserve"> </v>
      </c>
      <c r="AS23" s="354">
        <f t="shared" si="2"/>
        <v>0</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9"/>
        <v xml:space="preserve"> </v>
      </c>
      <c r="BQ23" s="354">
        <f t="shared" si="3"/>
        <v>0</v>
      </c>
      <c r="BR23" s="309"/>
      <c r="BS23" s="309"/>
      <c r="BT23" s="310"/>
      <c r="BV23" s="323"/>
      <c r="BW23" s="311">
        <v>1957</v>
      </c>
      <c r="BX23" s="359">
        <f t="shared" si="4"/>
        <v>0</v>
      </c>
      <c r="BY23" s="359">
        <f t="shared" si="5"/>
        <v>0</v>
      </c>
      <c r="BZ23" s="360">
        <f t="shared" si="6"/>
        <v>0</v>
      </c>
      <c r="CA23" s="310"/>
    </row>
    <row r="24" spans="2:79" s="5" customFormat="1" ht="12.75">
      <c r="B24" s="335"/>
      <c r="C24" s="311">
        <v>1958</v>
      </c>
      <c r="D24" s="336"/>
      <c r="E24" s="336"/>
      <c r="F24" s="336"/>
      <c r="G24" s="310"/>
      <c r="I24" s="335"/>
      <c r="J24" s="311">
        <v>1958</v>
      </c>
      <c r="K24" s="309"/>
      <c r="L24" s="309"/>
      <c r="M24" s="309"/>
      <c r="N24" s="337"/>
      <c r="O24" s="13"/>
      <c r="P24" s="323"/>
      <c r="Q24" s="311">
        <v>1958</v>
      </c>
      <c r="R24" s="309"/>
      <c r="S24" s="309"/>
      <c r="T24" s="309" t="str">
        <f t="shared" si="7"/>
        <v xml:space="preserve"> </v>
      </c>
      <c r="U24" s="354">
        <f t="shared" si="1"/>
        <v>0</v>
      </c>
      <c r="V24" s="309"/>
      <c r="W24" s="309"/>
      <c r="X24" s="310"/>
      <c r="Z24" s="335"/>
      <c r="AA24" s="311">
        <v>1958</v>
      </c>
      <c r="AB24" s="336"/>
      <c r="AC24" s="336"/>
      <c r="AD24" s="336"/>
      <c r="AE24" s="310"/>
      <c r="AG24" s="335"/>
      <c r="AH24" s="311">
        <v>1958</v>
      </c>
      <c r="AI24" s="309"/>
      <c r="AJ24" s="309"/>
      <c r="AK24" s="309"/>
      <c r="AL24" s="337"/>
      <c r="AM24" s="13"/>
      <c r="AN24" s="323"/>
      <c r="AO24" s="311">
        <v>1958</v>
      </c>
      <c r="AP24" s="309"/>
      <c r="AQ24" s="309"/>
      <c r="AR24" s="309" t="str">
        <f t="shared" si="8"/>
        <v xml:space="preserve"> </v>
      </c>
      <c r="AS24" s="354">
        <f t="shared" si="2"/>
        <v>0</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9"/>
        <v xml:space="preserve"> </v>
      </c>
      <c r="BQ24" s="354">
        <f t="shared" si="3"/>
        <v>0</v>
      </c>
      <c r="BR24" s="309"/>
      <c r="BS24" s="309"/>
      <c r="BT24" s="310"/>
      <c r="BV24" s="323"/>
      <c r="BW24" s="311">
        <v>1958</v>
      </c>
      <c r="BX24" s="359">
        <f t="shared" si="4"/>
        <v>0</v>
      </c>
      <c r="BY24" s="359">
        <f t="shared" si="5"/>
        <v>0</v>
      </c>
      <c r="BZ24" s="360">
        <f t="shared" si="6"/>
        <v>0</v>
      </c>
      <c r="CA24" s="310"/>
    </row>
    <row r="25" spans="2:79" s="5" customFormat="1" ht="12.75">
      <c r="B25" s="335"/>
      <c r="C25" s="311">
        <v>1959</v>
      </c>
      <c r="D25" s="336"/>
      <c r="E25" s="336"/>
      <c r="F25" s="336"/>
      <c r="G25" s="310"/>
      <c r="I25" s="335"/>
      <c r="J25" s="311">
        <v>1959</v>
      </c>
      <c r="K25" s="309"/>
      <c r="L25" s="309"/>
      <c r="M25" s="309"/>
      <c r="N25" s="337"/>
      <c r="O25" s="13"/>
      <c r="P25" s="323"/>
      <c r="Q25" s="311">
        <v>1959</v>
      </c>
      <c r="R25" s="309"/>
      <c r="S25" s="309"/>
      <c r="T25" s="309" t="str">
        <f t="shared" si="7"/>
        <v xml:space="preserve"> </v>
      </c>
      <c r="U25" s="354">
        <f t="shared" si="1"/>
        <v>0</v>
      </c>
      <c r="V25" s="309"/>
      <c r="W25" s="309"/>
      <c r="X25" s="310"/>
      <c r="Z25" s="335"/>
      <c r="AA25" s="311">
        <v>1959</v>
      </c>
      <c r="AB25" s="336"/>
      <c r="AC25" s="336"/>
      <c r="AD25" s="336"/>
      <c r="AE25" s="310"/>
      <c r="AG25" s="335"/>
      <c r="AH25" s="311">
        <v>1959</v>
      </c>
      <c r="AI25" s="309"/>
      <c r="AJ25" s="309"/>
      <c r="AK25" s="309"/>
      <c r="AL25" s="337"/>
      <c r="AM25" s="13"/>
      <c r="AN25" s="323"/>
      <c r="AO25" s="311">
        <v>1959</v>
      </c>
      <c r="AP25" s="309"/>
      <c r="AQ25" s="309"/>
      <c r="AR25" s="309" t="str">
        <f t="shared" si="8"/>
        <v xml:space="preserve"> </v>
      </c>
      <c r="AS25" s="354">
        <f t="shared" si="2"/>
        <v>0</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9"/>
        <v xml:space="preserve"> </v>
      </c>
      <c r="BQ25" s="354">
        <f t="shared" si="3"/>
        <v>0</v>
      </c>
      <c r="BR25" s="309"/>
      <c r="BS25" s="309"/>
      <c r="BT25" s="310"/>
      <c r="BV25" s="323"/>
      <c r="BW25" s="311">
        <v>1959</v>
      </c>
      <c r="BX25" s="359">
        <f t="shared" si="4"/>
        <v>0</v>
      </c>
      <c r="BY25" s="359">
        <f t="shared" si="5"/>
        <v>0</v>
      </c>
      <c r="BZ25" s="360">
        <f t="shared" si="6"/>
        <v>0</v>
      </c>
      <c r="CA25" s="310"/>
    </row>
    <row r="26" spans="2:79" s="5" customFormat="1" ht="12.75">
      <c r="B26" s="335"/>
      <c r="C26" s="311">
        <v>1960</v>
      </c>
      <c r="D26" s="336"/>
      <c r="E26" s="336"/>
      <c r="F26" s="336"/>
      <c r="G26" s="310"/>
      <c r="I26" s="335"/>
      <c r="J26" s="311">
        <v>1960</v>
      </c>
      <c r="K26" s="309"/>
      <c r="L26" s="309"/>
      <c r="M26" s="309"/>
      <c r="N26" s="337"/>
      <c r="O26" s="13"/>
      <c r="P26" s="323"/>
      <c r="Q26" s="311">
        <v>1960</v>
      </c>
      <c r="R26" s="309"/>
      <c r="S26" s="309"/>
      <c r="T26" s="309" t="str">
        <f t="shared" si="7"/>
        <v>CALIBRATE</v>
      </c>
      <c r="U26" s="354">
        <f t="shared" si="1"/>
        <v>16513.951185089187</v>
      </c>
      <c r="V26" s="309"/>
      <c r="W26" s="309"/>
      <c r="X26" s="310"/>
      <c r="Z26" s="335"/>
      <c r="AA26" s="311">
        <v>1960</v>
      </c>
      <c r="AB26" s="336"/>
      <c r="AC26" s="336"/>
      <c r="AD26" s="336"/>
      <c r="AE26" s="310"/>
      <c r="AG26" s="335"/>
      <c r="AH26" s="311">
        <v>1960</v>
      </c>
      <c r="AI26" s="309"/>
      <c r="AJ26" s="309"/>
      <c r="AK26" s="309"/>
      <c r="AL26" s="337"/>
      <c r="AM26" s="13"/>
      <c r="AN26" s="323"/>
      <c r="AO26" s="311">
        <v>1960</v>
      </c>
      <c r="AP26" s="309"/>
      <c r="AQ26" s="309"/>
      <c r="AR26" s="309" t="str">
        <f t="shared" si="8"/>
        <v>CALIBRATE</v>
      </c>
      <c r="AS26" s="354">
        <f t="shared" si="2"/>
        <v>6728.0485039999985</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9"/>
        <v>CALIBRATE</v>
      </c>
      <c r="BQ26" s="354">
        <f t="shared" si="3"/>
        <v>23241.999689089185</v>
      </c>
      <c r="BR26" s="309"/>
      <c r="BS26" s="309"/>
      <c r="BT26" s="310"/>
      <c r="BV26" s="323"/>
      <c r="BW26" s="311">
        <v>1960</v>
      </c>
      <c r="BX26" s="359">
        <f t="shared" si="4"/>
        <v>23241.999689089185</v>
      </c>
      <c r="BY26" s="359">
        <f t="shared" si="5"/>
        <v>0</v>
      </c>
      <c r="BZ26" s="360">
        <f t="shared" si="6"/>
        <v>0</v>
      </c>
      <c r="CA26" s="310"/>
    </row>
    <row r="27" spans="2:79" s="5" customFormat="1" ht="12.75">
      <c r="B27" s="335"/>
      <c r="C27" s="311">
        <v>1961</v>
      </c>
      <c r="D27" s="336"/>
      <c r="E27" s="336"/>
      <c r="F27" s="336"/>
      <c r="G27" s="310"/>
      <c r="I27" s="335"/>
      <c r="J27" s="311">
        <v>1961</v>
      </c>
      <c r="K27" s="309"/>
      <c r="L27" s="309"/>
      <c r="M27" s="309"/>
      <c r="N27" s="337"/>
      <c r="O27" s="13"/>
      <c r="P27" s="323"/>
      <c r="Q27" s="311">
        <v>1961</v>
      </c>
      <c r="R27" s="309"/>
      <c r="S27" s="309"/>
      <c r="T27" s="309" t="str">
        <f t="shared" si="7"/>
        <v xml:space="preserve"> </v>
      </c>
      <c r="U27" s="354">
        <f t="shared" si="1"/>
        <v>16513.951185089187</v>
      </c>
      <c r="V27" s="309"/>
      <c r="W27" s="309"/>
      <c r="X27" s="310"/>
      <c r="Z27" s="335"/>
      <c r="AA27" s="311">
        <v>1961</v>
      </c>
      <c r="AB27" s="336"/>
      <c r="AC27" s="336"/>
      <c r="AD27" s="336"/>
      <c r="AE27" s="310"/>
      <c r="AG27" s="335"/>
      <c r="AH27" s="311">
        <v>1961</v>
      </c>
      <c r="AI27" s="309"/>
      <c r="AJ27" s="309"/>
      <c r="AK27" s="309"/>
      <c r="AL27" s="337"/>
      <c r="AM27" s="13"/>
      <c r="AN27" s="323"/>
      <c r="AO27" s="311">
        <v>1961</v>
      </c>
      <c r="AP27" s="309"/>
      <c r="AQ27" s="309"/>
      <c r="AR27" s="309" t="str">
        <f t="shared" si="8"/>
        <v xml:space="preserve"> </v>
      </c>
      <c r="AS27" s="354">
        <f t="shared" si="2"/>
        <v>6728.0485039999985</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9"/>
        <v xml:space="preserve"> </v>
      </c>
      <c r="BQ27" s="354">
        <f t="shared" si="3"/>
        <v>23241.999689089185</v>
      </c>
      <c r="BR27" s="309"/>
      <c r="BS27" s="309"/>
      <c r="BT27" s="310"/>
      <c r="BV27" s="323"/>
      <c r="BW27" s="311">
        <v>1961</v>
      </c>
      <c r="BX27" s="359">
        <f t="shared" si="4"/>
        <v>23241.999689089185</v>
      </c>
      <c r="BY27" s="359">
        <f t="shared" si="5"/>
        <v>0</v>
      </c>
      <c r="BZ27" s="360">
        <f t="shared" si="6"/>
        <v>0</v>
      </c>
      <c r="CA27" s="310"/>
    </row>
    <row r="28" spans="2:79" s="5" customFormat="1" ht="12.75">
      <c r="B28" s="335"/>
      <c r="C28" s="311">
        <v>1962</v>
      </c>
      <c r="D28" s="336"/>
      <c r="E28" s="336"/>
      <c r="F28" s="336"/>
      <c r="G28" s="310"/>
      <c r="I28" s="335"/>
      <c r="J28" s="311">
        <v>1962</v>
      </c>
      <c r="K28" s="309"/>
      <c r="L28" s="309"/>
      <c r="M28" s="309"/>
      <c r="N28" s="337"/>
      <c r="O28" s="13"/>
      <c r="P28" s="323"/>
      <c r="Q28" s="311">
        <v>1962</v>
      </c>
      <c r="R28" s="309"/>
      <c r="S28" s="309"/>
      <c r="T28" s="309" t="str">
        <f t="shared" si="7"/>
        <v xml:space="preserve"> </v>
      </c>
      <c r="U28" s="354">
        <f t="shared" si="1"/>
        <v>16513.951185089187</v>
      </c>
      <c r="V28" s="309"/>
      <c r="W28" s="309"/>
      <c r="X28" s="310"/>
      <c r="Z28" s="335"/>
      <c r="AA28" s="311">
        <v>1962</v>
      </c>
      <c r="AB28" s="336"/>
      <c r="AC28" s="336"/>
      <c r="AD28" s="336"/>
      <c r="AE28" s="310"/>
      <c r="AG28" s="335"/>
      <c r="AH28" s="311">
        <v>1962</v>
      </c>
      <c r="AI28" s="309"/>
      <c r="AJ28" s="309"/>
      <c r="AK28" s="309"/>
      <c r="AL28" s="337"/>
      <c r="AM28" s="13"/>
      <c r="AN28" s="323"/>
      <c r="AO28" s="311">
        <v>1962</v>
      </c>
      <c r="AP28" s="309"/>
      <c r="AQ28" s="309"/>
      <c r="AR28" s="309" t="str">
        <f t="shared" si="8"/>
        <v xml:space="preserve"> </v>
      </c>
      <c r="AS28" s="354">
        <f t="shared" si="2"/>
        <v>6728.0485039999985</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9"/>
        <v xml:space="preserve"> </v>
      </c>
      <c r="BQ28" s="354">
        <f t="shared" si="3"/>
        <v>23241.999689089185</v>
      </c>
      <c r="BR28" s="309"/>
      <c r="BS28" s="309"/>
      <c r="BT28" s="310"/>
      <c r="BV28" s="323"/>
      <c r="BW28" s="311">
        <v>1962</v>
      </c>
      <c r="BX28" s="359">
        <f t="shared" si="4"/>
        <v>23241.999689089185</v>
      </c>
      <c r="BY28" s="359">
        <f t="shared" si="5"/>
        <v>0</v>
      </c>
      <c r="BZ28" s="360">
        <f t="shared" si="6"/>
        <v>0</v>
      </c>
      <c r="CA28" s="310"/>
    </row>
    <row r="29" spans="2:79" s="5" customFormat="1" ht="12.75">
      <c r="B29" s="335"/>
      <c r="C29" s="311">
        <v>1963</v>
      </c>
      <c r="D29" s="336"/>
      <c r="E29" s="336"/>
      <c r="F29" s="336"/>
      <c r="G29" s="310"/>
      <c r="I29" s="335"/>
      <c r="J29" s="311">
        <v>1963</v>
      </c>
      <c r="K29" s="309"/>
      <c r="L29" s="309"/>
      <c r="M29" s="309"/>
      <c r="N29" s="337"/>
      <c r="O29" s="13"/>
      <c r="P29" s="323"/>
      <c r="Q29" s="311">
        <v>1963</v>
      </c>
      <c r="R29" s="309"/>
      <c r="S29" s="309"/>
      <c r="T29" s="309" t="str">
        <f t="shared" si="7"/>
        <v xml:space="preserve"> </v>
      </c>
      <c r="U29" s="354">
        <f t="shared" si="1"/>
        <v>16513.951185089187</v>
      </c>
      <c r="V29" s="309"/>
      <c r="W29" s="309"/>
      <c r="X29" s="310"/>
      <c r="Z29" s="335"/>
      <c r="AA29" s="311">
        <v>1963</v>
      </c>
      <c r="AB29" s="336"/>
      <c r="AC29" s="336"/>
      <c r="AD29" s="336"/>
      <c r="AE29" s="310"/>
      <c r="AG29" s="335"/>
      <c r="AH29" s="311">
        <v>1963</v>
      </c>
      <c r="AI29" s="309"/>
      <c r="AJ29" s="309"/>
      <c r="AK29" s="309"/>
      <c r="AL29" s="337"/>
      <c r="AM29" s="13"/>
      <c r="AN29" s="323"/>
      <c r="AO29" s="311">
        <v>1963</v>
      </c>
      <c r="AP29" s="309"/>
      <c r="AQ29" s="309"/>
      <c r="AR29" s="309" t="str">
        <f t="shared" si="8"/>
        <v xml:space="preserve"> </v>
      </c>
      <c r="AS29" s="354">
        <f t="shared" si="2"/>
        <v>6728.0485039999985</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9"/>
        <v xml:space="preserve"> </v>
      </c>
      <c r="BQ29" s="354">
        <f t="shared" si="3"/>
        <v>23241.999689089185</v>
      </c>
      <c r="BR29" s="309"/>
      <c r="BS29" s="309"/>
      <c r="BT29" s="310"/>
      <c r="BV29" s="323"/>
      <c r="BW29" s="311">
        <v>1963</v>
      </c>
      <c r="BX29" s="359">
        <f t="shared" si="4"/>
        <v>23241.999689089185</v>
      </c>
      <c r="BY29" s="359">
        <f t="shared" si="5"/>
        <v>0</v>
      </c>
      <c r="BZ29" s="360">
        <f t="shared" si="6"/>
        <v>0</v>
      </c>
      <c r="CA29" s="310"/>
    </row>
    <row r="30" spans="2:79" s="5" customFormat="1" ht="12.75">
      <c r="B30" s="335"/>
      <c r="C30" s="311">
        <v>1964</v>
      </c>
      <c r="D30" s="336"/>
      <c r="E30" s="336"/>
      <c r="F30" s="336"/>
      <c r="G30" s="310"/>
      <c r="I30" s="335"/>
      <c r="J30" s="311">
        <v>1964</v>
      </c>
      <c r="K30" s="309"/>
      <c r="L30" s="309"/>
      <c r="M30" s="309"/>
      <c r="N30" s="337"/>
      <c r="O30" s="13"/>
      <c r="P30" s="323"/>
      <c r="Q30" s="311">
        <v>1964</v>
      </c>
      <c r="R30" s="309"/>
      <c r="S30" s="309"/>
      <c r="T30" s="309" t="str">
        <f t="shared" si="7"/>
        <v xml:space="preserve"> </v>
      </c>
      <c r="U30" s="354">
        <f t="shared" si="1"/>
        <v>16513.951185089187</v>
      </c>
      <c r="V30" s="309"/>
      <c r="W30" s="309"/>
      <c r="X30" s="310"/>
      <c r="Z30" s="335"/>
      <c r="AA30" s="311">
        <v>1964</v>
      </c>
      <c r="AB30" s="336"/>
      <c r="AC30" s="336"/>
      <c r="AD30" s="336"/>
      <c r="AE30" s="310"/>
      <c r="AG30" s="335"/>
      <c r="AH30" s="311">
        <v>1964</v>
      </c>
      <c r="AI30" s="309"/>
      <c r="AJ30" s="309"/>
      <c r="AK30" s="309"/>
      <c r="AL30" s="337"/>
      <c r="AM30" s="13"/>
      <c r="AN30" s="323"/>
      <c r="AO30" s="311">
        <v>1964</v>
      </c>
      <c r="AP30" s="309"/>
      <c r="AQ30" s="309"/>
      <c r="AR30" s="309" t="str">
        <f t="shared" si="8"/>
        <v xml:space="preserve"> </v>
      </c>
      <c r="AS30" s="354">
        <f t="shared" si="2"/>
        <v>6728.0485039999985</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9"/>
        <v xml:space="preserve"> </v>
      </c>
      <c r="BQ30" s="354">
        <f t="shared" si="3"/>
        <v>23241.999689089185</v>
      </c>
      <c r="BR30" s="309"/>
      <c r="BS30" s="309"/>
      <c r="BT30" s="310"/>
      <c r="BV30" s="323"/>
      <c r="BW30" s="311">
        <v>1964</v>
      </c>
      <c r="BX30" s="359">
        <f aca="true" t="shared" si="10" ref="BX30:BX81">BQ30</f>
        <v>23241.999689089185</v>
      </c>
      <c r="BY30" s="359">
        <f t="shared" si="0"/>
        <v>0</v>
      </c>
      <c r="BZ30" s="360">
        <f aca="true" t="shared" si="11" ref="BZ30:BZ81">IF(ISNUMBER(BY30/BX30),BY30/BX30,0)</f>
        <v>0</v>
      </c>
      <c r="CA30" s="310"/>
    </row>
    <row r="31" spans="2:79" s="5" customFormat="1" ht="12.75">
      <c r="B31" s="335"/>
      <c r="C31" s="311">
        <v>1965</v>
      </c>
      <c r="D31" s="336"/>
      <c r="E31" s="336"/>
      <c r="F31" s="336"/>
      <c r="G31" s="310"/>
      <c r="I31" s="335"/>
      <c r="J31" s="311">
        <v>1965</v>
      </c>
      <c r="K31" s="309"/>
      <c r="L31" s="327"/>
      <c r="M31" s="327"/>
      <c r="N31" s="338"/>
      <c r="O31" s="14"/>
      <c r="P31" s="324"/>
      <c r="Q31" s="311">
        <v>1965</v>
      </c>
      <c r="R31" s="327"/>
      <c r="S31" s="327"/>
      <c r="T31" s="309" t="str">
        <f t="shared" si="7"/>
        <v xml:space="preserve"> </v>
      </c>
      <c r="U31" s="354">
        <f t="shared" si="1"/>
        <v>16513.951185089187</v>
      </c>
      <c r="V31" s="309"/>
      <c r="W31" s="309"/>
      <c r="X31" s="310"/>
      <c r="Z31" s="335"/>
      <c r="AA31" s="311">
        <v>1965</v>
      </c>
      <c r="AB31" s="336"/>
      <c r="AC31" s="336"/>
      <c r="AD31" s="336"/>
      <c r="AE31" s="310"/>
      <c r="AG31" s="335"/>
      <c r="AH31" s="311">
        <v>1965</v>
      </c>
      <c r="AI31" s="309"/>
      <c r="AJ31" s="327"/>
      <c r="AK31" s="327"/>
      <c r="AL31" s="338"/>
      <c r="AM31" s="14"/>
      <c r="AN31" s="324"/>
      <c r="AO31" s="311">
        <v>1965</v>
      </c>
      <c r="AP31" s="327"/>
      <c r="AQ31" s="327"/>
      <c r="AR31" s="309" t="str">
        <f t="shared" si="8"/>
        <v xml:space="preserve"> </v>
      </c>
      <c r="AS31" s="354">
        <f t="shared" si="2"/>
        <v>6728.0485039999985</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9"/>
        <v xml:space="preserve"> </v>
      </c>
      <c r="BQ31" s="354">
        <f t="shared" si="3"/>
        <v>23241.999689089185</v>
      </c>
      <c r="BR31" s="309"/>
      <c r="BS31" s="309"/>
      <c r="BT31" s="310"/>
      <c r="BV31" s="324"/>
      <c r="BW31" s="311">
        <v>1965</v>
      </c>
      <c r="BX31" s="359">
        <f t="shared" si="10"/>
        <v>23241.999689089185</v>
      </c>
      <c r="BY31" s="359">
        <f t="shared" si="0"/>
        <v>0</v>
      </c>
      <c r="BZ31" s="360">
        <f t="shared" si="11"/>
        <v>0</v>
      </c>
      <c r="CA31" s="310"/>
    </row>
    <row r="32" spans="2:79" s="5" customFormat="1" ht="12.75">
      <c r="B32" s="335"/>
      <c r="C32" s="311">
        <v>1966</v>
      </c>
      <c r="D32" s="336"/>
      <c r="E32" s="336"/>
      <c r="F32" s="336"/>
      <c r="G32" s="310"/>
      <c r="I32" s="335"/>
      <c r="J32" s="311">
        <v>1966</v>
      </c>
      <c r="K32" s="309"/>
      <c r="L32" s="327"/>
      <c r="M32" s="327"/>
      <c r="N32" s="338"/>
      <c r="O32" s="14"/>
      <c r="P32" s="324"/>
      <c r="Q32" s="311">
        <v>1966</v>
      </c>
      <c r="R32" s="328"/>
      <c r="S32" s="328"/>
      <c r="T32" s="309" t="str">
        <f t="shared" si="7"/>
        <v xml:space="preserve"> </v>
      </c>
      <c r="U32" s="354">
        <f t="shared" si="1"/>
        <v>16513.951185089187</v>
      </c>
      <c r="V32" s="309"/>
      <c r="W32" s="309"/>
      <c r="X32" s="310"/>
      <c r="Z32" s="335"/>
      <c r="AA32" s="311">
        <v>1966</v>
      </c>
      <c r="AB32" s="336"/>
      <c r="AC32" s="336"/>
      <c r="AD32" s="336"/>
      <c r="AE32" s="310"/>
      <c r="AG32" s="335"/>
      <c r="AH32" s="311">
        <v>1966</v>
      </c>
      <c r="AI32" s="309"/>
      <c r="AJ32" s="327"/>
      <c r="AK32" s="327"/>
      <c r="AL32" s="338"/>
      <c r="AM32" s="14"/>
      <c r="AN32" s="324"/>
      <c r="AO32" s="311">
        <v>1966</v>
      </c>
      <c r="AP32" s="328"/>
      <c r="AQ32" s="328"/>
      <c r="AR32" s="309" t="str">
        <f t="shared" si="8"/>
        <v xml:space="preserve"> </v>
      </c>
      <c r="AS32" s="354">
        <f t="shared" si="2"/>
        <v>6728.0485039999985</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9"/>
        <v xml:space="preserve"> </v>
      </c>
      <c r="BQ32" s="354">
        <f t="shared" si="3"/>
        <v>23241.999689089185</v>
      </c>
      <c r="BR32" s="309"/>
      <c r="BS32" s="309"/>
      <c r="BT32" s="310"/>
      <c r="BV32" s="324"/>
      <c r="BW32" s="311">
        <v>1966</v>
      </c>
      <c r="BX32" s="359">
        <f t="shared" si="10"/>
        <v>23241.999689089185</v>
      </c>
      <c r="BY32" s="359">
        <f t="shared" si="0"/>
        <v>0</v>
      </c>
      <c r="BZ32" s="360">
        <f t="shared" si="11"/>
        <v>0</v>
      </c>
      <c r="CA32" s="310"/>
    </row>
    <row r="33" spans="2:79" s="5" customFormat="1" ht="12.75">
      <c r="B33" s="335"/>
      <c r="C33" s="311">
        <v>1967</v>
      </c>
      <c r="D33" s="336"/>
      <c r="E33" s="336"/>
      <c r="F33" s="336"/>
      <c r="G33" s="310"/>
      <c r="I33" s="335"/>
      <c r="J33" s="311">
        <v>1967</v>
      </c>
      <c r="K33" s="309"/>
      <c r="L33" s="327"/>
      <c r="M33" s="327"/>
      <c r="N33" s="338"/>
      <c r="O33" s="14"/>
      <c r="P33" s="324"/>
      <c r="Q33" s="311">
        <v>1967</v>
      </c>
      <c r="R33" s="328"/>
      <c r="S33" s="328"/>
      <c r="T33" s="309" t="str">
        <f t="shared" si="7"/>
        <v xml:space="preserve"> </v>
      </c>
      <c r="U33" s="354">
        <f t="shared" si="1"/>
        <v>16513.951185089187</v>
      </c>
      <c r="V33" s="309"/>
      <c r="W33" s="309"/>
      <c r="X33" s="310"/>
      <c r="Z33" s="335"/>
      <c r="AA33" s="311">
        <v>1967</v>
      </c>
      <c r="AB33" s="336"/>
      <c r="AC33" s="336"/>
      <c r="AD33" s="336"/>
      <c r="AE33" s="310"/>
      <c r="AG33" s="335"/>
      <c r="AH33" s="311">
        <v>1967</v>
      </c>
      <c r="AI33" s="309"/>
      <c r="AJ33" s="327"/>
      <c r="AK33" s="327"/>
      <c r="AL33" s="338"/>
      <c r="AM33" s="14"/>
      <c r="AN33" s="324"/>
      <c r="AO33" s="311">
        <v>1967</v>
      </c>
      <c r="AP33" s="328"/>
      <c r="AQ33" s="328"/>
      <c r="AR33" s="309" t="str">
        <f t="shared" si="8"/>
        <v xml:space="preserve"> </v>
      </c>
      <c r="AS33" s="354">
        <f t="shared" si="2"/>
        <v>6728.0485039999985</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9"/>
        <v xml:space="preserve"> </v>
      </c>
      <c r="BQ33" s="354">
        <f t="shared" si="3"/>
        <v>23241.999689089185</v>
      </c>
      <c r="BR33" s="309"/>
      <c r="BS33" s="309"/>
      <c r="BT33" s="310"/>
      <c r="BV33" s="324"/>
      <c r="BW33" s="311">
        <v>1967</v>
      </c>
      <c r="BX33" s="359">
        <f t="shared" si="10"/>
        <v>23241.999689089185</v>
      </c>
      <c r="BY33" s="359">
        <f t="shared" si="0"/>
        <v>0</v>
      </c>
      <c r="BZ33" s="360">
        <f t="shared" si="11"/>
        <v>0</v>
      </c>
      <c r="CA33" s="310"/>
    </row>
    <row r="34" spans="2:79" s="5" customFormat="1" ht="12.75">
      <c r="B34" s="335"/>
      <c r="C34" s="311">
        <v>1968</v>
      </c>
      <c r="D34" s="336"/>
      <c r="E34" s="336"/>
      <c r="F34" s="336"/>
      <c r="G34" s="310"/>
      <c r="I34" s="335"/>
      <c r="J34" s="311">
        <v>1968</v>
      </c>
      <c r="K34" s="309"/>
      <c r="L34" s="327"/>
      <c r="M34" s="327"/>
      <c r="N34" s="338"/>
      <c r="O34" s="14"/>
      <c r="P34" s="324"/>
      <c r="Q34" s="311">
        <v>1968</v>
      </c>
      <c r="R34" s="328"/>
      <c r="S34" s="328"/>
      <c r="T34" s="309" t="str">
        <f t="shared" si="7"/>
        <v xml:space="preserve"> </v>
      </c>
      <c r="U34" s="354">
        <f t="shared" si="1"/>
        <v>16513.951185089187</v>
      </c>
      <c r="V34" s="309"/>
      <c r="W34" s="309"/>
      <c r="X34" s="310"/>
      <c r="Z34" s="335"/>
      <c r="AA34" s="311">
        <v>1968</v>
      </c>
      <c r="AB34" s="336"/>
      <c r="AC34" s="336"/>
      <c r="AD34" s="336"/>
      <c r="AE34" s="310"/>
      <c r="AG34" s="335"/>
      <c r="AH34" s="311">
        <v>1968</v>
      </c>
      <c r="AI34" s="309"/>
      <c r="AJ34" s="327"/>
      <c r="AK34" s="327"/>
      <c r="AL34" s="338"/>
      <c r="AM34" s="14"/>
      <c r="AN34" s="324"/>
      <c r="AO34" s="311">
        <v>1968</v>
      </c>
      <c r="AP34" s="328"/>
      <c r="AQ34" s="328"/>
      <c r="AR34" s="309" t="str">
        <f t="shared" si="8"/>
        <v xml:space="preserve"> </v>
      </c>
      <c r="AS34" s="354">
        <f t="shared" si="2"/>
        <v>6728.0485039999985</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9"/>
        <v xml:space="preserve"> </v>
      </c>
      <c r="BQ34" s="354">
        <f t="shared" si="3"/>
        <v>23241.999689089185</v>
      </c>
      <c r="BR34" s="309"/>
      <c r="BS34" s="309"/>
      <c r="BT34" s="310"/>
      <c r="BV34" s="324"/>
      <c r="BW34" s="311">
        <v>1968</v>
      </c>
      <c r="BX34" s="359">
        <f t="shared" si="10"/>
        <v>23241.999689089185</v>
      </c>
      <c r="BY34" s="359">
        <f t="shared" si="0"/>
        <v>0</v>
      </c>
      <c r="BZ34" s="360">
        <f t="shared" si="11"/>
        <v>0</v>
      </c>
      <c r="CA34" s="310"/>
    </row>
    <row r="35" spans="2:79" s="5" customFormat="1" ht="12.75">
      <c r="B35" s="335"/>
      <c r="C35" s="311">
        <v>1969</v>
      </c>
      <c r="D35" s="336"/>
      <c r="E35" s="336"/>
      <c r="F35" s="336"/>
      <c r="G35" s="310"/>
      <c r="I35" s="335"/>
      <c r="J35" s="311">
        <v>1969</v>
      </c>
      <c r="K35" s="309"/>
      <c r="L35" s="327"/>
      <c r="M35" s="327"/>
      <c r="N35" s="338"/>
      <c r="O35" s="14"/>
      <c r="P35" s="324"/>
      <c r="Q35" s="311">
        <v>1969</v>
      </c>
      <c r="R35" s="328"/>
      <c r="S35" s="328"/>
      <c r="T35" s="309" t="str">
        <f t="shared" si="7"/>
        <v xml:space="preserve"> </v>
      </c>
      <c r="U35" s="354">
        <f t="shared" si="1"/>
        <v>16513.951185089187</v>
      </c>
      <c r="V35" s="309"/>
      <c r="W35" s="309"/>
      <c r="X35" s="310"/>
      <c r="Z35" s="335"/>
      <c r="AA35" s="311">
        <v>1969</v>
      </c>
      <c r="AB35" s="336"/>
      <c r="AC35" s="336"/>
      <c r="AD35" s="336"/>
      <c r="AE35" s="310"/>
      <c r="AG35" s="335"/>
      <c r="AH35" s="311">
        <v>1969</v>
      </c>
      <c r="AI35" s="309"/>
      <c r="AJ35" s="327"/>
      <c r="AK35" s="327"/>
      <c r="AL35" s="338"/>
      <c r="AM35" s="14"/>
      <c r="AN35" s="324"/>
      <c r="AO35" s="311">
        <v>1969</v>
      </c>
      <c r="AP35" s="328"/>
      <c r="AQ35" s="328"/>
      <c r="AR35" s="309" t="str">
        <f t="shared" si="8"/>
        <v xml:space="preserve"> </v>
      </c>
      <c r="AS35" s="354">
        <f t="shared" si="2"/>
        <v>6728.0485039999985</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9"/>
        <v xml:space="preserve"> </v>
      </c>
      <c r="BQ35" s="354">
        <f t="shared" si="3"/>
        <v>23241.999689089185</v>
      </c>
      <c r="BR35" s="309"/>
      <c r="BS35" s="309"/>
      <c r="BT35" s="310"/>
      <c r="BV35" s="324"/>
      <c r="BW35" s="311">
        <v>1969</v>
      </c>
      <c r="BX35" s="359">
        <f t="shared" si="10"/>
        <v>23241.999689089185</v>
      </c>
      <c r="BY35" s="359">
        <f t="shared" si="0"/>
        <v>0</v>
      </c>
      <c r="BZ35" s="360">
        <f t="shared" si="11"/>
        <v>0</v>
      </c>
      <c r="CA35" s="310"/>
    </row>
    <row r="36" spans="2:79" s="5" customFormat="1" ht="12.75">
      <c r="B36" s="335"/>
      <c r="C36" s="311">
        <v>1970</v>
      </c>
      <c r="D36" s="336"/>
      <c r="E36" s="336"/>
      <c r="F36" s="336"/>
      <c r="G36" s="310"/>
      <c r="I36" s="335"/>
      <c r="J36" s="311">
        <v>1970</v>
      </c>
      <c r="K36" s="309"/>
      <c r="L36" s="327"/>
      <c r="M36" s="327"/>
      <c r="N36" s="338"/>
      <c r="O36" s="14"/>
      <c r="P36" s="324"/>
      <c r="Q36" s="311">
        <v>1970</v>
      </c>
      <c r="R36" s="328"/>
      <c r="S36" s="328"/>
      <c r="T36" s="309" t="str">
        <f t="shared" si="7"/>
        <v xml:space="preserve"> </v>
      </c>
      <c r="U36" s="354">
        <f t="shared" si="1"/>
        <v>16513.951185089187</v>
      </c>
      <c r="V36" s="309"/>
      <c r="W36" s="309"/>
      <c r="X36" s="310"/>
      <c r="Z36" s="335"/>
      <c r="AA36" s="311">
        <v>1970</v>
      </c>
      <c r="AB36" s="336"/>
      <c r="AC36" s="336"/>
      <c r="AD36" s="336"/>
      <c r="AE36" s="310"/>
      <c r="AG36" s="335"/>
      <c r="AH36" s="311">
        <v>1970</v>
      </c>
      <c r="AI36" s="309"/>
      <c r="AJ36" s="327"/>
      <c r="AK36" s="327"/>
      <c r="AL36" s="338"/>
      <c r="AM36" s="14"/>
      <c r="AN36" s="324"/>
      <c r="AO36" s="311">
        <v>1970</v>
      </c>
      <c r="AP36" s="328"/>
      <c r="AQ36" s="328"/>
      <c r="AR36" s="309" t="str">
        <f t="shared" si="8"/>
        <v xml:space="preserve"> </v>
      </c>
      <c r="AS36" s="354">
        <f t="shared" si="2"/>
        <v>6728.0485039999985</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9"/>
        <v xml:space="preserve"> </v>
      </c>
      <c r="BQ36" s="354">
        <f t="shared" si="3"/>
        <v>23241.999689089185</v>
      </c>
      <c r="BR36" s="309"/>
      <c r="BS36" s="309"/>
      <c r="BT36" s="310"/>
      <c r="BV36" s="324"/>
      <c r="BW36" s="311">
        <v>1970</v>
      </c>
      <c r="BX36" s="359">
        <f t="shared" si="10"/>
        <v>23241.999689089185</v>
      </c>
      <c r="BY36" s="359">
        <f t="shared" si="0"/>
        <v>0</v>
      </c>
      <c r="BZ36" s="360">
        <f t="shared" si="11"/>
        <v>0</v>
      </c>
      <c r="CA36" s="310"/>
    </row>
    <row r="37" spans="2:79" s="5" customFormat="1" ht="12.75">
      <c r="B37" s="335"/>
      <c r="C37" s="311">
        <v>1971</v>
      </c>
      <c r="D37" s="336"/>
      <c r="E37" s="336"/>
      <c r="F37" s="336"/>
      <c r="G37" s="310"/>
      <c r="I37" s="335"/>
      <c r="J37" s="311">
        <v>1971</v>
      </c>
      <c r="K37" s="309"/>
      <c r="L37" s="327"/>
      <c r="M37" s="327"/>
      <c r="N37" s="338"/>
      <c r="O37" s="14"/>
      <c r="P37" s="324"/>
      <c r="Q37" s="311">
        <v>1971</v>
      </c>
      <c r="R37" s="328"/>
      <c r="S37" s="328"/>
      <c r="T37" s="309" t="str">
        <f t="shared" si="7"/>
        <v xml:space="preserve"> </v>
      </c>
      <c r="U37" s="354">
        <f t="shared" si="1"/>
        <v>16513.951185089187</v>
      </c>
      <c r="V37" s="309"/>
      <c r="W37" s="309"/>
      <c r="X37" s="310"/>
      <c r="Z37" s="335"/>
      <c r="AA37" s="311">
        <v>1971</v>
      </c>
      <c r="AB37" s="336"/>
      <c r="AC37" s="336"/>
      <c r="AD37" s="336"/>
      <c r="AE37" s="310"/>
      <c r="AG37" s="335"/>
      <c r="AH37" s="311">
        <v>1971</v>
      </c>
      <c r="AI37" s="309"/>
      <c r="AJ37" s="327"/>
      <c r="AK37" s="327"/>
      <c r="AL37" s="338"/>
      <c r="AM37" s="14"/>
      <c r="AN37" s="324"/>
      <c r="AO37" s="311">
        <v>1971</v>
      </c>
      <c r="AP37" s="328"/>
      <c r="AQ37" s="328"/>
      <c r="AR37" s="309" t="str">
        <f t="shared" si="8"/>
        <v xml:space="preserve"> </v>
      </c>
      <c r="AS37" s="354">
        <f t="shared" si="2"/>
        <v>6728.0485039999985</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9"/>
        <v xml:space="preserve"> </v>
      </c>
      <c r="BQ37" s="354">
        <f t="shared" si="3"/>
        <v>23241.999689089185</v>
      </c>
      <c r="BR37" s="309"/>
      <c r="BS37" s="309"/>
      <c r="BT37" s="310"/>
      <c r="BV37" s="324"/>
      <c r="BW37" s="311">
        <v>1971</v>
      </c>
      <c r="BX37" s="359">
        <f t="shared" si="10"/>
        <v>23241.999689089185</v>
      </c>
      <c r="BY37" s="359">
        <f t="shared" si="0"/>
        <v>0</v>
      </c>
      <c r="BZ37" s="360">
        <f t="shared" si="11"/>
        <v>0</v>
      </c>
      <c r="CA37" s="310"/>
    </row>
    <row r="38" spans="2:79" s="5" customFormat="1" ht="12.75">
      <c r="B38" s="335"/>
      <c r="C38" s="311">
        <v>1972</v>
      </c>
      <c r="D38" s="336"/>
      <c r="E38" s="336"/>
      <c r="F38" s="336"/>
      <c r="G38" s="310"/>
      <c r="I38" s="335"/>
      <c r="J38" s="311">
        <v>1972</v>
      </c>
      <c r="K38" s="309"/>
      <c r="L38" s="327"/>
      <c r="M38" s="327"/>
      <c r="N38" s="338"/>
      <c r="O38" s="14"/>
      <c r="P38" s="324"/>
      <c r="Q38" s="311">
        <v>1972</v>
      </c>
      <c r="R38" s="328"/>
      <c r="S38" s="328"/>
      <c r="T38" s="309" t="str">
        <f t="shared" si="7"/>
        <v xml:space="preserve"> </v>
      </c>
      <c r="U38" s="354">
        <f t="shared" si="1"/>
        <v>16513.951185089187</v>
      </c>
      <c r="V38" s="309"/>
      <c r="W38" s="309"/>
      <c r="X38" s="310"/>
      <c r="Z38" s="335"/>
      <c r="AA38" s="311">
        <v>1972</v>
      </c>
      <c r="AB38" s="336"/>
      <c r="AC38" s="336"/>
      <c r="AD38" s="336"/>
      <c r="AE38" s="310"/>
      <c r="AG38" s="335"/>
      <c r="AH38" s="311">
        <v>1972</v>
      </c>
      <c r="AI38" s="309"/>
      <c r="AJ38" s="327"/>
      <c r="AK38" s="327"/>
      <c r="AL38" s="338"/>
      <c r="AM38" s="14"/>
      <c r="AN38" s="324"/>
      <c r="AO38" s="311">
        <v>1972</v>
      </c>
      <c r="AP38" s="328"/>
      <c r="AQ38" s="328"/>
      <c r="AR38" s="309" t="str">
        <f t="shared" si="8"/>
        <v xml:space="preserve"> </v>
      </c>
      <c r="AS38" s="354">
        <f t="shared" si="2"/>
        <v>6728.0485039999985</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9"/>
        <v xml:space="preserve"> </v>
      </c>
      <c r="BQ38" s="354">
        <f t="shared" si="3"/>
        <v>23241.999689089185</v>
      </c>
      <c r="BR38" s="309"/>
      <c r="BS38" s="309"/>
      <c r="BT38" s="310"/>
      <c r="BV38" s="324"/>
      <c r="BW38" s="311">
        <v>1972</v>
      </c>
      <c r="BX38" s="359">
        <f t="shared" si="10"/>
        <v>23241.999689089185</v>
      </c>
      <c r="BY38" s="359">
        <f t="shared" si="0"/>
        <v>0</v>
      </c>
      <c r="BZ38" s="360">
        <f t="shared" si="11"/>
        <v>0</v>
      </c>
      <c r="CA38" s="310"/>
    </row>
    <row r="39" spans="2:79" s="5" customFormat="1" ht="12.75">
      <c r="B39" s="335"/>
      <c r="C39" s="311">
        <v>1973</v>
      </c>
      <c r="D39" s="336"/>
      <c r="E39" s="336"/>
      <c r="F39" s="336"/>
      <c r="G39" s="310"/>
      <c r="I39" s="335"/>
      <c r="J39" s="311">
        <v>1973</v>
      </c>
      <c r="K39" s="309"/>
      <c r="L39" s="327"/>
      <c r="M39" s="327"/>
      <c r="N39" s="338"/>
      <c r="O39" s="14"/>
      <c r="P39" s="324"/>
      <c r="Q39" s="311">
        <v>1973</v>
      </c>
      <c r="R39" s="328"/>
      <c r="S39" s="328"/>
      <c r="T39" s="309" t="str">
        <f t="shared" si="7"/>
        <v xml:space="preserve"> </v>
      </c>
      <c r="U39" s="354">
        <f t="shared" si="1"/>
        <v>16513.951185089187</v>
      </c>
      <c r="V39" s="309"/>
      <c r="W39" s="309"/>
      <c r="X39" s="310"/>
      <c r="Z39" s="335"/>
      <c r="AA39" s="311">
        <v>1973</v>
      </c>
      <c r="AB39" s="336"/>
      <c r="AC39" s="336"/>
      <c r="AD39" s="336"/>
      <c r="AE39" s="310"/>
      <c r="AG39" s="335"/>
      <c r="AH39" s="311">
        <v>1973</v>
      </c>
      <c r="AI39" s="309"/>
      <c r="AJ39" s="327"/>
      <c r="AK39" s="327"/>
      <c r="AL39" s="338"/>
      <c r="AM39" s="14"/>
      <c r="AN39" s="324"/>
      <c r="AO39" s="311">
        <v>1973</v>
      </c>
      <c r="AP39" s="328"/>
      <c r="AQ39" s="328"/>
      <c r="AR39" s="309" t="str">
        <f t="shared" si="8"/>
        <v xml:space="preserve"> </v>
      </c>
      <c r="AS39" s="354">
        <f t="shared" si="2"/>
        <v>6728.0485039999985</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9"/>
        <v xml:space="preserve"> </v>
      </c>
      <c r="BQ39" s="354">
        <f t="shared" si="3"/>
        <v>23241.999689089185</v>
      </c>
      <c r="BR39" s="309"/>
      <c r="BS39" s="309"/>
      <c r="BT39" s="310"/>
      <c r="BV39" s="324"/>
      <c r="BW39" s="311">
        <v>1973</v>
      </c>
      <c r="BX39" s="359">
        <f t="shared" si="10"/>
        <v>23241.999689089185</v>
      </c>
      <c r="BY39" s="359">
        <f t="shared" si="0"/>
        <v>0</v>
      </c>
      <c r="BZ39" s="360">
        <f t="shared" si="11"/>
        <v>0</v>
      </c>
      <c r="CA39" s="310"/>
    </row>
    <row r="40" spans="2:79" s="5" customFormat="1" ht="12.75">
      <c r="B40" s="335"/>
      <c r="C40" s="311">
        <v>1974</v>
      </c>
      <c r="D40" s="336"/>
      <c r="E40" s="336"/>
      <c r="F40" s="336"/>
      <c r="G40" s="310"/>
      <c r="I40" s="335"/>
      <c r="J40" s="311">
        <v>1974</v>
      </c>
      <c r="K40" s="309"/>
      <c r="L40" s="327"/>
      <c r="M40" s="327"/>
      <c r="N40" s="338"/>
      <c r="O40" s="14"/>
      <c r="P40" s="324"/>
      <c r="Q40" s="311">
        <v>1974</v>
      </c>
      <c r="R40" s="328"/>
      <c r="S40" s="328"/>
      <c r="T40" s="309" t="str">
        <f t="shared" si="7"/>
        <v xml:space="preserve"> </v>
      </c>
      <c r="U40" s="354">
        <f t="shared" si="1"/>
        <v>16513.951185089187</v>
      </c>
      <c r="V40" s="309"/>
      <c r="W40" s="309"/>
      <c r="X40" s="310"/>
      <c r="Z40" s="335"/>
      <c r="AA40" s="311">
        <v>1974</v>
      </c>
      <c r="AB40" s="336"/>
      <c r="AC40" s="336"/>
      <c r="AD40" s="336"/>
      <c r="AE40" s="310"/>
      <c r="AG40" s="335"/>
      <c r="AH40" s="311">
        <v>1974</v>
      </c>
      <c r="AI40" s="309"/>
      <c r="AJ40" s="327"/>
      <c r="AK40" s="327"/>
      <c r="AL40" s="338"/>
      <c r="AM40" s="14"/>
      <c r="AN40" s="324"/>
      <c r="AO40" s="311">
        <v>1974</v>
      </c>
      <c r="AP40" s="328"/>
      <c r="AQ40" s="328"/>
      <c r="AR40" s="309" t="str">
        <f t="shared" si="8"/>
        <v xml:space="preserve"> </v>
      </c>
      <c r="AS40" s="354">
        <f t="shared" si="2"/>
        <v>6728.0485039999985</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9"/>
        <v xml:space="preserve"> </v>
      </c>
      <c r="BQ40" s="354">
        <f t="shared" si="3"/>
        <v>23241.999689089185</v>
      </c>
      <c r="BR40" s="309"/>
      <c r="BS40" s="309"/>
      <c r="BT40" s="310"/>
      <c r="BV40" s="324"/>
      <c r="BW40" s="311">
        <v>1974</v>
      </c>
      <c r="BX40" s="359">
        <f t="shared" si="10"/>
        <v>23241.999689089185</v>
      </c>
      <c r="BY40" s="359">
        <f t="shared" si="0"/>
        <v>0</v>
      </c>
      <c r="BZ40" s="360">
        <f t="shared" si="11"/>
        <v>0</v>
      </c>
      <c r="CA40" s="310"/>
    </row>
    <row r="41" spans="2:79" s="5" customFormat="1" ht="12.75">
      <c r="B41" s="335"/>
      <c r="C41" s="311">
        <v>1975</v>
      </c>
      <c r="D41" s="336"/>
      <c r="E41" s="336"/>
      <c r="F41" s="336"/>
      <c r="G41" s="310"/>
      <c r="I41" s="335"/>
      <c r="J41" s="311">
        <v>1975</v>
      </c>
      <c r="K41" s="309"/>
      <c r="L41" s="327"/>
      <c r="M41" s="327"/>
      <c r="N41" s="338"/>
      <c r="O41" s="14"/>
      <c r="P41" s="324"/>
      <c r="Q41" s="311">
        <v>1975</v>
      </c>
      <c r="R41" s="328"/>
      <c r="S41" s="328"/>
      <c r="T41" s="309" t="str">
        <f t="shared" si="7"/>
        <v xml:space="preserve"> </v>
      </c>
      <c r="U41" s="354">
        <f t="shared" si="1"/>
        <v>16513.951185089187</v>
      </c>
      <c r="V41" s="309"/>
      <c r="W41" s="309"/>
      <c r="X41" s="310"/>
      <c r="Z41" s="335"/>
      <c r="AA41" s="311">
        <v>1975</v>
      </c>
      <c r="AB41" s="336"/>
      <c r="AC41" s="336"/>
      <c r="AD41" s="336"/>
      <c r="AE41" s="310"/>
      <c r="AG41" s="335"/>
      <c r="AH41" s="311">
        <v>1975</v>
      </c>
      <c r="AI41" s="309"/>
      <c r="AJ41" s="327"/>
      <c r="AK41" s="327"/>
      <c r="AL41" s="338"/>
      <c r="AM41" s="14"/>
      <c r="AN41" s="324"/>
      <c r="AO41" s="311">
        <v>1975</v>
      </c>
      <c r="AP41" s="328"/>
      <c r="AQ41" s="328"/>
      <c r="AR41" s="309" t="str">
        <f t="shared" si="8"/>
        <v xml:space="preserve"> </v>
      </c>
      <c r="AS41" s="354">
        <f t="shared" si="2"/>
        <v>6728.0485039999985</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9"/>
        <v xml:space="preserve"> </v>
      </c>
      <c r="BQ41" s="354">
        <f t="shared" si="3"/>
        <v>23241.999689089185</v>
      </c>
      <c r="BR41" s="309"/>
      <c r="BS41" s="309"/>
      <c r="BT41" s="310"/>
      <c r="BV41" s="324"/>
      <c r="BW41" s="311">
        <v>1975</v>
      </c>
      <c r="BX41" s="359">
        <f t="shared" si="10"/>
        <v>23241.999689089185</v>
      </c>
      <c r="BY41" s="359">
        <f t="shared" si="0"/>
        <v>0</v>
      </c>
      <c r="BZ41" s="360">
        <f t="shared" si="11"/>
        <v>0</v>
      </c>
      <c r="CA41" s="310"/>
    </row>
    <row r="42" spans="2:79" s="5" customFormat="1" ht="12.75">
      <c r="B42" s="335"/>
      <c r="C42" s="311">
        <v>1976</v>
      </c>
      <c r="D42" s="336"/>
      <c r="E42" s="336"/>
      <c r="F42" s="336"/>
      <c r="G42" s="310"/>
      <c r="I42" s="335"/>
      <c r="J42" s="311">
        <v>1976</v>
      </c>
      <c r="K42" s="309"/>
      <c r="L42" s="327"/>
      <c r="M42" s="327"/>
      <c r="N42" s="338"/>
      <c r="O42" s="14"/>
      <c r="P42" s="324"/>
      <c r="Q42" s="311">
        <v>1976</v>
      </c>
      <c r="R42" s="328"/>
      <c r="S42" s="328"/>
      <c r="T42" s="309" t="str">
        <f t="shared" si="7"/>
        <v xml:space="preserve"> </v>
      </c>
      <c r="U42" s="354">
        <f t="shared" si="1"/>
        <v>16513.951185089187</v>
      </c>
      <c r="V42" s="309"/>
      <c r="W42" s="309"/>
      <c r="X42" s="310"/>
      <c r="Z42" s="335"/>
      <c r="AA42" s="311">
        <v>1976</v>
      </c>
      <c r="AB42" s="336"/>
      <c r="AC42" s="336"/>
      <c r="AD42" s="336"/>
      <c r="AE42" s="310"/>
      <c r="AG42" s="335"/>
      <c r="AH42" s="311">
        <v>1976</v>
      </c>
      <c r="AI42" s="309"/>
      <c r="AJ42" s="327"/>
      <c r="AK42" s="327"/>
      <c r="AL42" s="338"/>
      <c r="AM42" s="14"/>
      <c r="AN42" s="324"/>
      <c r="AO42" s="311">
        <v>1976</v>
      </c>
      <c r="AP42" s="328"/>
      <c r="AQ42" s="328"/>
      <c r="AR42" s="309" t="str">
        <f t="shared" si="8"/>
        <v xml:space="preserve"> </v>
      </c>
      <c r="AS42" s="354">
        <f t="shared" si="2"/>
        <v>6728.0485039999985</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9"/>
        <v xml:space="preserve"> </v>
      </c>
      <c r="BQ42" s="354">
        <f t="shared" si="3"/>
        <v>23241.999689089185</v>
      </c>
      <c r="BR42" s="309"/>
      <c r="BS42" s="309"/>
      <c r="BT42" s="310"/>
      <c r="BV42" s="324"/>
      <c r="BW42" s="311">
        <v>1976</v>
      </c>
      <c r="BX42" s="359">
        <f t="shared" si="10"/>
        <v>23241.999689089185</v>
      </c>
      <c r="BY42" s="359">
        <f t="shared" si="0"/>
        <v>0</v>
      </c>
      <c r="BZ42" s="360">
        <f t="shared" si="11"/>
        <v>0</v>
      </c>
      <c r="CA42" s="310"/>
    </row>
    <row r="43" spans="2:79" s="5" customFormat="1" ht="12.75">
      <c r="B43" s="335"/>
      <c r="C43" s="311">
        <v>1977</v>
      </c>
      <c r="D43" s="336"/>
      <c r="E43" s="336"/>
      <c r="F43" s="336"/>
      <c r="G43" s="310"/>
      <c r="I43" s="335"/>
      <c r="J43" s="311">
        <v>1977</v>
      </c>
      <c r="K43" s="309"/>
      <c r="L43" s="327"/>
      <c r="M43" s="327"/>
      <c r="N43" s="338"/>
      <c r="O43" s="14"/>
      <c r="P43" s="324"/>
      <c r="Q43" s="311">
        <v>1977</v>
      </c>
      <c r="R43" s="328"/>
      <c r="S43" s="328"/>
      <c r="T43" s="309" t="str">
        <f t="shared" si="7"/>
        <v xml:space="preserve"> </v>
      </c>
      <c r="U43" s="354">
        <f t="shared" si="1"/>
        <v>16513.951185089187</v>
      </c>
      <c r="V43" s="309"/>
      <c r="W43" s="309"/>
      <c r="X43" s="310"/>
      <c r="Z43" s="335"/>
      <c r="AA43" s="311">
        <v>1977</v>
      </c>
      <c r="AB43" s="336"/>
      <c r="AC43" s="336"/>
      <c r="AD43" s="336"/>
      <c r="AE43" s="310"/>
      <c r="AG43" s="335"/>
      <c r="AH43" s="311">
        <v>1977</v>
      </c>
      <c r="AI43" s="309"/>
      <c r="AJ43" s="327"/>
      <c r="AK43" s="327"/>
      <c r="AL43" s="338"/>
      <c r="AM43" s="14"/>
      <c r="AN43" s="324"/>
      <c r="AO43" s="311">
        <v>1977</v>
      </c>
      <c r="AP43" s="328"/>
      <c r="AQ43" s="328"/>
      <c r="AR43" s="309" t="str">
        <f t="shared" si="8"/>
        <v xml:space="preserve"> </v>
      </c>
      <c r="AS43" s="354">
        <f t="shared" si="2"/>
        <v>6728.0485039999985</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9"/>
        <v xml:space="preserve"> </v>
      </c>
      <c r="BQ43" s="354">
        <f t="shared" si="3"/>
        <v>23241.999689089185</v>
      </c>
      <c r="BR43" s="309"/>
      <c r="BS43" s="309"/>
      <c r="BT43" s="310"/>
      <c r="BV43" s="324"/>
      <c r="BW43" s="311">
        <v>1977</v>
      </c>
      <c r="BX43" s="359">
        <f t="shared" si="10"/>
        <v>23241.999689089185</v>
      </c>
      <c r="BY43" s="359">
        <f t="shared" si="0"/>
        <v>0</v>
      </c>
      <c r="BZ43" s="360">
        <f t="shared" si="11"/>
        <v>0</v>
      </c>
      <c r="CA43" s="310"/>
    </row>
    <row r="44" spans="2:79" s="5" customFormat="1" ht="12.75">
      <c r="B44" s="335"/>
      <c r="C44" s="311">
        <v>1978</v>
      </c>
      <c r="D44" s="336"/>
      <c r="E44" s="336"/>
      <c r="F44" s="336"/>
      <c r="G44" s="310"/>
      <c r="I44" s="335"/>
      <c r="J44" s="311">
        <v>1978</v>
      </c>
      <c r="K44" s="309"/>
      <c r="L44" s="327"/>
      <c r="M44" s="327"/>
      <c r="N44" s="338"/>
      <c r="O44" s="14"/>
      <c r="P44" s="324"/>
      <c r="Q44" s="311">
        <v>1978</v>
      </c>
      <c r="R44" s="328"/>
      <c r="S44" s="328"/>
      <c r="T44" s="309" t="str">
        <f t="shared" si="7"/>
        <v xml:space="preserve"> </v>
      </c>
      <c r="U44" s="354">
        <f t="shared" si="1"/>
        <v>16513.951185089187</v>
      </c>
      <c r="V44" s="309"/>
      <c r="W44" s="309"/>
      <c r="X44" s="310"/>
      <c r="Z44" s="335"/>
      <c r="AA44" s="311">
        <v>1978</v>
      </c>
      <c r="AB44" s="336"/>
      <c r="AC44" s="336"/>
      <c r="AD44" s="336"/>
      <c r="AE44" s="310"/>
      <c r="AG44" s="335"/>
      <c r="AH44" s="311">
        <v>1978</v>
      </c>
      <c r="AI44" s="309"/>
      <c r="AJ44" s="327"/>
      <c r="AK44" s="327"/>
      <c r="AL44" s="338"/>
      <c r="AM44" s="14"/>
      <c r="AN44" s="324"/>
      <c r="AO44" s="311">
        <v>1978</v>
      </c>
      <c r="AP44" s="328"/>
      <c r="AQ44" s="328"/>
      <c r="AR44" s="309" t="str">
        <f t="shared" si="8"/>
        <v xml:space="preserve"> </v>
      </c>
      <c r="AS44" s="354">
        <f t="shared" si="2"/>
        <v>6728.0485039999985</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9"/>
        <v xml:space="preserve"> </v>
      </c>
      <c r="BQ44" s="354">
        <f t="shared" si="3"/>
        <v>23241.999689089185</v>
      </c>
      <c r="BR44" s="309"/>
      <c r="BS44" s="309"/>
      <c r="BT44" s="310"/>
      <c r="BV44" s="324"/>
      <c r="BW44" s="311">
        <v>1978</v>
      </c>
      <c r="BX44" s="359">
        <f t="shared" si="10"/>
        <v>23241.999689089185</v>
      </c>
      <c r="BY44" s="359">
        <f t="shared" si="0"/>
        <v>0</v>
      </c>
      <c r="BZ44" s="360">
        <f t="shared" si="11"/>
        <v>0</v>
      </c>
      <c r="CA44" s="310"/>
    </row>
    <row r="45" spans="2:79" s="5" customFormat="1" ht="12.75">
      <c r="B45" s="335"/>
      <c r="C45" s="311">
        <v>1979</v>
      </c>
      <c r="D45" s="336"/>
      <c r="E45" s="336"/>
      <c r="F45" s="336"/>
      <c r="G45" s="310"/>
      <c r="I45" s="335"/>
      <c r="J45" s="311">
        <v>1979</v>
      </c>
      <c r="K45" s="309"/>
      <c r="L45" s="327"/>
      <c r="M45" s="327"/>
      <c r="N45" s="338"/>
      <c r="O45" s="14"/>
      <c r="P45" s="324"/>
      <c r="Q45" s="311">
        <v>1979</v>
      </c>
      <c r="R45" s="328"/>
      <c r="S45" s="328"/>
      <c r="T45" s="309" t="str">
        <f t="shared" si="7"/>
        <v xml:space="preserve"> </v>
      </c>
      <c r="U45" s="354">
        <f t="shared" si="1"/>
        <v>16513.951185089187</v>
      </c>
      <c r="V45" s="309"/>
      <c r="W45" s="309"/>
      <c r="X45" s="310"/>
      <c r="Z45" s="335"/>
      <c r="AA45" s="311">
        <v>1979</v>
      </c>
      <c r="AB45" s="336"/>
      <c r="AC45" s="336"/>
      <c r="AD45" s="336"/>
      <c r="AE45" s="310"/>
      <c r="AG45" s="335"/>
      <c r="AH45" s="311">
        <v>1979</v>
      </c>
      <c r="AI45" s="309"/>
      <c r="AJ45" s="327"/>
      <c r="AK45" s="327"/>
      <c r="AL45" s="338"/>
      <c r="AM45" s="14"/>
      <c r="AN45" s="324"/>
      <c r="AO45" s="311">
        <v>1979</v>
      </c>
      <c r="AP45" s="328"/>
      <c r="AQ45" s="328"/>
      <c r="AR45" s="309" t="str">
        <f t="shared" si="8"/>
        <v xml:space="preserve"> </v>
      </c>
      <c r="AS45" s="354">
        <f t="shared" si="2"/>
        <v>6728.0485039999985</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9"/>
        <v xml:space="preserve"> </v>
      </c>
      <c r="BQ45" s="354">
        <f t="shared" si="3"/>
        <v>23241.999689089185</v>
      </c>
      <c r="BR45" s="309"/>
      <c r="BS45" s="309"/>
      <c r="BT45" s="310"/>
      <c r="BV45" s="324"/>
      <c r="BW45" s="311">
        <v>1979</v>
      </c>
      <c r="BX45" s="359">
        <f t="shared" si="10"/>
        <v>23241.999689089185</v>
      </c>
      <c r="BY45" s="359">
        <f t="shared" si="0"/>
        <v>0</v>
      </c>
      <c r="BZ45" s="360">
        <f t="shared" si="11"/>
        <v>0</v>
      </c>
      <c r="CA45" s="310"/>
    </row>
    <row r="46" spans="2:79" ht="13.5" thickBot="1">
      <c r="B46" s="343"/>
      <c r="C46" s="311">
        <v>1980</v>
      </c>
      <c r="D46" s="345">
        <f aca="true" t="shared" si="12" ref="D46:D77">INDEX(HOUSING_STOCK,MATCH(C46,HOUSING_STOCK_YEARS,0)+2,MATCH(B$6,HOUSING_STOCK_BLDG,0)+MATCH(D$10,HOUSING_STOCK_CATEGORY,0)-1)</f>
        <v>0</v>
      </c>
      <c r="E46" s="345">
        <f aca="true" t="shared" si="13" ref="E46:E77">INDEX(HOUSING_STOCK,MATCH(C46,HOUSING_STOCK_YEARS,0)+2,MATCH(B$6,HOUSING_STOCK_BLDG,0)+MATCH(E$10,HOUSING_STOCK_CATEGORY,0)-1)</f>
        <v>0</v>
      </c>
      <c r="F46" s="345">
        <f aca="true" t="shared" si="14" ref="F46:F77">INDEX(HOUSING_STOCK,MATCH(C46,HOUSING_STOCK_YEARS,0)+2,MATCH(B$6,HOUSING_STOCK_BLDG,0)+MATCH(F$10,HOUSING_STOCK_CATEGORY,0)-1)</f>
        <v>2612400</v>
      </c>
      <c r="G46" s="344"/>
      <c r="H46" s="12"/>
      <c r="I46" s="339"/>
      <c r="J46" s="311">
        <v>1980</v>
      </c>
      <c r="K46" s="346">
        <f>FORECAST(J46,K$58:K$77,J$58:J$77)</f>
        <v>0.13274880373865905</v>
      </c>
      <c r="L46" s="347">
        <f>F46*K46</f>
        <v>346792.9748868729</v>
      </c>
      <c r="M46" s="327"/>
      <c r="N46" s="340"/>
      <c r="O46" s="15"/>
      <c r="P46" s="325"/>
      <c r="Q46" s="311">
        <v>1980</v>
      </c>
      <c r="R46" s="329"/>
      <c r="S46" s="329"/>
      <c r="T46" s="309" t="str">
        <f t="shared" si="7"/>
        <v xml:space="preserve"> </v>
      </c>
      <c r="U46" s="355">
        <f t="shared" si="1"/>
        <v>16513.951185089187</v>
      </c>
      <c r="V46" s="309"/>
      <c r="W46" s="309"/>
      <c r="X46" s="307"/>
      <c r="Z46" s="343"/>
      <c r="AA46" s="311">
        <v>1980</v>
      </c>
      <c r="AB46" s="345">
        <f aca="true" t="shared" si="15" ref="AB46:AB77">INDEX(HOUSING_STOCK,MATCH(AA46,HOUSING_STOCK_YEARS,0)+2,MATCH(Z$6,HOUSING_STOCK_BLDG,0)+MATCH(AB$10,HOUSING_STOCK_CATEGORY,0)-1)</f>
        <v>0</v>
      </c>
      <c r="AC46" s="345">
        <f aca="true" t="shared" si="16" ref="AC46:AC77">INDEX(HOUSING_STOCK,MATCH(AA46,HOUSING_STOCK_YEARS,0)+2,MATCH(Z$6,HOUSING_STOCK_BLDG,0)+MATCH(AC$10,HOUSING_STOCK_CATEGORY,0)-1)</f>
        <v>0</v>
      </c>
      <c r="AD46" s="345">
        <f aca="true" t="shared" si="17" ref="AD46:AD77">INDEX(HOUSING_STOCK,MATCH(AA46,HOUSING_STOCK_YEARS,0)+2,MATCH(Z$6,HOUSING_STOCK_BLDG,0)+MATCH(AD$10,HOUSING_STOCK_CATEGORY,0)-1)</f>
        <v>275356</v>
      </c>
      <c r="AE46" s="344"/>
      <c r="AF46" s="12"/>
      <c r="AG46" s="339"/>
      <c r="AH46" s="311">
        <v>1980</v>
      </c>
      <c r="AI46" s="346">
        <f aca="true" t="shared" si="18" ref="AI46:AI57">FORECAST(AH46,AI$58:AI$77,AH$58:AH$77)</f>
        <v>0.513114</v>
      </c>
      <c r="AJ46" s="347">
        <f>AD46*AI46</f>
        <v>141289.01858399998</v>
      </c>
      <c r="AK46" s="327"/>
      <c r="AL46" s="340"/>
      <c r="AM46" s="15"/>
      <c r="AN46" s="325"/>
      <c r="AO46" s="311">
        <v>1980</v>
      </c>
      <c r="AP46" s="329"/>
      <c r="AQ46" s="329"/>
      <c r="AR46" s="309" t="str">
        <f t="shared" si="8"/>
        <v xml:space="preserve"> </v>
      </c>
      <c r="AS46" s="355">
        <f t="shared" si="2"/>
        <v>6728.0485039999985</v>
      </c>
      <c r="AT46" s="309"/>
      <c r="AU46" s="309"/>
      <c r="AV46" s="307"/>
      <c r="AX46" s="343"/>
      <c r="AY46" s="311">
        <v>1980</v>
      </c>
      <c r="AZ46" s="345">
        <f aca="true" t="shared" si="19" ref="AZ46:AZ77">D46+AB46</f>
        <v>0</v>
      </c>
      <c r="BA46" s="345">
        <f aca="true" t="shared" si="20" ref="BA46:BA77">E46+AC46</f>
        <v>0</v>
      </c>
      <c r="BB46" s="345">
        <f aca="true" t="shared" si="21" ref="BB46:BB77">F46+AD46</f>
        <v>2887756</v>
      </c>
      <c r="BC46" s="344"/>
      <c r="BD46" s="12"/>
      <c r="BE46" s="339"/>
      <c r="BF46" s="311">
        <v>1980</v>
      </c>
      <c r="BG46" s="346">
        <f>BH46/BB46</f>
        <v>0.16901774023528057</v>
      </c>
      <c r="BH46" s="345">
        <f aca="true" t="shared" si="22" ref="BH46:BH77">L46+AJ46</f>
        <v>488081.99347087287</v>
      </c>
      <c r="BI46" s="327"/>
      <c r="BJ46" s="340"/>
      <c r="BK46" s="15"/>
      <c r="BL46" s="325"/>
      <c r="BM46" s="311">
        <v>1980</v>
      </c>
      <c r="BN46" s="329"/>
      <c r="BO46" s="329"/>
      <c r="BP46" s="309" t="str">
        <f t="shared" si="9"/>
        <v xml:space="preserve"> </v>
      </c>
      <c r="BQ46" s="355">
        <f t="shared" si="3"/>
        <v>23241.999689089185</v>
      </c>
      <c r="BR46" s="309"/>
      <c r="BS46" s="309"/>
      <c r="BT46" s="307"/>
      <c r="BV46" s="325"/>
      <c r="BW46" s="311">
        <v>1980</v>
      </c>
      <c r="BX46" s="359">
        <f t="shared" si="10"/>
        <v>23241.999689089185</v>
      </c>
      <c r="BY46" s="359">
        <f t="shared" si="0"/>
        <v>0</v>
      </c>
      <c r="BZ46" s="360">
        <f t="shared" si="11"/>
        <v>0</v>
      </c>
      <c r="CA46" s="307"/>
    </row>
    <row r="47" spans="2:79" ht="12.75">
      <c r="B47" s="343"/>
      <c r="C47" s="311">
        <v>1981</v>
      </c>
      <c r="D47" s="345">
        <f t="shared" si="12"/>
        <v>2612400</v>
      </c>
      <c r="E47" s="345">
        <f t="shared" si="13"/>
        <v>32998.3</v>
      </c>
      <c r="F47" s="345">
        <f t="shared" si="14"/>
        <v>2639466.110927178</v>
      </c>
      <c r="G47" s="344"/>
      <c r="H47" s="12"/>
      <c r="I47" s="339"/>
      <c r="J47" s="311">
        <v>1981</v>
      </c>
      <c r="K47" s="346">
        <f aca="true" t="shared" si="23" ref="K47:K57">FORECAST(J47,K$58:K$77,J$58:J$77)</f>
        <v>0.1301768423277343</v>
      </c>
      <c r="L47" s="348">
        <f>F47*K47</f>
        <v>343597.3637515653</v>
      </c>
      <c r="M47" s="351">
        <f>F47/F46-1</f>
        <v>0.010360630426878847</v>
      </c>
      <c r="N47" s="340"/>
      <c r="O47" s="15"/>
      <c r="P47" s="325"/>
      <c r="Q47" s="311">
        <v>1981</v>
      </c>
      <c r="R47" s="352">
        <f ca="1">E47*FORECAST(Q47,OFFSET('Saturations and Allocations'!$C$13,1,MATCH(B$6,SATURATIONS_HOUSING_TYPE,0)-1+MATCH(B$2,HVAC_SYSTEMS,0),2,1),'Saturations and Allocations'!$C$14:$C$15)</f>
        <v>3299.8300000000004</v>
      </c>
      <c r="S47" s="347">
        <f aca="true" ca="1" t="shared" si="24" ref="S47:S81">OFFSET(U47,-U$6,0)</f>
        <v>16513.951185089187</v>
      </c>
      <c r="T47" s="347">
        <f ca="1">L47-L46-R47</f>
        <v>-6495.441135307641</v>
      </c>
      <c r="U47" s="348">
        <f ca="1">SUM(R47:T47)</f>
        <v>13318.340049781547</v>
      </c>
      <c r="V47" s="347">
        <f ca="1">IF(SUM(R47,T47)&gt;0,SUM(R47,T47),0)</f>
        <v>0</v>
      </c>
      <c r="W47" s="347">
        <f ca="1">IF(SUM(R47,T47)&gt;0,S47,SUM(R47:T47))</f>
        <v>13318.340049781547</v>
      </c>
      <c r="X47" s="307"/>
      <c r="Z47" s="343"/>
      <c r="AA47" s="311">
        <v>1981</v>
      </c>
      <c r="AB47" s="345">
        <f t="shared" si="15"/>
        <v>275356</v>
      </c>
      <c r="AC47" s="345">
        <f t="shared" si="16"/>
        <v>10843</v>
      </c>
      <c r="AD47" s="345">
        <f t="shared" si="17"/>
        <v>283256.27415152383</v>
      </c>
      <c r="AE47" s="344"/>
      <c r="AF47" s="12"/>
      <c r="AG47" s="339"/>
      <c r="AH47" s="311">
        <v>1981</v>
      </c>
      <c r="AI47" s="346">
        <f t="shared" si="18"/>
        <v>0.513114</v>
      </c>
      <c r="AJ47" s="348">
        <f>AD47*AI47</f>
        <v>145342.759854985</v>
      </c>
      <c r="AK47" s="351">
        <f>AD47/AD46-1</f>
        <v>0.02869112767298998</v>
      </c>
      <c r="AL47" s="340"/>
      <c r="AM47" s="15"/>
      <c r="AN47" s="325"/>
      <c r="AO47" s="311">
        <v>1981</v>
      </c>
      <c r="AP47" s="352">
        <f ca="1">AC47*FORECAST(AO47,OFFSET('Saturations and Allocations'!$C$13,1,MATCH(Z$6,SATURATIONS_HOUSING_TYPE,0)-1+MATCH(Z$2,HVAC_SYSTEMS,0),2,1),'Saturations and Allocations'!$C$14:$C$15)</f>
        <v>8674.4</v>
      </c>
      <c r="AQ47" s="347">
        <f aca="true" ca="1" t="shared" si="25" ref="AQ47:AQ81">OFFSET(AS47,-AS$6,0)</f>
        <v>6728.0485039999985</v>
      </c>
      <c r="AR47" s="347">
        <f ca="1">AJ47-AJ46-AP47</f>
        <v>-4620.658729014982</v>
      </c>
      <c r="AS47" s="348">
        <f ca="1">SUM(AP47:AR47)</f>
        <v>10781.789774985016</v>
      </c>
      <c r="AT47" s="347">
        <f ca="1">AP47</f>
        <v>8674.4</v>
      </c>
      <c r="AU47" s="347">
        <f ca="1">SUM(AQ47:AR47)</f>
        <v>2107.3897749850166</v>
      </c>
      <c r="AV47" s="307"/>
      <c r="AX47" s="343"/>
      <c r="AY47" s="311">
        <v>1981</v>
      </c>
      <c r="AZ47" s="345">
        <f t="shared" si="19"/>
        <v>2887756</v>
      </c>
      <c r="BA47" s="345">
        <f t="shared" si="20"/>
        <v>43841.3</v>
      </c>
      <c r="BB47" s="345">
        <f t="shared" si="21"/>
        <v>2922722.385078702</v>
      </c>
      <c r="BC47" s="344"/>
      <c r="BD47" s="12"/>
      <c r="BE47" s="339"/>
      <c r="BF47" s="311">
        <v>1981</v>
      </c>
      <c r="BG47" s="346">
        <f aca="true" t="shared" si="26" ref="BG47:BG80">BH47/BB47</f>
        <v>0.16728928005708768</v>
      </c>
      <c r="BH47" s="345">
        <f t="shared" si="22"/>
        <v>488940.1236065503</v>
      </c>
      <c r="BI47" s="351">
        <f>BB47/BB46-1</f>
        <v>0.012108497074788227</v>
      </c>
      <c r="BJ47" s="340"/>
      <c r="BK47" s="15"/>
      <c r="BL47" s="325"/>
      <c r="BM47" s="311">
        <v>1981</v>
      </c>
      <c r="BN47" s="345">
        <f aca="true" t="shared" si="27" ref="BN47:BN78">R47+AP47</f>
        <v>11974.23</v>
      </c>
      <c r="BO47" s="345">
        <f aca="true" t="shared" si="28" ref="BO47:BO78">S47+AQ47</f>
        <v>23241.999689089185</v>
      </c>
      <c r="BP47" s="345">
        <f aca="true" t="shared" si="29" ref="BP47:BP78">T47+AR47</f>
        <v>-11116.099864322623</v>
      </c>
      <c r="BQ47" s="345">
        <f aca="true" t="shared" si="30" ref="BQ47:BQ52">U47+AS47</f>
        <v>24100.12982476656</v>
      </c>
      <c r="BR47" s="345">
        <f aca="true" t="shared" si="31" ref="BR47:BR78">V47+AT47</f>
        <v>8674.4</v>
      </c>
      <c r="BS47" s="345">
        <f aca="true" t="shared" si="32" ref="BS47:BS78">W47+AU47</f>
        <v>15425.729824766564</v>
      </c>
      <c r="BT47" s="307"/>
      <c r="BV47" s="325"/>
      <c r="BW47" s="311">
        <v>1981</v>
      </c>
      <c r="BX47" s="359">
        <f ca="1" t="shared" si="10"/>
        <v>24100.12982476656</v>
      </c>
      <c r="BY47" s="359">
        <f t="shared" si="0"/>
        <v>0</v>
      </c>
      <c r="BZ47" s="360">
        <f ca="1" t="shared" si="11"/>
        <v>0</v>
      </c>
      <c r="CA47" s="307"/>
    </row>
    <row r="48" spans="2:79" ht="12.75">
      <c r="B48" s="343"/>
      <c r="C48" s="311">
        <v>1982</v>
      </c>
      <c r="D48" s="345">
        <f t="shared" si="12"/>
        <v>2639466.110927178</v>
      </c>
      <c r="E48" s="345">
        <f t="shared" si="13"/>
        <v>22690.6</v>
      </c>
      <c r="F48" s="345">
        <f t="shared" si="14"/>
        <v>2656237.9925583815</v>
      </c>
      <c r="G48" s="344"/>
      <c r="H48" s="12"/>
      <c r="I48" s="339"/>
      <c r="J48" s="311">
        <v>1982</v>
      </c>
      <c r="K48" s="346">
        <f t="shared" si="23"/>
        <v>0.12760488091681044</v>
      </c>
      <c r="L48" s="347">
        <f aca="true" t="shared" si="33" ref="L48:L81">F48*K48</f>
        <v>338948.9327271199</v>
      </c>
      <c r="M48" s="351">
        <f aca="true" t="shared" si="34" ref="M48:M81">F48/F47-1</f>
        <v>0.006354270494994818</v>
      </c>
      <c r="N48" s="340"/>
      <c r="O48" s="15"/>
      <c r="P48" s="325"/>
      <c r="Q48" s="311">
        <v>1982</v>
      </c>
      <c r="R48" s="352">
        <f ca="1">E48*FORECAST(Q48,OFFSET('Saturations and Allocations'!$C$13,1,MATCH(B$6,SATURATIONS_HOUSING_TYPE,0)-1+MATCH(B$2,HVAC_SYSTEMS,0),2,1),'Saturations and Allocations'!$C$14:$C$15)</f>
        <v>2269.06</v>
      </c>
      <c r="S48" s="347">
        <f ca="1" t="shared" si="24"/>
        <v>16513.951185089187</v>
      </c>
      <c r="T48" s="347">
        <f aca="true" t="shared" si="35" ref="T48:T81">L48-L47-R48</f>
        <v>-6917.491024445395</v>
      </c>
      <c r="U48" s="347">
        <f aca="true" t="shared" si="36" ref="U48:U81">SUM(R48:T48)</f>
        <v>11865.520160643793</v>
      </c>
      <c r="V48" s="347">
        <f aca="true" t="shared" si="37" ref="V48:V81">IF(SUM(R48,T48)&gt;0,SUM(R48,T48),0)</f>
        <v>0</v>
      </c>
      <c r="W48" s="347">
        <f aca="true" t="shared" si="38" ref="W48:W81">IF(SUM(R48,T48)&gt;0,S48,SUM(R48:T48))</f>
        <v>11865.520160643793</v>
      </c>
      <c r="X48" s="307"/>
      <c r="Z48" s="343"/>
      <c r="AA48" s="311">
        <v>1982</v>
      </c>
      <c r="AB48" s="345">
        <f t="shared" si="15"/>
        <v>283256.27415152383</v>
      </c>
      <c r="AC48" s="345">
        <f t="shared" si="16"/>
        <v>8758</v>
      </c>
      <c r="AD48" s="345">
        <f t="shared" si="17"/>
        <v>289102.99717439705</v>
      </c>
      <c r="AE48" s="344"/>
      <c r="AF48" s="12"/>
      <c r="AG48" s="339"/>
      <c r="AH48" s="311">
        <v>1982</v>
      </c>
      <c r="AI48" s="346">
        <f t="shared" si="18"/>
        <v>0.513114</v>
      </c>
      <c r="AJ48" s="347">
        <f aca="true" t="shared" si="39" ref="AJ48:AJ81">AD48*AI48</f>
        <v>148342.79529214356</v>
      </c>
      <c r="AK48" s="351">
        <f aca="true" t="shared" si="40" ref="AK48:AK81">AD48/AD47-1</f>
        <v>0.020641106857691716</v>
      </c>
      <c r="AL48" s="340"/>
      <c r="AM48" s="15"/>
      <c r="AN48" s="325"/>
      <c r="AO48" s="311">
        <v>1982</v>
      </c>
      <c r="AP48" s="352">
        <f ca="1">AC48*FORECAST(AO48,OFFSET('Saturations and Allocations'!$C$13,1,MATCH(Z$6,SATURATIONS_HOUSING_TYPE,0)-1+MATCH(Z$2,HVAC_SYSTEMS,0),2,1),'Saturations and Allocations'!$C$14:$C$15)</f>
        <v>7006.400000000001</v>
      </c>
      <c r="AQ48" s="347">
        <f ca="1" t="shared" si="25"/>
        <v>6728.0485039999985</v>
      </c>
      <c r="AR48" s="347">
        <f aca="true" t="shared" si="41" ref="AR48:AR81">AJ48-AJ47-AP48</f>
        <v>-4006.3645628414297</v>
      </c>
      <c r="AS48" s="347">
        <f aca="true" t="shared" si="42" ref="AS48:AS76">SUM(AP48:AR48)</f>
        <v>9728.08394115857</v>
      </c>
      <c r="AT48" s="347">
        <f aca="true" t="shared" si="43" ref="AT48:AT81">AP48</f>
        <v>7006.400000000001</v>
      </c>
      <c r="AU48" s="347">
        <f aca="true" t="shared" si="44" ref="AU48:AU81">SUM(AQ48:AR48)</f>
        <v>2721.683941158569</v>
      </c>
      <c r="AV48" s="307"/>
      <c r="AX48" s="343"/>
      <c r="AY48" s="311">
        <v>1982</v>
      </c>
      <c r="AZ48" s="345">
        <f t="shared" si="19"/>
        <v>2922722.385078702</v>
      </c>
      <c r="BA48" s="345">
        <f t="shared" si="20"/>
        <v>31448.6</v>
      </c>
      <c r="BB48" s="345">
        <f t="shared" si="21"/>
        <v>2945340.9897327786</v>
      </c>
      <c r="BC48" s="344"/>
      <c r="BD48" s="12"/>
      <c r="BE48" s="339"/>
      <c r="BF48" s="311">
        <v>1982</v>
      </c>
      <c r="BG48" s="346">
        <f t="shared" si="26"/>
        <v>0.16544492801272354</v>
      </c>
      <c r="BH48" s="345">
        <f t="shared" si="22"/>
        <v>487291.7280192635</v>
      </c>
      <c r="BI48" s="351">
        <f aca="true" t="shared" si="45" ref="BI48:BI81">BB48/BB47-1</f>
        <v>0.0077388823411865815</v>
      </c>
      <c r="BJ48" s="340"/>
      <c r="BK48" s="15"/>
      <c r="BL48" s="325"/>
      <c r="BM48" s="311">
        <v>1982</v>
      </c>
      <c r="BN48" s="345">
        <f ca="1" t="shared" si="27"/>
        <v>9275.460000000001</v>
      </c>
      <c r="BO48" s="345">
        <f ca="1" t="shared" si="28"/>
        <v>23241.999689089185</v>
      </c>
      <c r="BP48" s="345">
        <f ca="1" t="shared" si="29"/>
        <v>-10923.855587286824</v>
      </c>
      <c r="BQ48" s="345">
        <f ca="1" t="shared" si="30"/>
        <v>21593.60410180236</v>
      </c>
      <c r="BR48" s="345">
        <f ca="1" t="shared" si="31"/>
        <v>7006.400000000001</v>
      </c>
      <c r="BS48" s="345">
        <f ca="1" t="shared" si="32"/>
        <v>14587.204101802363</v>
      </c>
      <c r="BT48" s="307"/>
      <c r="BV48" s="325"/>
      <c r="BW48" s="311">
        <v>1982</v>
      </c>
      <c r="BX48" s="359">
        <f ca="1" t="shared" si="10"/>
        <v>21593.60410180236</v>
      </c>
      <c r="BY48" s="359">
        <f t="shared" si="0"/>
        <v>0</v>
      </c>
      <c r="BZ48" s="360">
        <f ca="1" t="shared" si="11"/>
        <v>0</v>
      </c>
      <c r="CA48" s="307"/>
    </row>
    <row r="49" spans="2:79" ht="12.75">
      <c r="B49" s="343"/>
      <c r="C49" s="311">
        <v>1983</v>
      </c>
      <c r="D49" s="345">
        <f t="shared" si="12"/>
        <v>2656237.9925583815</v>
      </c>
      <c r="E49" s="345">
        <f t="shared" si="13"/>
        <v>35193.1</v>
      </c>
      <c r="F49" s="345">
        <f t="shared" si="14"/>
        <v>2685525.8143045874</v>
      </c>
      <c r="G49" s="344"/>
      <c r="H49" s="12"/>
      <c r="I49" s="339"/>
      <c r="J49" s="311">
        <v>1983</v>
      </c>
      <c r="K49" s="346">
        <f t="shared" si="23"/>
        <v>0.1250329195058857</v>
      </c>
      <c r="L49" s="347">
        <f t="shared" si="33"/>
        <v>335779.1329709236</v>
      </c>
      <c r="M49" s="351">
        <f t="shared" si="34"/>
        <v>0.011026053323631935</v>
      </c>
      <c r="N49" s="340"/>
      <c r="O49" s="15"/>
      <c r="P49" s="325"/>
      <c r="Q49" s="311">
        <v>1983</v>
      </c>
      <c r="R49" s="352">
        <f ca="1">E49*FORECAST(Q49,OFFSET('Saturations and Allocations'!$C$13,1,MATCH(B$6,SATURATIONS_HOUSING_TYPE,0)-1+MATCH(B$2,HVAC_SYSTEMS,0),2,1),'Saturations and Allocations'!$C$14:$C$15)</f>
        <v>3519.31</v>
      </c>
      <c r="S49" s="347">
        <f ca="1" t="shared" si="24"/>
        <v>16513.951185089187</v>
      </c>
      <c r="T49" s="347">
        <f ca="1" t="shared" si="35"/>
        <v>-6689.109756196269</v>
      </c>
      <c r="U49" s="347">
        <f ca="1" t="shared" si="36"/>
        <v>13344.15142889292</v>
      </c>
      <c r="V49" s="347">
        <f ca="1" t="shared" si="37"/>
        <v>0</v>
      </c>
      <c r="W49" s="347">
        <f ca="1" t="shared" si="38"/>
        <v>13344.15142889292</v>
      </c>
      <c r="X49" s="307"/>
      <c r="Z49" s="343"/>
      <c r="AA49" s="311">
        <v>1983</v>
      </c>
      <c r="AB49" s="345">
        <f t="shared" si="15"/>
        <v>289102.99717439705</v>
      </c>
      <c r="AC49" s="345">
        <f t="shared" si="16"/>
        <v>12114</v>
      </c>
      <c r="AD49" s="345">
        <f t="shared" si="17"/>
        <v>298336.8329749569</v>
      </c>
      <c r="AE49" s="344"/>
      <c r="AF49" s="12"/>
      <c r="AG49" s="339"/>
      <c r="AH49" s="311">
        <v>1983</v>
      </c>
      <c r="AI49" s="346">
        <f t="shared" si="18"/>
        <v>0.513114</v>
      </c>
      <c r="AJ49" s="347">
        <f t="shared" si="39"/>
        <v>153080.80571511202</v>
      </c>
      <c r="AK49" s="351">
        <f t="shared" si="40"/>
        <v>0.031939605921794234</v>
      </c>
      <c r="AL49" s="340"/>
      <c r="AM49" s="15"/>
      <c r="AN49" s="325"/>
      <c r="AO49" s="311">
        <v>1983</v>
      </c>
      <c r="AP49" s="352">
        <f ca="1">AC49*FORECAST(AO49,OFFSET('Saturations and Allocations'!$C$13,1,MATCH(Z$6,SATURATIONS_HOUSING_TYPE,0)-1+MATCH(Z$2,HVAC_SYSTEMS,0),2,1),'Saturations and Allocations'!$C$14:$C$15)</f>
        <v>9691.2</v>
      </c>
      <c r="AQ49" s="347">
        <f ca="1" t="shared" si="25"/>
        <v>6728.0485039999985</v>
      </c>
      <c r="AR49" s="347">
        <f ca="1" t="shared" si="41"/>
        <v>-4953.18957703155</v>
      </c>
      <c r="AS49" s="347">
        <f ca="1" t="shared" si="42"/>
        <v>11466.05892696845</v>
      </c>
      <c r="AT49" s="347">
        <f ca="1" t="shared" si="43"/>
        <v>9691.2</v>
      </c>
      <c r="AU49" s="347">
        <f ca="1" t="shared" si="44"/>
        <v>1774.858926968449</v>
      </c>
      <c r="AV49" s="307"/>
      <c r="AX49" s="343"/>
      <c r="AY49" s="311">
        <v>1983</v>
      </c>
      <c r="AZ49" s="345">
        <f t="shared" si="19"/>
        <v>2945340.9897327786</v>
      </c>
      <c r="BA49" s="345">
        <f t="shared" si="20"/>
        <v>47307.1</v>
      </c>
      <c r="BB49" s="345">
        <f t="shared" si="21"/>
        <v>2983862.6472795443</v>
      </c>
      <c r="BC49" s="344"/>
      <c r="BD49" s="12"/>
      <c r="BE49" s="339"/>
      <c r="BF49" s="311">
        <v>1983</v>
      </c>
      <c r="BG49" s="346">
        <f t="shared" si="26"/>
        <v>0.16383459846308288</v>
      </c>
      <c r="BH49" s="345">
        <f t="shared" si="22"/>
        <v>488859.93868603563</v>
      </c>
      <c r="BI49" s="351">
        <f t="shared" si="45"/>
        <v>0.013078844752118401</v>
      </c>
      <c r="BJ49" s="340"/>
      <c r="BK49" s="15"/>
      <c r="BL49" s="325"/>
      <c r="BM49" s="311">
        <v>1983</v>
      </c>
      <c r="BN49" s="345">
        <f ca="1" t="shared" si="27"/>
        <v>13210.51</v>
      </c>
      <c r="BO49" s="345">
        <f ca="1" t="shared" si="28"/>
        <v>23241.999689089185</v>
      </c>
      <c r="BP49" s="345">
        <f ca="1" t="shared" si="29"/>
        <v>-11642.299333227818</v>
      </c>
      <c r="BQ49" s="345">
        <f ca="1" t="shared" si="30"/>
        <v>24810.210355861367</v>
      </c>
      <c r="BR49" s="345">
        <f ca="1" t="shared" si="31"/>
        <v>9691.2</v>
      </c>
      <c r="BS49" s="345">
        <f ca="1" t="shared" si="32"/>
        <v>15119.010355861368</v>
      </c>
      <c r="BT49" s="307"/>
      <c r="BV49" s="325"/>
      <c r="BW49" s="311">
        <v>1983</v>
      </c>
      <c r="BX49" s="359">
        <f ca="1" t="shared" si="10"/>
        <v>24810.210355861367</v>
      </c>
      <c r="BY49" s="359">
        <f t="shared" si="0"/>
        <v>0</v>
      </c>
      <c r="BZ49" s="360">
        <f ca="1" t="shared" si="11"/>
        <v>0</v>
      </c>
      <c r="CA49" s="307"/>
    </row>
    <row r="50" spans="2:79" ht="12.75">
      <c r="B50" s="343"/>
      <c r="C50" s="311">
        <v>1984</v>
      </c>
      <c r="D50" s="345">
        <f t="shared" si="12"/>
        <v>2685525.8143045874</v>
      </c>
      <c r="E50" s="345">
        <f t="shared" si="13"/>
        <v>32702.6</v>
      </c>
      <c r="F50" s="345">
        <f t="shared" si="14"/>
        <v>2712336.545646234</v>
      </c>
      <c r="G50" s="344"/>
      <c r="H50" s="12"/>
      <c r="I50" s="339"/>
      <c r="J50" s="311">
        <v>1984</v>
      </c>
      <c r="K50" s="346">
        <f t="shared" si="23"/>
        <v>0.12246095809496094</v>
      </c>
      <c r="L50" s="347">
        <f t="shared" si="33"/>
        <v>332155.33205581456</v>
      </c>
      <c r="M50" s="351">
        <f t="shared" si="34"/>
        <v>0.009983419708288643</v>
      </c>
      <c r="N50" s="340"/>
      <c r="O50" s="15"/>
      <c r="P50" s="325"/>
      <c r="Q50" s="311">
        <v>1984</v>
      </c>
      <c r="R50" s="352">
        <f ca="1">E50*FORECAST(Q50,OFFSET('Saturations and Allocations'!$C$13,1,MATCH(B$6,SATURATIONS_HOUSING_TYPE,0)-1+MATCH(B$2,HVAC_SYSTEMS,0),2,1),'Saturations and Allocations'!$C$14:$C$15)</f>
        <v>3270.26</v>
      </c>
      <c r="S50" s="347">
        <f ca="1" t="shared" si="24"/>
        <v>16513.951185089187</v>
      </c>
      <c r="T50" s="347">
        <f ca="1" t="shared" si="35"/>
        <v>-6894.060915109052</v>
      </c>
      <c r="U50" s="347">
        <f ca="1" t="shared" si="36"/>
        <v>12890.150269980137</v>
      </c>
      <c r="V50" s="347">
        <f ca="1" t="shared" si="37"/>
        <v>0</v>
      </c>
      <c r="W50" s="347">
        <f ca="1" t="shared" si="38"/>
        <v>12890.150269980137</v>
      </c>
      <c r="X50" s="307"/>
      <c r="Z50" s="343"/>
      <c r="AA50" s="311">
        <v>1984</v>
      </c>
      <c r="AB50" s="345">
        <f t="shared" si="15"/>
        <v>298336.8329749569</v>
      </c>
      <c r="AC50" s="345">
        <f t="shared" si="16"/>
        <v>11892</v>
      </c>
      <c r="AD50" s="345">
        <f t="shared" si="17"/>
        <v>307379.44905136887</v>
      </c>
      <c r="AE50" s="344"/>
      <c r="AF50" s="12"/>
      <c r="AG50" s="339"/>
      <c r="AH50" s="311">
        <v>1984</v>
      </c>
      <c r="AI50" s="346">
        <f t="shared" si="18"/>
        <v>0.513114</v>
      </c>
      <c r="AJ50" s="347">
        <f t="shared" si="39"/>
        <v>157720.69862054408</v>
      </c>
      <c r="AK50" s="351">
        <f t="shared" si="40"/>
        <v>0.03031008939204982</v>
      </c>
      <c r="AL50" s="340"/>
      <c r="AM50" s="15"/>
      <c r="AN50" s="325"/>
      <c r="AO50" s="311">
        <v>1984</v>
      </c>
      <c r="AP50" s="352">
        <f ca="1">AC50*FORECAST(AO50,OFFSET('Saturations and Allocations'!$C$13,1,MATCH(Z$6,SATURATIONS_HOUSING_TYPE,0)-1+MATCH(Z$2,HVAC_SYSTEMS,0),2,1),'Saturations and Allocations'!$C$14:$C$15)</f>
        <v>9513.6</v>
      </c>
      <c r="AQ50" s="347">
        <f ca="1" t="shared" si="25"/>
        <v>6728.0485039999985</v>
      </c>
      <c r="AR50" s="347">
        <f ca="1" t="shared" si="41"/>
        <v>-4873.707094567939</v>
      </c>
      <c r="AS50" s="347">
        <f ca="1" t="shared" si="42"/>
        <v>11367.94140943206</v>
      </c>
      <c r="AT50" s="347">
        <f ca="1" t="shared" si="43"/>
        <v>9513.6</v>
      </c>
      <c r="AU50" s="347">
        <f ca="1" t="shared" si="44"/>
        <v>1854.3414094320597</v>
      </c>
      <c r="AV50" s="307"/>
      <c r="AX50" s="343"/>
      <c r="AY50" s="311">
        <v>1984</v>
      </c>
      <c r="AZ50" s="345">
        <f t="shared" si="19"/>
        <v>2983862.6472795443</v>
      </c>
      <c r="BA50" s="345">
        <f t="shared" si="20"/>
        <v>44594.6</v>
      </c>
      <c r="BB50" s="345">
        <f t="shared" si="21"/>
        <v>3019715.994697603</v>
      </c>
      <c r="BC50" s="344"/>
      <c r="BD50" s="12"/>
      <c r="BE50" s="339"/>
      <c r="BF50" s="311">
        <v>1984</v>
      </c>
      <c r="BG50" s="346">
        <f t="shared" si="26"/>
        <v>0.16222586214615697</v>
      </c>
      <c r="BH50" s="345">
        <f t="shared" si="22"/>
        <v>489876.0306763586</v>
      </c>
      <c r="BI50" s="351">
        <f t="shared" si="45"/>
        <v>0.012015749937667852</v>
      </c>
      <c r="BJ50" s="340"/>
      <c r="BK50" s="15"/>
      <c r="BL50" s="325"/>
      <c r="BM50" s="311">
        <v>1984</v>
      </c>
      <c r="BN50" s="345">
        <f ca="1" t="shared" si="27"/>
        <v>12783.86</v>
      </c>
      <c r="BO50" s="345">
        <f ca="1" t="shared" si="28"/>
        <v>23241.999689089185</v>
      </c>
      <c r="BP50" s="345">
        <f ca="1" t="shared" si="29"/>
        <v>-11767.768009676991</v>
      </c>
      <c r="BQ50" s="345">
        <f ca="1" t="shared" si="30"/>
        <v>24258.091679412195</v>
      </c>
      <c r="BR50" s="345">
        <f ca="1" t="shared" si="31"/>
        <v>9513.6</v>
      </c>
      <c r="BS50" s="345">
        <f ca="1" t="shared" si="32"/>
        <v>14744.491679412196</v>
      </c>
      <c r="BT50" s="307"/>
      <c r="BV50" s="325"/>
      <c r="BW50" s="311">
        <v>1984</v>
      </c>
      <c r="BX50" s="359">
        <f ca="1" t="shared" si="10"/>
        <v>24258.091679412195</v>
      </c>
      <c r="BY50" s="359">
        <f t="shared" si="0"/>
        <v>0</v>
      </c>
      <c r="BZ50" s="360">
        <f ca="1" t="shared" si="11"/>
        <v>0</v>
      </c>
      <c r="CA50" s="307"/>
    </row>
    <row r="51" spans="2:79" ht="12.75">
      <c r="B51" s="343"/>
      <c r="C51" s="311">
        <v>1985</v>
      </c>
      <c r="D51" s="345">
        <f t="shared" si="12"/>
        <v>2712336.545646234</v>
      </c>
      <c r="E51" s="345">
        <f t="shared" si="13"/>
        <v>31199.2</v>
      </c>
      <c r="F51" s="345">
        <f t="shared" si="14"/>
        <v>2737657.2561330628</v>
      </c>
      <c r="G51" s="344"/>
      <c r="H51" s="12"/>
      <c r="I51" s="339"/>
      <c r="J51" s="311">
        <v>1985</v>
      </c>
      <c r="K51" s="346">
        <f t="shared" si="23"/>
        <v>0.11988899668403619</v>
      </c>
      <c r="L51" s="347">
        <f t="shared" si="33"/>
        <v>328214.98170256434</v>
      </c>
      <c r="M51" s="351">
        <f t="shared" si="34"/>
        <v>0.009335386689927061</v>
      </c>
      <c r="N51" s="340"/>
      <c r="O51" s="15"/>
      <c r="P51" s="325"/>
      <c r="Q51" s="311">
        <v>1985</v>
      </c>
      <c r="R51" s="352">
        <f ca="1">E51*FORECAST(Q51,OFFSET('Saturations and Allocations'!$C$13,1,MATCH(B$6,SATURATIONS_HOUSING_TYPE,0)-1+MATCH(B$2,HVAC_SYSTEMS,0),2,1),'Saturations and Allocations'!$C$14:$C$15)</f>
        <v>3119.92</v>
      </c>
      <c r="S51" s="347">
        <f ca="1" t="shared" si="24"/>
        <v>16513.951185089187</v>
      </c>
      <c r="T51" s="347">
        <f ca="1" t="shared" si="35"/>
        <v>-7060.270353250222</v>
      </c>
      <c r="U51" s="347">
        <f ca="1" t="shared" si="36"/>
        <v>12573.600831838963</v>
      </c>
      <c r="V51" s="347">
        <f ca="1" t="shared" si="37"/>
        <v>0</v>
      </c>
      <c r="W51" s="347">
        <f ca="1" t="shared" si="38"/>
        <v>12573.600831838963</v>
      </c>
      <c r="X51" s="307"/>
      <c r="Z51" s="343"/>
      <c r="AA51" s="311">
        <v>1985</v>
      </c>
      <c r="AB51" s="345">
        <f t="shared" si="15"/>
        <v>307379.44905136887</v>
      </c>
      <c r="AC51" s="345">
        <f t="shared" si="16"/>
        <v>10090</v>
      </c>
      <c r="AD51" s="345">
        <f t="shared" si="17"/>
        <v>314650.51645524125</v>
      </c>
      <c r="AE51" s="344"/>
      <c r="AF51" s="12"/>
      <c r="AG51" s="339"/>
      <c r="AH51" s="311">
        <v>1985</v>
      </c>
      <c r="AI51" s="346">
        <f t="shared" si="18"/>
        <v>0.513114</v>
      </c>
      <c r="AJ51" s="347">
        <f t="shared" si="39"/>
        <v>161451.58510041464</v>
      </c>
      <c r="AK51" s="351">
        <f t="shared" si="40"/>
        <v>0.023655021265449827</v>
      </c>
      <c r="AL51" s="340"/>
      <c r="AM51" s="15"/>
      <c r="AN51" s="325"/>
      <c r="AO51" s="311">
        <v>1985</v>
      </c>
      <c r="AP51" s="352">
        <f ca="1">AC51*FORECAST(AO51,OFFSET('Saturations and Allocations'!$C$13,1,MATCH(Z$6,SATURATIONS_HOUSING_TYPE,0)-1+MATCH(Z$2,HVAC_SYSTEMS,0),2,1),'Saturations and Allocations'!$C$14:$C$15)</f>
        <v>8072</v>
      </c>
      <c r="AQ51" s="347">
        <f ca="1" t="shared" si="25"/>
        <v>6728.0485039999985</v>
      </c>
      <c r="AR51" s="347">
        <f ca="1" t="shared" si="41"/>
        <v>-4341.113520129438</v>
      </c>
      <c r="AS51" s="347">
        <f ca="1" t="shared" si="42"/>
        <v>10458.93498387056</v>
      </c>
      <c r="AT51" s="347">
        <f ca="1" t="shared" si="43"/>
        <v>8072</v>
      </c>
      <c r="AU51" s="347">
        <f ca="1" t="shared" si="44"/>
        <v>2386.9349838705602</v>
      </c>
      <c r="AV51" s="307"/>
      <c r="AX51" s="343"/>
      <c r="AY51" s="311">
        <v>1985</v>
      </c>
      <c r="AZ51" s="345">
        <f t="shared" si="19"/>
        <v>3019715.994697603</v>
      </c>
      <c r="BA51" s="345">
        <f t="shared" si="20"/>
        <v>41289.2</v>
      </c>
      <c r="BB51" s="345">
        <f t="shared" si="21"/>
        <v>3052307.7725883042</v>
      </c>
      <c r="BC51" s="344"/>
      <c r="BD51" s="12"/>
      <c r="BE51" s="339"/>
      <c r="BF51" s="311">
        <v>1985</v>
      </c>
      <c r="BG51" s="346">
        <f t="shared" si="26"/>
        <v>0.16042503026742622</v>
      </c>
      <c r="BH51" s="345">
        <f t="shared" si="22"/>
        <v>489666.566802979</v>
      </c>
      <c r="BI51" s="351">
        <f t="shared" si="45"/>
        <v>0.0107929944232934</v>
      </c>
      <c r="BJ51" s="340"/>
      <c r="BK51" s="15"/>
      <c r="BL51" s="325"/>
      <c r="BM51" s="311">
        <v>1985</v>
      </c>
      <c r="BN51" s="345">
        <f ca="1" t="shared" si="27"/>
        <v>11191.92</v>
      </c>
      <c r="BO51" s="345">
        <f ca="1" t="shared" si="28"/>
        <v>23241.999689089185</v>
      </c>
      <c r="BP51" s="345">
        <f ca="1" t="shared" si="29"/>
        <v>-11401.38387337966</v>
      </c>
      <c r="BQ51" s="345">
        <f ca="1" t="shared" si="30"/>
        <v>23032.535815709525</v>
      </c>
      <c r="BR51" s="345">
        <f ca="1" t="shared" si="31"/>
        <v>8072</v>
      </c>
      <c r="BS51" s="345">
        <f ca="1" t="shared" si="32"/>
        <v>14960.535815709523</v>
      </c>
      <c r="BT51" s="307"/>
      <c r="BV51" s="325"/>
      <c r="BW51" s="311">
        <v>1985</v>
      </c>
      <c r="BX51" s="359">
        <f ca="1" t="shared" si="10"/>
        <v>23032.535815709525</v>
      </c>
      <c r="BY51" s="359">
        <f t="shared" si="0"/>
        <v>0</v>
      </c>
      <c r="BZ51" s="360">
        <f ca="1" t="shared" si="11"/>
        <v>0</v>
      </c>
      <c r="CA51" s="307"/>
    </row>
    <row r="52" spans="2:79" ht="12.75">
      <c r="B52" s="343"/>
      <c r="C52" s="311">
        <v>1986</v>
      </c>
      <c r="D52" s="345">
        <f t="shared" si="12"/>
        <v>2737657.2561330628</v>
      </c>
      <c r="E52" s="345">
        <f t="shared" si="13"/>
        <v>33696.6</v>
      </c>
      <c r="F52" s="345">
        <f t="shared" si="14"/>
        <v>2765488.715383961</v>
      </c>
      <c r="G52" s="344"/>
      <c r="H52" s="12"/>
      <c r="I52" s="339"/>
      <c r="J52" s="311">
        <v>1986</v>
      </c>
      <c r="K52" s="346">
        <f t="shared" si="23"/>
        <v>0.11731703527311232</v>
      </c>
      <c r="L52" s="347">
        <f t="shared" si="33"/>
        <v>324438.9371700942</v>
      </c>
      <c r="M52" s="351">
        <f t="shared" si="34"/>
        <v>0.010166159108686346</v>
      </c>
      <c r="N52" s="340"/>
      <c r="O52" s="15"/>
      <c r="P52" s="325"/>
      <c r="Q52" s="311">
        <v>1986</v>
      </c>
      <c r="R52" s="352">
        <f ca="1">E52*FORECAST(Q52,OFFSET('Saturations and Allocations'!$C$13,1,MATCH(B$6,SATURATIONS_HOUSING_TYPE,0)-1+MATCH(B$2,HVAC_SYSTEMS,0),2,1),'Saturations and Allocations'!$C$14:$C$15)</f>
        <v>3369.66</v>
      </c>
      <c r="S52" s="347">
        <f ca="1" t="shared" si="24"/>
        <v>16513.951185089187</v>
      </c>
      <c r="T52" s="347">
        <f ca="1" t="shared" si="35"/>
        <v>-7145.704532470114</v>
      </c>
      <c r="U52" s="347">
        <f ca="1" t="shared" si="36"/>
        <v>12737.906652619073</v>
      </c>
      <c r="V52" s="347">
        <f ca="1" t="shared" si="37"/>
        <v>0</v>
      </c>
      <c r="W52" s="347">
        <f ca="1" t="shared" si="38"/>
        <v>12737.906652619073</v>
      </c>
      <c r="X52" s="307"/>
      <c r="Z52" s="343"/>
      <c r="AA52" s="311">
        <v>1986</v>
      </c>
      <c r="AB52" s="345">
        <f t="shared" si="15"/>
        <v>314650.51645524125</v>
      </c>
      <c r="AC52" s="345">
        <f t="shared" si="16"/>
        <v>8352</v>
      </c>
      <c r="AD52" s="345">
        <f t="shared" si="17"/>
        <v>320213.7097536492</v>
      </c>
      <c r="AE52" s="344"/>
      <c r="AF52" s="12"/>
      <c r="AG52" s="339"/>
      <c r="AH52" s="311">
        <v>1986</v>
      </c>
      <c r="AI52" s="346">
        <f t="shared" si="18"/>
        <v>0.513114</v>
      </c>
      <c r="AJ52" s="347">
        <f t="shared" si="39"/>
        <v>164306.13746653392</v>
      </c>
      <c r="AK52" s="351">
        <f t="shared" si="40"/>
        <v>0.017680547170496386</v>
      </c>
      <c r="AL52" s="340"/>
      <c r="AM52" s="15"/>
      <c r="AN52" s="325"/>
      <c r="AO52" s="311">
        <v>1986</v>
      </c>
      <c r="AP52" s="352">
        <f ca="1">AC52*FORECAST(AO52,OFFSET('Saturations and Allocations'!$C$13,1,MATCH(Z$6,SATURATIONS_HOUSING_TYPE,0)-1+MATCH(Z$2,HVAC_SYSTEMS,0),2,1),'Saturations and Allocations'!$C$14:$C$15)</f>
        <v>6681.6</v>
      </c>
      <c r="AQ52" s="347">
        <f ca="1" t="shared" si="25"/>
        <v>6728.0485039999985</v>
      </c>
      <c r="AR52" s="347">
        <f ca="1" t="shared" si="41"/>
        <v>-3827.047633880715</v>
      </c>
      <c r="AS52" s="347">
        <f ca="1" t="shared" si="42"/>
        <v>9582.600870119284</v>
      </c>
      <c r="AT52" s="347">
        <f ca="1" t="shared" si="43"/>
        <v>6681.6</v>
      </c>
      <c r="AU52" s="347">
        <f ca="1" t="shared" si="44"/>
        <v>2901.0008701192837</v>
      </c>
      <c r="AV52" s="307"/>
      <c r="AX52" s="343"/>
      <c r="AY52" s="311">
        <v>1986</v>
      </c>
      <c r="AZ52" s="345">
        <f t="shared" si="19"/>
        <v>3052307.7725883042</v>
      </c>
      <c r="BA52" s="345">
        <f t="shared" si="20"/>
        <v>42048.6</v>
      </c>
      <c r="BB52" s="345">
        <f t="shared" si="21"/>
        <v>3085702.42513761</v>
      </c>
      <c r="BC52" s="344"/>
      <c r="BD52" s="12"/>
      <c r="BE52" s="339"/>
      <c r="BF52" s="311">
        <v>1986</v>
      </c>
      <c r="BG52" s="346">
        <f t="shared" si="26"/>
        <v>0.15839021632645994</v>
      </c>
      <c r="BH52" s="345">
        <f t="shared" si="22"/>
        <v>488745.07463662815</v>
      </c>
      <c r="BI52" s="351">
        <f t="shared" si="45"/>
        <v>0.01094078809784893</v>
      </c>
      <c r="BJ52" s="340"/>
      <c r="BK52" s="15"/>
      <c r="BL52" s="325"/>
      <c r="BM52" s="311">
        <v>1986</v>
      </c>
      <c r="BN52" s="345">
        <f ca="1" t="shared" si="27"/>
        <v>10051.26</v>
      </c>
      <c r="BO52" s="345">
        <f ca="1" t="shared" si="28"/>
        <v>23241.999689089185</v>
      </c>
      <c r="BP52" s="345">
        <f ca="1" t="shared" si="29"/>
        <v>-10972.752166350829</v>
      </c>
      <c r="BQ52" s="345">
        <f ca="1" t="shared" si="30"/>
        <v>22320.507522738357</v>
      </c>
      <c r="BR52" s="345">
        <f ca="1" t="shared" si="31"/>
        <v>6681.6</v>
      </c>
      <c r="BS52" s="345">
        <f ca="1" t="shared" si="32"/>
        <v>15638.907522738356</v>
      </c>
      <c r="BT52" s="307"/>
      <c r="BV52" s="325"/>
      <c r="BW52" s="311">
        <v>1986</v>
      </c>
      <c r="BX52" s="359">
        <f ca="1" t="shared" si="10"/>
        <v>22320.507522738357</v>
      </c>
      <c r="BY52" s="359">
        <f t="shared" si="0"/>
        <v>0</v>
      </c>
      <c r="BZ52" s="360">
        <f ca="1" t="shared" si="11"/>
        <v>0</v>
      </c>
      <c r="CA52" s="307"/>
    </row>
    <row r="53" spans="2:79" ht="12.75">
      <c r="B53" s="343"/>
      <c r="C53" s="311">
        <v>1987</v>
      </c>
      <c r="D53" s="345">
        <f t="shared" si="12"/>
        <v>2765488.715383961</v>
      </c>
      <c r="E53" s="345">
        <f t="shared" si="13"/>
        <v>33896.5</v>
      </c>
      <c r="F53" s="345">
        <f t="shared" si="14"/>
        <v>2793533.3930868045</v>
      </c>
      <c r="G53" s="344"/>
      <c r="H53" s="12"/>
      <c r="I53" s="339"/>
      <c r="J53" s="311">
        <v>1987</v>
      </c>
      <c r="K53" s="346">
        <f t="shared" si="23"/>
        <v>0.11474507386218757</v>
      </c>
      <c r="L53" s="347">
        <f t="shared" si="33"/>
        <v>320544.1955262329</v>
      </c>
      <c r="M53" s="351">
        <f t="shared" si="34"/>
        <v>0.010140948161110108</v>
      </c>
      <c r="N53" s="340"/>
      <c r="O53" s="15"/>
      <c r="P53" s="325"/>
      <c r="Q53" s="311">
        <v>1987</v>
      </c>
      <c r="R53" s="352">
        <f ca="1">E53*FORECAST(Q53,OFFSET('Saturations and Allocations'!$C$13,1,MATCH(B$6,SATURATIONS_HOUSING_TYPE,0)-1+MATCH(B$2,HVAC_SYSTEMS,0),2,1),'Saturations and Allocations'!$C$14:$C$15)</f>
        <v>3389.65</v>
      </c>
      <c r="S53" s="347">
        <f ca="1" t="shared" si="24"/>
        <v>16513.951185089187</v>
      </c>
      <c r="T53" s="347">
        <f ca="1" t="shared" si="35"/>
        <v>-7284.391643861343</v>
      </c>
      <c r="U53" s="347">
        <f ca="1" t="shared" si="36"/>
        <v>12619.209541227845</v>
      </c>
      <c r="V53" s="347">
        <f ca="1" t="shared" si="37"/>
        <v>0</v>
      </c>
      <c r="W53" s="347">
        <f ca="1" t="shared" si="38"/>
        <v>12619.209541227845</v>
      </c>
      <c r="X53" s="307"/>
      <c r="Z53" s="343"/>
      <c r="AA53" s="311">
        <v>1987</v>
      </c>
      <c r="AB53" s="345">
        <f t="shared" si="15"/>
        <v>320213.7097536492</v>
      </c>
      <c r="AC53" s="345">
        <f t="shared" si="16"/>
        <v>7902</v>
      </c>
      <c r="AD53" s="345">
        <f t="shared" si="17"/>
        <v>325356.7069915652</v>
      </c>
      <c r="AE53" s="344"/>
      <c r="AF53" s="12"/>
      <c r="AG53" s="339"/>
      <c r="AH53" s="311">
        <v>1987</v>
      </c>
      <c r="AI53" s="346">
        <f t="shared" si="18"/>
        <v>0.513114</v>
      </c>
      <c r="AJ53" s="347">
        <f t="shared" si="39"/>
        <v>166945.08135126997</v>
      </c>
      <c r="AK53" s="351">
        <f t="shared" si="40"/>
        <v>0.016061140048852618</v>
      </c>
      <c r="AL53" s="340"/>
      <c r="AM53" s="15"/>
      <c r="AN53" s="325"/>
      <c r="AO53" s="311">
        <v>1987</v>
      </c>
      <c r="AP53" s="352">
        <f ca="1">AC53*FORECAST(AO53,OFFSET('Saturations and Allocations'!$C$13,1,MATCH(Z$6,SATURATIONS_HOUSING_TYPE,0)-1+MATCH(Z$2,HVAC_SYSTEMS,0),2,1),'Saturations and Allocations'!$C$14:$C$15)</f>
        <v>6321.6</v>
      </c>
      <c r="AQ53" s="347">
        <f ca="1" t="shared" si="25"/>
        <v>6728.0485039999985</v>
      </c>
      <c r="AR53" s="347">
        <f ca="1" t="shared" si="41"/>
        <v>-3682.656115263957</v>
      </c>
      <c r="AS53" s="347">
        <f ca="1" t="shared" si="42"/>
        <v>9366.992388736042</v>
      </c>
      <c r="AT53" s="347">
        <f ca="1" t="shared" si="43"/>
        <v>6321.6</v>
      </c>
      <c r="AU53" s="347">
        <f ca="1" t="shared" si="44"/>
        <v>3045.3923887360415</v>
      </c>
      <c r="AV53" s="307"/>
      <c r="AX53" s="343"/>
      <c r="AY53" s="311">
        <v>1987</v>
      </c>
      <c r="AZ53" s="345">
        <f t="shared" si="19"/>
        <v>3085702.42513761</v>
      </c>
      <c r="BA53" s="345">
        <f t="shared" si="20"/>
        <v>41798.5</v>
      </c>
      <c r="BB53" s="345">
        <f t="shared" si="21"/>
        <v>3118890.1000783695</v>
      </c>
      <c r="BC53" s="344"/>
      <c r="BD53" s="12"/>
      <c r="BE53" s="339"/>
      <c r="BF53" s="311">
        <v>1987</v>
      </c>
      <c r="BG53" s="346">
        <f t="shared" si="26"/>
        <v>0.15630216558937218</v>
      </c>
      <c r="BH53" s="345">
        <f t="shared" si="22"/>
        <v>487489.27687750285</v>
      </c>
      <c r="BI53" s="351">
        <f t="shared" si="45"/>
        <v>0.010755306367327133</v>
      </c>
      <c r="BJ53" s="340"/>
      <c r="BK53" s="15"/>
      <c r="BL53" s="325"/>
      <c r="BM53" s="311">
        <v>1987</v>
      </c>
      <c r="BN53" s="345">
        <f ca="1" t="shared" si="27"/>
        <v>9711.25</v>
      </c>
      <c r="BO53" s="345">
        <f ca="1" t="shared" si="28"/>
        <v>23241.999689089185</v>
      </c>
      <c r="BP53" s="345">
        <f ca="1" t="shared" si="29"/>
        <v>-10967.0477591253</v>
      </c>
      <c r="BQ53" s="345">
        <f aca="true" t="shared" si="46" ref="BQ53:BQ81">U53+AS53</f>
        <v>21986.201929963885</v>
      </c>
      <c r="BR53" s="345">
        <f ca="1" t="shared" si="31"/>
        <v>6321.6</v>
      </c>
      <c r="BS53" s="345">
        <f ca="1" t="shared" si="32"/>
        <v>15664.601929963887</v>
      </c>
      <c r="BT53" s="307"/>
      <c r="BV53" s="325"/>
      <c r="BW53" s="311">
        <v>1987</v>
      </c>
      <c r="BX53" s="359">
        <f ca="1" t="shared" si="10"/>
        <v>21986.201929963885</v>
      </c>
      <c r="BY53" s="359">
        <f t="shared" si="0"/>
        <v>0</v>
      </c>
      <c r="BZ53" s="360">
        <f ca="1" t="shared" si="11"/>
        <v>0</v>
      </c>
      <c r="CA53" s="307"/>
    </row>
    <row r="54" spans="2:79" ht="12.75">
      <c r="B54" s="343"/>
      <c r="C54" s="311">
        <v>1988</v>
      </c>
      <c r="D54" s="345">
        <f t="shared" si="12"/>
        <v>2793533.3930868045</v>
      </c>
      <c r="E54" s="345">
        <f t="shared" si="13"/>
        <v>37379.9</v>
      </c>
      <c r="F54" s="345">
        <f t="shared" si="14"/>
        <v>2825074.758998302</v>
      </c>
      <c r="G54" s="344"/>
      <c r="H54" s="12"/>
      <c r="I54" s="339"/>
      <c r="J54" s="311">
        <v>1988</v>
      </c>
      <c r="K54" s="346">
        <f t="shared" si="23"/>
        <v>0.11217311245126282</v>
      </c>
      <c r="L54" s="347">
        <f t="shared" si="33"/>
        <v>316897.42862434074</v>
      </c>
      <c r="M54" s="351">
        <f t="shared" si="34"/>
        <v>0.011290849785276613</v>
      </c>
      <c r="N54" s="340"/>
      <c r="O54" s="15"/>
      <c r="P54" s="325"/>
      <c r="Q54" s="311">
        <v>1988</v>
      </c>
      <c r="R54" s="352">
        <f ca="1">E54*FORECAST(Q54,OFFSET('Saturations and Allocations'!$C$13,1,MATCH(B$6,SATURATIONS_HOUSING_TYPE,0)-1+MATCH(B$2,HVAC_SYSTEMS,0),2,1),'Saturations and Allocations'!$C$14:$C$15)</f>
        <v>3737.9900000000002</v>
      </c>
      <c r="S54" s="347">
        <f ca="1" t="shared" si="24"/>
        <v>16513.951185089187</v>
      </c>
      <c r="T54" s="347">
        <f ca="1" t="shared" si="35"/>
        <v>-7384.756901892144</v>
      </c>
      <c r="U54" s="347">
        <f ca="1" t="shared" si="36"/>
        <v>12867.184283197044</v>
      </c>
      <c r="V54" s="347">
        <f ca="1" t="shared" si="37"/>
        <v>0</v>
      </c>
      <c r="W54" s="347">
        <f ca="1" t="shared" si="38"/>
        <v>12867.184283197044</v>
      </c>
      <c r="X54" s="307"/>
      <c r="Z54" s="343"/>
      <c r="AA54" s="311">
        <v>1988</v>
      </c>
      <c r="AB54" s="345">
        <f t="shared" si="15"/>
        <v>325356.7069915652</v>
      </c>
      <c r="AC54" s="345">
        <f t="shared" si="16"/>
        <v>9049</v>
      </c>
      <c r="AD54" s="345">
        <f t="shared" si="17"/>
        <v>331676.1896546907</v>
      </c>
      <c r="AE54" s="344"/>
      <c r="AF54" s="12"/>
      <c r="AG54" s="339"/>
      <c r="AH54" s="311">
        <v>1988</v>
      </c>
      <c r="AI54" s="346">
        <f t="shared" si="18"/>
        <v>0.513114</v>
      </c>
      <c r="AJ54" s="347">
        <f t="shared" si="39"/>
        <v>170187.69637847695</v>
      </c>
      <c r="AK54" s="351">
        <f t="shared" si="40"/>
        <v>0.019423243865353435</v>
      </c>
      <c r="AL54" s="340"/>
      <c r="AM54" s="15"/>
      <c r="AN54" s="325"/>
      <c r="AO54" s="311">
        <v>1988</v>
      </c>
      <c r="AP54" s="352">
        <f ca="1">AC54*FORECAST(AO54,OFFSET('Saturations and Allocations'!$C$13,1,MATCH(Z$6,SATURATIONS_HOUSING_TYPE,0)-1+MATCH(Z$2,HVAC_SYSTEMS,0),2,1),'Saturations and Allocations'!$C$14:$C$15)</f>
        <v>7239.200000000001</v>
      </c>
      <c r="AQ54" s="347">
        <f ca="1" t="shared" si="25"/>
        <v>6728.0485039999985</v>
      </c>
      <c r="AR54" s="347">
        <f ca="1" t="shared" si="41"/>
        <v>-3996.5849727930217</v>
      </c>
      <c r="AS54" s="347">
        <f ca="1" t="shared" si="42"/>
        <v>9970.663531206977</v>
      </c>
      <c r="AT54" s="347">
        <f ca="1" t="shared" si="43"/>
        <v>7239.200000000001</v>
      </c>
      <c r="AU54" s="347">
        <f ca="1" t="shared" si="44"/>
        <v>2731.4635312069768</v>
      </c>
      <c r="AV54" s="307"/>
      <c r="AX54" s="343"/>
      <c r="AY54" s="311">
        <v>1988</v>
      </c>
      <c r="AZ54" s="345">
        <f t="shared" si="19"/>
        <v>3118890.1000783695</v>
      </c>
      <c r="BA54" s="345">
        <f t="shared" si="20"/>
        <v>46428.9</v>
      </c>
      <c r="BB54" s="345">
        <f t="shared" si="21"/>
        <v>3156750.9486529925</v>
      </c>
      <c r="BC54" s="344"/>
      <c r="BD54" s="12"/>
      <c r="BE54" s="339"/>
      <c r="BF54" s="311">
        <v>1988</v>
      </c>
      <c r="BG54" s="346">
        <f t="shared" si="26"/>
        <v>0.1542995101373646</v>
      </c>
      <c r="BH54" s="345">
        <f t="shared" si="22"/>
        <v>487085.1250028177</v>
      </c>
      <c r="BI54" s="351">
        <f t="shared" si="45"/>
        <v>0.012139205730163916</v>
      </c>
      <c r="BJ54" s="340"/>
      <c r="BK54" s="15"/>
      <c r="BL54" s="325"/>
      <c r="BM54" s="311">
        <v>1988</v>
      </c>
      <c r="BN54" s="345">
        <f ca="1" t="shared" si="27"/>
        <v>10977.19</v>
      </c>
      <c r="BO54" s="345">
        <f ca="1" t="shared" si="28"/>
        <v>23241.999689089185</v>
      </c>
      <c r="BP54" s="345">
        <f ca="1" t="shared" si="29"/>
        <v>-11381.341874685166</v>
      </c>
      <c r="BQ54" s="345">
        <f ca="1" t="shared" si="46"/>
        <v>22837.84781440402</v>
      </c>
      <c r="BR54" s="345">
        <f ca="1" t="shared" si="31"/>
        <v>7239.200000000001</v>
      </c>
      <c r="BS54" s="345">
        <f ca="1" t="shared" si="32"/>
        <v>15598.647814404021</v>
      </c>
      <c r="BT54" s="307"/>
      <c r="BV54" s="325"/>
      <c r="BW54" s="311">
        <v>1988</v>
      </c>
      <c r="BX54" s="359">
        <f ca="1" t="shared" si="10"/>
        <v>22837.84781440402</v>
      </c>
      <c r="BY54" s="359">
        <f t="shared" si="0"/>
        <v>0</v>
      </c>
      <c r="BZ54" s="360">
        <f ca="1" t="shared" si="11"/>
        <v>0</v>
      </c>
      <c r="CA54" s="307"/>
    </row>
    <row r="55" spans="2:79" ht="12.75">
      <c r="B55" s="343"/>
      <c r="C55" s="311">
        <v>1989</v>
      </c>
      <c r="D55" s="345">
        <f t="shared" si="12"/>
        <v>2825074.758998302</v>
      </c>
      <c r="E55" s="345">
        <f t="shared" si="13"/>
        <v>45933.1</v>
      </c>
      <c r="F55" s="345">
        <f t="shared" si="14"/>
        <v>2865182.582943837</v>
      </c>
      <c r="G55" s="344"/>
      <c r="H55" s="12"/>
      <c r="I55" s="339"/>
      <c r="J55" s="311">
        <v>1989</v>
      </c>
      <c r="K55" s="346">
        <f t="shared" si="23"/>
        <v>0.10960115104033896</v>
      </c>
      <c r="L55" s="347">
        <f t="shared" si="33"/>
        <v>314027.30903137603</v>
      </c>
      <c r="M55" s="351">
        <f t="shared" si="34"/>
        <v>0.01419708410115006</v>
      </c>
      <c r="N55" s="340"/>
      <c r="O55" s="15"/>
      <c r="P55" s="325"/>
      <c r="Q55" s="311">
        <v>1989</v>
      </c>
      <c r="R55" s="352">
        <f ca="1">E55*FORECAST(Q55,OFFSET('Saturations and Allocations'!$C$13,1,MATCH(B$6,SATURATIONS_HOUSING_TYPE,0)-1+MATCH(B$2,HVAC_SYSTEMS,0),2,1),'Saturations and Allocations'!$C$14:$C$15)</f>
        <v>4593.31</v>
      </c>
      <c r="S55" s="347">
        <f ca="1" t="shared" si="24"/>
        <v>16513.951185089187</v>
      </c>
      <c r="T55" s="347">
        <f ca="1" t="shared" si="35"/>
        <v>-7463.429592964708</v>
      </c>
      <c r="U55" s="347">
        <f ca="1" t="shared" si="36"/>
        <v>13643.83159212448</v>
      </c>
      <c r="V55" s="347">
        <f ca="1" t="shared" si="37"/>
        <v>0</v>
      </c>
      <c r="W55" s="347">
        <f ca="1" t="shared" si="38"/>
        <v>13643.83159212448</v>
      </c>
      <c r="X55" s="307"/>
      <c r="Z55" s="343"/>
      <c r="AA55" s="311">
        <v>1989</v>
      </c>
      <c r="AB55" s="345">
        <f t="shared" si="15"/>
        <v>331676.1896546907</v>
      </c>
      <c r="AC55" s="345">
        <f t="shared" si="16"/>
        <v>9967</v>
      </c>
      <c r="AD55" s="345">
        <f t="shared" si="17"/>
        <v>338942.84263268526</v>
      </c>
      <c r="AE55" s="344"/>
      <c r="AF55" s="12"/>
      <c r="AG55" s="339"/>
      <c r="AH55" s="311">
        <v>1989</v>
      </c>
      <c r="AI55" s="346">
        <f t="shared" si="18"/>
        <v>0.513114</v>
      </c>
      <c r="AJ55" s="347">
        <f t="shared" si="39"/>
        <v>173916.31775462764</v>
      </c>
      <c r="AK55" s="351">
        <f t="shared" si="40"/>
        <v>0.02190887740708769</v>
      </c>
      <c r="AL55" s="340"/>
      <c r="AM55" s="15"/>
      <c r="AN55" s="325"/>
      <c r="AO55" s="311">
        <v>1989</v>
      </c>
      <c r="AP55" s="352">
        <f ca="1">AC55*FORECAST(AO55,OFFSET('Saturations and Allocations'!$C$13,1,MATCH(Z$6,SATURATIONS_HOUSING_TYPE,0)-1+MATCH(Z$2,HVAC_SYSTEMS,0),2,1),'Saturations and Allocations'!$C$14:$C$15)</f>
        <v>7973.6</v>
      </c>
      <c r="AQ55" s="347">
        <f ca="1" t="shared" si="25"/>
        <v>6728.0485039999985</v>
      </c>
      <c r="AR55" s="347">
        <f ca="1" t="shared" si="41"/>
        <v>-4244.978623849305</v>
      </c>
      <c r="AS55" s="347">
        <f ca="1" t="shared" si="42"/>
        <v>10456.669880150694</v>
      </c>
      <c r="AT55" s="347">
        <f ca="1" t="shared" si="43"/>
        <v>7973.6</v>
      </c>
      <c r="AU55" s="347">
        <f ca="1" t="shared" si="44"/>
        <v>2483.0698801506933</v>
      </c>
      <c r="AV55" s="307"/>
      <c r="AX55" s="343"/>
      <c r="AY55" s="311">
        <v>1989</v>
      </c>
      <c r="AZ55" s="345">
        <f t="shared" si="19"/>
        <v>3156750.9486529925</v>
      </c>
      <c r="BA55" s="345">
        <f t="shared" si="20"/>
        <v>55900.1</v>
      </c>
      <c r="BB55" s="345">
        <f t="shared" si="21"/>
        <v>3204125.4255765225</v>
      </c>
      <c r="BC55" s="344"/>
      <c r="BD55" s="12"/>
      <c r="BE55" s="339"/>
      <c r="BF55" s="311">
        <v>1989</v>
      </c>
      <c r="BG55" s="346">
        <f t="shared" si="26"/>
        <v>0.15228605687251065</v>
      </c>
      <c r="BH55" s="345">
        <f t="shared" si="22"/>
        <v>487943.6267860037</v>
      </c>
      <c r="BI55" s="351">
        <f t="shared" si="45"/>
        <v>0.01500735334972969</v>
      </c>
      <c r="BJ55" s="340"/>
      <c r="BK55" s="15"/>
      <c r="BL55" s="325"/>
      <c r="BM55" s="311">
        <v>1989</v>
      </c>
      <c r="BN55" s="345">
        <f ca="1" t="shared" si="27"/>
        <v>12566.91</v>
      </c>
      <c r="BO55" s="345">
        <f ca="1" t="shared" si="28"/>
        <v>23241.999689089185</v>
      </c>
      <c r="BP55" s="345">
        <f ca="1" t="shared" si="29"/>
        <v>-11708.408216814012</v>
      </c>
      <c r="BQ55" s="345">
        <f ca="1" t="shared" si="46"/>
        <v>24100.501472275173</v>
      </c>
      <c r="BR55" s="345">
        <f ca="1" t="shared" si="31"/>
        <v>7973.6</v>
      </c>
      <c r="BS55" s="345">
        <f ca="1" t="shared" si="32"/>
        <v>16126.901472275173</v>
      </c>
      <c r="BT55" s="307"/>
      <c r="BV55" s="325"/>
      <c r="BW55" s="311">
        <v>1989</v>
      </c>
      <c r="BX55" s="359">
        <f ca="1" t="shared" si="10"/>
        <v>24100.501472275173</v>
      </c>
      <c r="BY55" s="359">
        <f t="shared" si="0"/>
        <v>0</v>
      </c>
      <c r="BZ55" s="360">
        <f ca="1" t="shared" si="11"/>
        <v>0</v>
      </c>
      <c r="CA55" s="307"/>
    </row>
    <row r="56" spans="2:79" ht="12.75">
      <c r="B56" s="343"/>
      <c r="C56" s="311">
        <v>1990</v>
      </c>
      <c r="D56" s="345">
        <f t="shared" si="12"/>
        <v>2865182.582943837</v>
      </c>
      <c r="E56" s="345">
        <f t="shared" si="13"/>
        <v>52299.2</v>
      </c>
      <c r="F56" s="345">
        <f t="shared" si="14"/>
        <v>2911669.734817315</v>
      </c>
      <c r="G56" s="344"/>
      <c r="H56" s="12"/>
      <c r="I56" s="339"/>
      <c r="J56" s="311">
        <v>1990</v>
      </c>
      <c r="K56" s="346">
        <f t="shared" si="23"/>
        <v>0.10702918962941421</v>
      </c>
      <c r="L56" s="347">
        <f t="shared" si="33"/>
        <v>311633.6521859886</v>
      </c>
      <c r="M56" s="351">
        <f t="shared" si="34"/>
        <v>0.016224847990564895</v>
      </c>
      <c r="N56" s="340"/>
      <c r="O56" s="15"/>
      <c r="P56" s="325"/>
      <c r="Q56" s="311">
        <v>1990</v>
      </c>
      <c r="R56" s="352">
        <f ca="1">E56*FORECAST(Q56,OFFSET('Saturations and Allocations'!$C$13,1,MATCH(B$6,SATURATIONS_HOUSING_TYPE,0)-1+MATCH(B$2,HVAC_SYSTEMS,0),2,1),'Saturations and Allocations'!$C$14:$C$15)</f>
        <v>5229.92</v>
      </c>
      <c r="S56" s="347">
        <f ca="1" t="shared" si="24"/>
        <v>16513.951185089187</v>
      </c>
      <c r="T56" s="347">
        <f ca="1" t="shared" si="35"/>
        <v>-7623.576845387421</v>
      </c>
      <c r="U56" s="347">
        <f ca="1" t="shared" si="36"/>
        <v>14120.294339701764</v>
      </c>
      <c r="V56" s="347">
        <f ca="1" t="shared" si="37"/>
        <v>0</v>
      </c>
      <c r="W56" s="347">
        <f ca="1" t="shared" si="38"/>
        <v>14120.294339701764</v>
      </c>
      <c r="X56" s="307"/>
      <c r="Z56" s="343"/>
      <c r="AA56" s="311">
        <v>1990</v>
      </c>
      <c r="AB56" s="345">
        <f t="shared" si="15"/>
        <v>338942.84263268526</v>
      </c>
      <c r="AC56" s="345">
        <f t="shared" si="16"/>
        <v>11875</v>
      </c>
      <c r="AD56" s="345">
        <f t="shared" si="17"/>
        <v>348146.35418278835</v>
      </c>
      <c r="AE56" s="344"/>
      <c r="AF56" s="12"/>
      <c r="AG56" s="339"/>
      <c r="AH56" s="311">
        <v>1990</v>
      </c>
      <c r="AI56" s="346">
        <f t="shared" si="18"/>
        <v>0.513114</v>
      </c>
      <c r="AJ56" s="347">
        <f t="shared" si="39"/>
        <v>178638.76838014723</v>
      </c>
      <c r="AK56" s="351">
        <f t="shared" si="40"/>
        <v>0.027153579873869793</v>
      </c>
      <c r="AL56" s="340"/>
      <c r="AM56" s="15"/>
      <c r="AN56" s="325"/>
      <c r="AO56" s="311">
        <v>1990</v>
      </c>
      <c r="AP56" s="352">
        <f ca="1">AC56*FORECAST(AO56,OFFSET('Saturations and Allocations'!$C$13,1,MATCH(Z$6,SATURATIONS_HOUSING_TYPE,0)-1+MATCH(Z$2,HVAC_SYSTEMS,0),2,1),'Saturations and Allocations'!$C$14:$C$15)</f>
        <v>9500</v>
      </c>
      <c r="AQ56" s="347">
        <f ca="1" t="shared" si="25"/>
        <v>6728.0485039999985</v>
      </c>
      <c r="AR56" s="347">
        <f ca="1" t="shared" si="41"/>
        <v>-4777.549374480412</v>
      </c>
      <c r="AS56" s="347">
        <f ca="1" t="shared" si="42"/>
        <v>11450.499129519587</v>
      </c>
      <c r="AT56" s="347">
        <f ca="1" t="shared" si="43"/>
        <v>9500</v>
      </c>
      <c r="AU56" s="347">
        <f ca="1" t="shared" si="44"/>
        <v>1950.4991295195869</v>
      </c>
      <c r="AV56" s="307"/>
      <c r="AX56" s="343"/>
      <c r="AY56" s="311">
        <v>1990</v>
      </c>
      <c r="AZ56" s="345">
        <f t="shared" si="19"/>
        <v>3204125.4255765225</v>
      </c>
      <c r="BA56" s="345">
        <f t="shared" si="20"/>
        <v>64174.2</v>
      </c>
      <c r="BB56" s="345">
        <f t="shared" si="21"/>
        <v>3259816.089000103</v>
      </c>
      <c r="BC56" s="344"/>
      <c r="BD56" s="12"/>
      <c r="BE56" s="339"/>
      <c r="BF56" s="311">
        <v>1990</v>
      </c>
      <c r="BG56" s="346">
        <f t="shared" si="26"/>
        <v>0.15039879771760964</v>
      </c>
      <c r="BH56" s="345">
        <f t="shared" si="22"/>
        <v>490272.42056613584</v>
      </c>
      <c r="BI56" s="351">
        <f t="shared" si="45"/>
        <v>0.01738092490981691</v>
      </c>
      <c r="BJ56" s="340"/>
      <c r="BK56" s="15"/>
      <c r="BL56" s="325"/>
      <c r="BM56" s="311">
        <v>1990</v>
      </c>
      <c r="BN56" s="345">
        <f ca="1" t="shared" si="27"/>
        <v>14729.92</v>
      </c>
      <c r="BO56" s="345">
        <f ca="1" t="shared" si="28"/>
        <v>23241.999689089185</v>
      </c>
      <c r="BP56" s="345">
        <f ca="1" t="shared" si="29"/>
        <v>-12401.126219867832</v>
      </c>
      <c r="BQ56" s="345">
        <f ca="1" t="shared" si="46"/>
        <v>25570.793469221353</v>
      </c>
      <c r="BR56" s="345">
        <f ca="1" t="shared" si="31"/>
        <v>9500</v>
      </c>
      <c r="BS56" s="345">
        <f ca="1" t="shared" si="32"/>
        <v>16070.793469221351</v>
      </c>
      <c r="BT56" s="307"/>
      <c r="BV56" s="325"/>
      <c r="BW56" s="311">
        <v>1990</v>
      </c>
      <c r="BX56" s="359">
        <f ca="1" t="shared" si="10"/>
        <v>25570.793469221353</v>
      </c>
      <c r="BY56" s="359">
        <f t="shared" si="0"/>
        <v>0</v>
      </c>
      <c r="BZ56" s="360">
        <f ca="1" t="shared" si="11"/>
        <v>0</v>
      </c>
      <c r="CA56" s="307"/>
    </row>
    <row r="57" spans="2:79" ht="13.5" thickBot="1">
      <c r="B57" s="343"/>
      <c r="C57" s="311">
        <v>1991</v>
      </c>
      <c r="D57" s="345">
        <f t="shared" si="12"/>
        <v>2911669.734817315</v>
      </c>
      <c r="E57" s="345">
        <f t="shared" si="13"/>
        <v>45813.8</v>
      </c>
      <c r="F57" s="345">
        <f t="shared" si="14"/>
        <v>2951684.684581003</v>
      </c>
      <c r="G57" s="344"/>
      <c r="H57" s="12"/>
      <c r="I57" s="339"/>
      <c r="J57" s="311">
        <v>1991</v>
      </c>
      <c r="K57" s="346">
        <f t="shared" si="23"/>
        <v>0.10445722821848946</v>
      </c>
      <c r="L57" s="347">
        <f t="shared" si="33"/>
        <v>308324.80072629795</v>
      </c>
      <c r="M57" s="351">
        <f t="shared" si="34"/>
        <v>0.013742956244382931</v>
      </c>
      <c r="N57" s="340"/>
      <c r="O57" s="15"/>
      <c r="P57" s="325"/>
      <c r="Q57" s="311">
        <v>1991</v>
      </c>
      <c r="R57" s="352">
        <f ca="1">E57*FORECAST(Q57,OFFSET('Saturations and Allocations'!$C$13,1,MATCH(B$6,SATURATIONS_HOUSING_TYPE,0)-1+MATCH(B$2,HVAC_SYSTEMS,0),2,1),'Saturations and Allocations'!$C$14:$C$15)</f>
        <v>4581.38</v>
      </c>
      <c r="S57" s="347">
        <f ca="1" t="shared" si="24"/>
        <v>16513.951185089187</v>
      </c>
      <c r="T57" s="347">
        <f ca="1" t="shared" si="35"/>
        <v>-7890.231459690661</v>
      </c>
      <c r="U57" s="347">
        <f ca="1" t="shared" si="36"/>
        <v>13205.099725398526</v>
      </c>
      <c r="V57" s="347">
        <f ca="1" t="shared" si="37"/>
        <v>0</v>
      </c>
      <c r="W57" s="347">
        <f ca="1" t="shared" si="38"/>
        <v>13205.099725398526</v>
      </c>
      <c r="X57" s="307"/>
      <c r="Z57" s="343"/>
      <c r="AA57" s="311">
        <v>1991</v>
      </c>
      <c r="AB57" s="345">
        <f t="shared" si="15"/>
        <v>348146.35418278835</v>
      </c>
      <c r="AC57" s="345">
        <f t="shared" si="16"/>
        <v>11815</v>
      </c>
      <c r="AD57" s="345">
        <f t="shared" si="17"/>
        <v>357318.41589383007</v>
      </c>
      <c r="AE57" s="344"/>
      <c r="AF57" s="12"/>
      <c r="AG57" s="339"/>
      <c r="AH57" s="311">
        <v>1991</v>
      </c>
      <c r="AI57" s="346">
        <f t="shared" si="18"/>
        <v>0.513114</v>
      </c>
      <c r="AJ57" s="347">
        <f t="shared" si="39"/>
        <v>183345.0816529467</v>
      </c>
      <c r="AK57" s="351">
        <f t="shared" si="40"/>
        <v>0.026345419392862723</v>
      </c>
      <c r="AL57" s="340"/>
      <c r="AM57" s="15"/>
      <c r="AN57" s="325"/>
      <c r="AO57" s="311">
        <v>1991</v>
      </c>
      <c r="AP57" s="352">
        <f ca="1">AC57*FORECAST(AO57,OFFSET('Saturations and Allocations'!$C$13,1,MATCH(Z$6,SATURATIONS_HOUSING_TYPE,0)-1+MATCH(Z$2,HVAC_SYSTEMS,0),2,1),'Saturations and Allocations'!$C$14:$C$15)</f>
        <v>9452</v>
      </c>
      <c r="AQ57" s="347">
        <f ca="1" t="shared" si="25"/>
        <v>6728.0485039999985</v>
      </c>
      <c r="AR57" s="347">
        <f ca="1" t="shared" si="41"/>
        <v>-4745.686727200518</v>
      </c>
      <c r="AS57" s="347">
        <f ca="1" t="shared" si="42"/>
        <v>11434.36177679948</v>
      </c>
      <c r="AT57" s="347">
        <f ca="1" t="shared" si="43"/>
        <v>9452</v>
      </c>
      <c r="AU57" s="347">
        <f ca="1" t="shared" si="44"/>
        <v>1982.3617767994801</v>
      </c>
      <c r="AV57" s="307"/>
      <c r="AX57" s="343"/>
      <c r="AY57" s="311">
        <v>1991</v>
      </c>
      <c r="AZ57" s="345">
        <f t="shared" si="19"/>
        <v>3259816.089000103</v>
      </c>
      <c r="BA57" s="345">
        <f t="shared" si="20"/>
        <v>57628.8</v>
      </c>
      <c r="BB57" s="345">
        <f t="shared" si="21"/>
        <v>3309003.100474833</v>
      </c>
      <c r="BC57" s="344"/>
      <c r="BD57" s="12"/>
      <c r="BE57" s="339"/>
      <c r="BF57" s="311">
        <v>1991</v>
      </c>
      <c r="BG57" s="346">
        <f t="shared" si="26"/>
        <v>0.1485855006629312</v>
      </c>
      <c r="BH57" s="345">
        <f t="shared" si="22"/>
        <v>491669.88237924466</v>
      </c>
      <c r="BI57" s="351">
        <f t="shared" si="45"/>
        <v>0.015088891560694595</v>
      </c>
      <c r="BJ57" s="340"/>
      <c r="BK57" s="15"/>
      <c r="BL57" s="325"/>
      <c r="BM57" s="311">
        <v>1991</v>
      </c>
      <c r="BN57" s="345">
        <f ca="1" t="shared" si="27"/>
        <v>14033.380000000001</v>
      </c>
      <c r="BO57" s="345">
        <f ca="1" t="shared" si="28"/>
        <v>23241.999689089185</v>
      </c>
      <c r="BP57" s="345">
        <f ca="1" t="shared" si="29"/>
        <v>-12635.91818689118</v>
      </c>
      <c r="BQ57" s="345">
        <f ca="1" t="shared" si="46"/>
        <v>24639.461502198006</v>
      </c>
      <c r="BR57" s="345">
        <f ca="1" t="shared" si="31"/>
        <v>9452</v>
      </c>
      <c r="BS57" s="345">
        <f ca="1" t="shared" si="32"/>
        <v>15187.461502198006</v>
      </c>
      <c r="BT57" s="307"/>
      <c r="BV57" s="325"/>
      <c r="BW57" s="311">
        <v>1991</v>
      </c>
      <c r="BX57" s="359">
        <f ca="1" t="shared" si="10"/>
        <v>24639.461502198006</v>
      </c>
      <c r="BY57" s="359">
        <f t="shared" si="0"/>
        <v>0</v>
      </c>
      <c r="BZ57" s="360">
        <f ca="1" t="shared" si="11"/>
        <v>0</v>
      </c>
      <c r="CA57" s="307"/>
    </row>
    <row r="58" spans="2:79" ht="13.5" thickBot="1">
      <c r="B58" s="343"/>
      <c r="C58" s="311">
        <v>1992</v>
      </c>
      <c r="D58" s="345">
        <f t="shared" si="12"/>
        <v>2951684.684581003</v>
      </c>
      <c r="E58" s="345">
        <f t="shared" si="13"/>
        <v>56749.3</v>
      </c>
      <c r="F58" s="345">
        <f t="shared" si="14"/>
        <v>3002648.30226538</v>
      </c>
      <c r="G58" s="344"/>
      <c r="H58" s="12"/>
      <c r="I58" s="339"/>
      <c r="J58" s="311">
        <v>1992</v>
      </c>
      <c r="K58" s="349">
        <f>INDEX(SATURATIONS_TABLE,MATCH(J58,SATURATIONS_YEARS,0),MATCH(B$6,SATURATIONS_HOUSING_TYPE,0)-1+MATCH(B$2,HVAC_SYSTEMS,0))</f>
        <v>0.10188526680756511</v>
      </c>
      <c r="L58" s="347">
        <f t="shared" si="33"/>
        <v>305925.62340559065</v>
      </c>
      <c r="M58" s="351">
        <f t="shared" si="34"/>
        <v>0.017265942378805077</v>
      </c>
      <c r="N58" s="340"/>
      <c r="O58" s="15"/>
      <c r="P58" s="325"/>
      <c r="Q58" s="311">
        <v>1992</v>
      </c>
      <c r="R58" s="352">
        <f ca="1">E58*FORECAST(Q58,OFFSET('Saturations and Allocations'!$C$13,1,MATCH(B$6,SATURATIONS_HOUSING_TYPE,0)-1+MATCH(B$2,HVAC_SYSTEMS,0),2,1),'Saturations and Allocations'!$C$14:$C$15)</f>
        <v>5674.93</v>
      </c>
      <c r="S58" s="347">
        <f ca="1" t="shared" si="24"/>
        <v>16513.951185089187</v>
      </c>
      <c r="T58" s="347">
        <f ca="1" t="shared" si="35"/>
        <v>-8074.107320707299</v>
      </c>
      <c r="U58" s="347">
        <f ca="1" t="shared" si="36"/>
        <v>14114.773864381888</v>
      </c>
      <c r="V58" s="347">
        <f ca="1" t="shared" si="37"/>
        <v>0</v>
      </c>
      <c r="W58" s="347">
        <f ca="1" t="shared" si="38"/>
        <v>14114.773864381888</v>
      </c>
      <c r="X58" s="307"/>
      <c r="Z58" s="343"/>
      <c r="AA58" s="311">
        <v>1992</v>
      </c>
      <c r="AB58" s="345">
        <f t="shared" si="15"/>
        <v>357318.41589383007</v>
      </c>
      <c r="AC58" s="345">
        <f t="shared" si="16"/>
        <v>13784</v>
      </c>
      <c r="AD58" s="345">
        <f t="shared" si="17"/>
        <v>368487.72265062656</v>
      </c>
      <c r="AE58" s="344"/>
      <c r="AF58" s="12"/>
      <c r="AG58" s="339"/>
      <c r="AH58" s="311">
        <v>1992</v>
      </c>
      <c r="AI58" s="349">
        <f>INDEX(SATURATIONS_TABLE,MATCH(AH58,SATURATIONS_YEARS,0),MATCH(Z$6,SATURATIONS_HOUSING_TYPE,0)-1+MATCH(Z$2,HVAC_SYSTEMS,0))</f>
        <v>0.5131140000000001</v>
      </c>
      <c r="AJ58" s="347">
        <f t="shared" si="39"/>
        <v>189076.20932015363</v>
      </c>
      <c r="AK58" s="351">
        <f t="shared" si="40"/>
        <v>0.031258693255024506</v>
      </c>
      <c r="AL58" s="340"/>
      <c r="AM58" s="15"/>
      <c r="AN58" s="325"/>
      <c r="AO58" s="311">
        <v>1992</v>
      </c>
      <c r="AP58" s="352">
        <f ca="1">AC58*FORECAST(AO58,OFFSET('Saturations and Allocations'!$C$13,1,MATCH(Z$6,SATURATIONS_HOUSING_TYPE,0)-1+MATCH(Z$2,HVAC_SYSTEMS,0),2,1),'Saturations and Allocations'!$C$14:$C$15)</f>
        <v>11027.2</v>
      </c>
      <c r="AQ58" s="347">
        <f ca="1" t="shared" si="25"/>
        <v>6728.0485039999985</v>
      </c>
      <c r="AR58" s="347">
        <f ca="1" t="shared" si="41"/>
        <v>-5296.072332793079</v>
      </c>
      <c r="AS58" s="347">
        <f ca="1" t="shared" si="42"/>
        <v>12459.17617120692</v>
      </c>
      <c r="AT58" s="347">
        <f ca="1" t="shared" si="43"/>
        <v>11027.2</v>
      </c>
      <c r="AU58" s="347">
        <f ca="1" t="shared" si="44"/>
        <v>1431.9761712069194</v>
      </c>
      <c r="AV58" s="307"/>
      <c r="AX58" s="343"/>
      <c r="AY58" s="311">
        <v>1992</v>
      </c>
      <c r="AZ58" s="345">
        <f t="shared" si="19"/>
        <v>3309003.100474833</v>
      </c>
      <c r="BA58" s="345">
        <f t="shared" si="20"/>
        <v>70533.3</v>
      </c>
      <c r="BB58" s="345">
        <f t="shared" si="21"/>
        <v>3371136.0249160067</v>
      </c>
      <c r="BC58" s="344"/>
      <c r="BD58" s="12"/>
      <c r="BE58" s="339"/>
      <c r="BF58" s="311">
        <v>1992</v>
      </c>
      <c r="BG58" s="346">
        <f t="shared" si="26"/>
        <v>0.146835318737421</v>
      </c>
      <c r="BH58" s="345">
        <f t="shared" si="22"/>
        <v>495001.8327257443</v>
      </c>
      <c r="BI58" s="351">
        <f t="shared" si="45"/>
        <v>0.018776931466838898</v>
      </c>
      <c r="BJ58" s="340"/>
      <c r="BK58" s="15"/>
      <c r="BL58" s="325"/>
      <c r="BM58" s="311">
        <v>1992</v>
      </c>
      <c r="BN58" s="345">
        <f ca="1" t="shared" si="27"/>
        <v>16702.13</v>
      </c>
      <c r="BO58" s="345">
        <f ca="1" t="shared" si="28"/>
        <v>23241.999689089185</v>
      </c>
      <c r="BP58" s="345">
        <f ca="1" t="shared" si="29"/>
        <v>-13370.179653500378</v>
      </c>
      <c r="BQ58" s="345">
        <f ca="1" t="shared" si="46"/>
        <v>26573.95003558881</v>
      </c>
      <c r="BR58" s="345">
        <f ca="1" t="shared" si="31"/>
        <v>11027.2</v>
      </c>
      <c r="BS58" s="345">
        <f ca="1" t="shared" si="32"/>
        <v>15546.750035588808</v>
      </c>
      <c r="BT58" s="307"/>
      <c r="BV58" s="325"/>
      <c r="BW58" s="311">
        <v>1992</v>
      </c>
      <c r="BX58" s="359">
        <f ca="1" t="shared" si="10"/>
        <v>26573.95003558881</v>
      </c>
      <c r="BY58" s="359">
        <f t="shared" si="0"/>
        <v>0</v>
      </c>
      <c r="BZ58" s="360">
        <f ca="1" t="shared" si="11"/>
        <v>0</v>
      </c>
      <c r="CA58" s="307"/>
    </row>
    <row r="59" spans="2:79" ht="12.75">
      <c r="B59" s="343"/>
      <c r="C59" s="311">
        <v>1993</v>
      </c>
      <c r="D59" s="345">
        <f t="shared" si="12"/>
        <v>3002648.30226538</v>
      </c>
      <c r="E59" s="345">
        <f t="shared" si="13"/>
        <v>62971.3</v>
      </c>
      <c r="F59" s="345">
        <f t="shared" si="14"/>
        <v>3059847.0579689774</v>
      </c>
      <c r="G59" s="344"/>
      <c r="H59" s="12"/>
      <c r="I59" s="339"/>
      <c r="J59" s="311">
        <v>1993</v>
      </c>
      <c r="K59" s="346">
        <f>(K$77-K$58)/(J$77-J$58)+K58</f>
        <v>0.09931330539664063</v>
      </c>
      <c r="L59" s="347">
        <f t="shared" si="33"/>
        <v>303883.5253350854</v>
      </c>
      <c r="M59" s="351">
        <f t="shared" si="34"/>
        <v>0.0190494356799773</v>
      </c>
      <c r="N59" s="340"/>
      <c r="O59" s="15"/>
      <c r="P59" s="325"/>
      <c r="Q59" s="311">
        <v>1993</v>
      </c>
      <c r="R59" s="352">
        <f ca="1">E59*FORECAST(Q59,OFFSET('Saturations and Allocations'!$C$13,1,MATCH(B$6,SATURATIONS_HOUSING_TYPE,0)-1+MATCH(B$2,HVAC_SYSTEMS,0),2,1),'Saturations and Allocations'!$C$14:$C$15)</f>
        <v>6297.130000000001</v>
      </c>
      <c r="S59" s="347">
        <f ca="1" t="shared" si="24"/>
        <v>16513.951185089187</v>
      </c>
      <c r="T59" s="347">
        <f ca="1">L59-L58-R59</f>
        <v>-8339.22807050525</v>
      </c>
      <c r="U59" s="347">
        <f ca="1" t="shared" si="36"/>
        <v>14471.853114583937</v>
      </c>
      <c r="V59" s="347">
        <f ca="1" t="shared" si="37"/>
        <v>0</v>
      </c>
      <c r="W59" s="347">
        <f ca="1" t="shared" si="38"/>
        <v>14471.853114583937</v>
      </c>
      <c r="X59" s="307"/>
      <c r="Z59" s="343"/>
      <c r="AA59" s="311">
        <v>1993</v>
      </c>
      <c r="AB59" s="345">
        <f t="shared" si="15"/>
        <v>368487.72265062656</v>
      </c>
      <c r="AC59" s="345">
        <f t="shared" si="16"/>
        <v>17535</v>
      </c>
      <c r="AD59" s="345">
        <f t="shared" si="17"/>
        <v>383435.97259875573</v>
      </c>
      <c r="AE59" s="344"/>
      <c r="AF59" s="12"/>
      <c r="AG59" s="339"/>
      <c r="AH59" s="311">
        <v>1993</v>
      </c>
      <c r="AI59" s="346">
        <f>(AI$77-AI$58)/(AH$77-AH$58)+AI58</f>
        <v>0.5131140000000001</v>
      </c>
      <c r="AJ59" s="347">
        <f t="shared" si="39"/>
        <v>196746.365644038</v>
      </c>
      <c r="AK59" s="351">
        <f t="shared" si="40"/>
        <v>0.04056648031745147</v>
      </c>
      <c r="AL59" s="340"/>
      <c r="AM59" s="15"/>
      <c r="AN59" s="325"/>
      <c r="AO59" s="311">
        <v>1993</v>
      </c>
      <c r="AP59" s="352">
        <f ca="1">AC59*FORECAST(AO59,OFFSET('Saturations and Allocations'!$C$13,1,MATCH(Z$6,SATURATIONS_HOUSING_TYPE,0)-1+MATCH(Z$2,HVAC_SYSTEMS,0),2,1),'Saturations and Allocations'!$C$14:$C$15)</f>
        <v>14028</v>
      </c>
      <c r="AQ59" s="347">
        <f ca="1" t="shared" si="25"/>
        <v>6728.0485039999985</v>
      </c>
      <c r="AR59" s="347">
        <f ca="1" t="shared" si="41"/>
        <v>-6357.843676115648</v>
      </c>
      <c r="AS59" s="347">
        <f ca="1" t="shared" si="42"/>
        <v>14398.20482788435</v>
      </c>
      <c r="AT59" s="347">
        <f ca="1" t="shared" si="43"/>
        <v>14028</v>
      </c>
      <c r="AU59" s="347">
        <f ca="1" t="shared" si="44"/>
        <v>370.2048278843504</v>
      </c>
      <c r="AV59" s="307"/>
      <c r="AX59" s="343"/>
      <c r="AY59" s="311">
        <v>1993</v>
      </c>
      <c r="AZ59" s="345">
        <f t="shared" si="19"/>
        <v>3371136.0249160067</v>
      </c>
      <c r="BA59" s="345">
        <f t="shared" si="20"/>
        <v>80506.3</v>
      </c>
      <c r="BB59" s="345">
        <f t="shared" si="21"/>
        <v>3443283.030567733</v>
      </c>
      <c r="BC59" s="344"/>
      <c r="BD59" s="12"/>
      <c r="BE59" s="339"/>
      <c r="BF59" s="311">
        <v>1993</v>
      </c>
      <c r="BG59" s="346">
        <f t="shared" si="26"/>
        <v>0.14539318625125594</v>
      </c>
      <c r="BH59" s="345">
        <f t="shared" si="22"/>
        <v>500629.8909791234</v>
      </c>
      <c r="BI59" s="351">
        <f t="shared" si="45"/>
        <v>0.021401392622097948</v>
      </c>
      <c r="BJ59" s="340"/>
      <c r="BK59" s="15"/>
      <c r="BL59" s="325"/>
      <c r="BM59" s="311">
        <v>1993</v>
      </c>
      <c r="BN59" s="345">
        <f ca="1" t="shared" si="27"/>
        <v>20325.13</v>
      </c>
      <c r="BO59" s="345">
        <f ca="1" t="shared" si="28"/>
        <v>23241.999689089185</v>
      </c>
      <c r="BP59" s="345">
        <f ca="1" t="shared" si="29"/>
        <v>-14697.071746620899</v>
      </c>
      <c r="BQ59" s="345">
        <f ca="1" t="shared" si="46"/>
        <v>28870.057942468287</v>
      </c>
      <c r="BR59" s="345">
        <f ca="1" t="shared" si="31"/>
        <v>14028</v>
      </c>
      <c r="BS59" s="345">
        <f ca="1" t="shared" si="32"/>
        <v>14842.057942468287</v>
      </c>
      <c r="BT59" s="307"/>
      <c r="BV59" s="325"/>
      <c r="BW59" s="311">
        <v>1993</v>
      </c>
      <c r="BX59" s="359">
        <f ca="1" t="shared" si="10"/>
        <v>28870.057942468287</v>
      </c>
      <c r="BY59" s="359">
        <f t="shared" si="0"/>
        <v>0</v>
      </c>
      <c r="BZ59" s="360">
        <f ca="1" t="shared" si="11"/>
        <v>0</v>
      </c>
      <c r="CA59" s="307"/>
    </row>
    <row r="60" spans="2:79" ht="12.75">
      <c r="B60" s="343"/>
      <c r="C60" s="311">
        <v>1994</v>
      </c>
      <c r="D60" s="345">
        <f t="shared" si="12"/>
        <v>3059847.0579689774</v>
      </c>
      <c r="E60" s="345">
        <f t="shared" si="13"/>
        <v>66755.1</v>
      </c>
      <c r="F60" s="345">
        <f t="shared" si="14"/>
        <v>3120842.721858227</v>
      </c>
      <c r="G60" s="344"/>
      <c r="H60" s="12"/>
      <c r="I60" s="339"/>
      <c r="J60" s="311">
        <v>1994</v>
      </c>
      <c r="K60" s="346">
        <f aca="true" t="shared" si="47" ref="K60:K76">(K$77-K$58)/(J$77-J$58)+K59</f>
        <v>0.09674134398571616</v>
      </c>
      <c r="L60" s="347">
        <f t="shared" si="33"/>
        <v>301914.5192806054</v>
      </c>
      <c r="M60" s="351">
        <f t="shared" si="34"/>
        <v>0.019934219826574173</v>
      </c>
      <c r="N60" s="340"/>
      <c r="O60" s="15"/>
      <c r="P60" s="325"/>
      <c r="Q60" s="311">
        <v>1994</v>
      </c>
      <c r="R60" s="352">
        <f ca="1">E60*FORECAST(Q60,OFFSET('Saturations and Allocations'!$C$13,1,MATCH(B$6,SATURATIONS_HOUSING_TYPE,0)-1+MATCH(B$2,HVAC_SYSTEMS,0),2,1),'Saturations and Allocations'!$C$14:$C$15)</f>
        <v>6675.510000000001</v>
      </c>
      <c r="S60" s="347">
        <f ca="1" t="shared" si="24"/>
        <v>16513.951185089187</v>
      </c>
      <c r="T60" s="347">
        <f ca="1" t="shared" si="35"/>
        <v>-8644.51605447998</v>
      </c>
      <c r="U60" s="347">
        <f ca="1" t="shared" si="36"/>
        <v>14544.945130609209</v>
      </c>
      <c r="V60" s="347">
        <f ca="1" t="shared" si="37"/>
        <v>0</v>
      </c>
      <c r="W60" s="347">
        <f ca="1" t="shared" si="38"/>
        <v>14544.945130609209</v>
      </c>
      <c r="X60" s="307"/>
      <c r="Z60" s="343"/>
      <c r="AA60" s="311">
        <v>1994</v>
      </c>
      <c r="AB60" s="345">
        <f t="shared" si="15"/>
        <v>383435.97259875573</v>
      </c>
      <c r="AC60" s="345">
        <f t="shared" si="16"/>
        <v>20512</v>
      </c>
      <c r="AD60" s="345">
        <f t="shared" si="17"/>
        <v>401388.8671097097</v>
      </c>
      <c r="AE60" s="344"/>
      <c r="AF60" s="12"/>
      <c r="AG60" s="339"/>
      <c r="AH60" s="311">
        <v>1994</v>
      </c>
      <c r="AI60" s="346">
        <f aca="true" t="shared" si="48" ref="AI60:AI76">(AI$77-AI$58)/(AH$77-AH$58)+AI59</f>
        <v>0.5131140000000001</v>
      </c>
      <c r="AJ60" s="347">
        <f t="shared" si="39"/>
        <v>205958.24715813162</v>
      </c>
      <c r="AK60" s="351">
        <f t="shared" si="40"/>
        <v>0.04682110128916017</v>
      </c>
      <c r="AL60" s="340"/>
      <c r="AM60" s="15"/>
      <c r="AN60" s="325"/>
      <c r="AO60" s="311">
        <v>1994</v>
      </c>
      <c r="AP60" s="352">
        <f ca="1">AC60*FORECAST(AO60,OFFSET('Saturations and Allocations'!$C$13,1,MATCH(Z$6,SATURATIONS_HOUSING_TYPE,0)-1+MATCH(Z$2,HVAC_SYSTEMS,0),2,1),'Saturations and Allocations'!$C$14:$C$15)</f>
        <v>16409.600000000002</v>
      </c>
      <c r="AQ60" s="347">
        <f ca="1" t="shared" si="25"/>
        <v>6728.0485039999985</v>
      </c>
      <c r="AR60" s="347">
        <f ca="1" t="shared" si="41"/>
        <v>-7197.718485906367</v>
      </c>
      <c r="AS60" s="347">
        <f ca="1" t="shared" si="42"/>
        <v>15939.930018093633</v>
      </c>
      <c r="AT60" s="347">
        <f ca="1" t="shared" si="43"/>
        <v>16409.600000000002</v>
      </c>
      <c r="AU60" s="347">
        <f ca="1" t="shared" si="44"/>
        <v>-469.6699819063688</v>
      </c>
      <c r="AV60" s="307"/>
      <c r="AX60" s="343"/>
      <c r="AY60" s="311">
        <v>1994</v>
      </c>
      <c r="AZ60" s="345">
        <f t="shared" si="19"/>
        <v>3443283.030567733</v>
      </c>
      <c r="BA60" s="345">
        <f t="shared" si="20"/>
        <v>87267.1</v>
      </c>
      <c r="BB60" s="345">
        <f t="shared" si="21"/>
        <v>3522231.588967937</v>
      </c>
      <c r="BC60" s="344"/>
      <c r="BD60" s="12"/>
      <c r="BE60" s="339"/>
      <c r="BF60" s="311">
        <v>1994</v>
      </c>
      <c r="BG60" s="346">
        <f t="shared" si="26"/>
        <v>0.14419062279421294</v>
      </c>
      <c r="BH60" s="345">
        <f t="shared" si="22"/>
        <v>507872.76643873705</v>
      </c>
      <c r="BI60" s="351">
        <f t="shared" si="45"/>
        <v>0.022928280277670687</v>
      </c>
      <c r="BJ60" s="340"/>
      <c r="BK60" s="15"/>
      <c r="BL60" s="325"/>
      <c r="BM60" s="311">
        <v>1994</v>
      </c>
      <c r="BN60" s="345">
        <f ca="1" t="shared" si="27"/>
        <v>23085.110000000004</v>
      </c>
      <c r="BO60" s="345">
        <f ca="1" t="shared" si="28"/>
        <v>23241.999689089185</v>
      </c>
      <c r="BP60" s="345">
        <f ca="1" t="shared" si="29"/>
        <v>-15842.234540386347</v>
      </c>
      <c r="BQ60" s="345">
        <f ca="1" t="shared" si="46"/>
        <v>30484.875148702842</v>
      </c>
      <c r="BR60" s="345">
        <f ca="1" t="shared" si="31"/>
        <v>16409.600000000002</v>
      </c>
      <c r="BS60" s="345">
        <f ca="1" t="shared" si="32"/>
        <v>14075.27514870284</v>
      </c>
      <c r="BT60" s="307"/>
      <c r="BV60" s="325"/>
      <c r="BW60" s="311">
        <v>1994</v>
      </c>
      <c r="BX60" s="359">
        <f ca="1" t="shared" si="10"/>
        <v>30484.875148702842</v>
      </c>
      <c r="BY60" s="359">
        <f t="shared" si="0"/>
        <v>0</v>
      </c>
      <c r="BZ60" s="360">
        <f ca="1" t="shared" si="11"/>
        <v>0</v>
      </c>
      <c r="CA60" s="307"/>
    </row>
    <row r="61" spans="2:79" ht="12.75">
      <c r="B61" s="343"/>
      <c r="C61" s="311">
        <v>1995</v>
      </c>
      <c r="D61" s="345">
        <f t="shared" si="12"/>
        <v>3120842.721858227</v>
      </c>
      <c r="E61" s="345">
        <f t="shared" si="13"/>
        <v>59583.7</v>
      </c>
      <c r="F61" s="345">
        <f t="shared" si="14"/>
        <v>3174680.0641673063</v>
      </c>
      <c r="G61" s="344"/>
      <c r="H61" s="12"/>
      <c r="I61" s="339"/>
      <c r="J61" s="311">
        <v>1995</v>
      </c>
      <c r="K61" s="346">
        <f t="shared" si="47"/>
        <v>0.09416938257479168</v>
      </c>
      <c r="L61" s="347">
        <f t="shared" si="33"/>
        <v>298957.66151513526</v>
      </c>
      <c r="M61" s="351">
        <f t="shared" si="34"/>
        <v>0.017250898910094126</v>
      </c>
      <c r="N61" s="340"/>
      <c r="O61" s="15"/>
      <c r="P61" s="325"/>
      <c r="Q61" s="311">
        <v>1995</v>
      </c>
      <c r="R61" s="352">
        <f ca="1">E61*FORECAST(Q61,OFFSET('Saturations and Allocations'!$C$13,1,MATCH(B$6,SATURATIONS_HOUSING_TYPE,0)-1+MATCH(B$2,HVAC_SYSTEMS,0),2,1),'Saturations and Allocations'!$C$14:$C$15)</f>
        <v>5958.37</v>
      </c>
      <c r="S61" s="347">
        <f ca="1" t="shared" si="24"/>
        <v>16513.951185089187</v>
      </c>
      <c r="T61" s="347">
        <f ca="1" t="shared" si="35"/>
        <v>-8915.227765470165</v>
      </c>
      <c r="U61" s="347">
        <f ca="1" t="shared" si="36"/>
        <v>13557.093419619021</v>
      </c>
      <c r="V61" s="347">
        <f ca="1" t="shared" si="37"/>
        <v>0</v>
      </c>
      <c r="W61" s="347">
        <f ca="1" t="shared" si="38"/>
        <v>13557.093419619021</v>
      </c>
      <c r="X61" s="307"/>
      <c r="Z61" s="343"/>
      <c r="AA61" s="311">
        <v>1995</v>
      </c>
      <c r="AB61" s="345">
        <f t="shared" si="15"/>
        <v>401388.8671097097</v>
      </c>
      <c r="AC61" s="345">
        <f t="shared" si="16"/>
        <v>19641</v>
      </c>
      <c r="AD61" s="345">
        <f t="shared" si="17"/>
        <v>418498.1107464194</v>
      </c>
      <c r="AE61" s="344"/>
      <c r="AF61" s="12"/>
      <c r="AG61" s="339"/>
      <c r="AH61" s="311">
        <v>1995</v>
      </c>
      <c r="AI61" s="346">
        <f t="shared" si="48"/>
        <v>0.5131140000000001</v>
      </c>
      <c r="AJ61" s="347">
        <f t="shared" si="39"/>
        <v>214737.23959753828</v>
      </c>
      <c r="AK61" s="351">
        <f t="shared" si="40"/>
        <v>0.04262510756690552</v>
      </c>
      <c r="AL61" s="340"/>
      <c r="AM61" s="15"/>
      <c r="AN61" s="325"/>
      <c r="AO61" s="311">
        <v>1995</v>
      </c>
      <c r="AP61" s="352">
        <f ca="1">AC61*FORECAST(AO61,OFFSET('Saturations and Allocations'!$C$13,1,MATCH(Z$6,SATURATIONS_HOUSING_TYPE,0)-1+MATCH(Z$2,HVAC_SYSTEMS,0),2,1),'Saturations and Allocations'!$C$14:$C$15)</f>
        <v>15712.800000000001</v>
      </c>
      <c r="AQ61" s="347">
        <f ca="1" t="shared" si="25"/>
        <v>6728.0485039999985</v>
      </c>
      <c r="AR61" s="347">
        <f ca="1" t="shared" si="41"/>
        <v>-6933.807560593339</v>
      </c>
      <c r="AS61" s="347">
        <f ca="1" t="shared" si="42"/>
        <v>15507.040943406662</v>
      </c>
      <c r="AT61" s="347">
        <f ca="1" t="shared" si="43"/>
        <v>15712.800000000001</v>
      </c>
      <c r="AU61" s="347">
        <f ca="1" t="shared" si="44"/>
        <v>-205.75905659334057</v>
      </c>
      <c r="AV61" s="307"/>
      <c r="AX61" s="343"/>
      <c r="AY61" s="311">
        <v>1995</v>
      </c>
      <c r="AZ61" s="345">
        <f t="shared" si="19"/>
        <v>3522231.588967937</v>
      </c>
      <c r="BA61" s="345">
        <f t="shared" si="20"/>
        <v>79224.7</v>
      </c>
      <c r="BB61" s="345">
        <f t="shared" si="21"/>
        <v>3593178.174913726</v>
      </c>
      <c r="BC61" s="344"/>
      <c r="BD61" s="12"/>
      <c r="BE61" s="339"/>
      <c r="BF61" s="311">
        <v>1995</v>
      </c>
      <c r="BG61" s="346">
        <f t="shared" si="26"/>
        <v>0.1429639378027803</v>
      </c>
      <c r="BH61" s="345">
        <f t="shared" si="22"/>
        <v>513694.9011126736</v>
      </c>
      <c r="BI61" s="351">
        <f t="shared" si="45"/>
        <v>0.020142510267638913</v>
      </c>
      <c r="BJ61" s="340"/>
      <c r="BK61" s="15"/>
      <c r="BL61" s="325"/>
      <c r="BM61" s="311">
        <v>1995</v>
      </c>
      <c r="BN61" s="345">
        <f ca="1" t="shared" si="27"/>
        <v>21671.170000000002</v>
      </c>
      <c r="BO61" s="345">
        <f ca="1" t="shared" si="28"/>
        <v>23241.999689089185</v>
      </c>
      <c r="BP61" s="345">
        <f ca="1" t="shared" si="29"/>
        <v>-15849.035326063504</v>
      </c>
      <c r="BQ61" s="345">
        <f ca="1" t="shared" si="46"/>
        <v>29064.13436302568</v>
      </c>
      <c r="BR61" s="345">
        <f ca="1" t="shared" si="31"/>
        <v>15712.800000000001</v>
      </c>
      <c r="BS61" s="345">
        <f ca="1" t="shared" si="32"/>
        <v>13351.33436302568</v>
      </c>
      <c r="BT61" s="307"/>
      <c r="BV61" s="325"/>
      <c r="BW61" s="311">
        <v>1995</v>
      </c>
      <c r="BX61" s="359">
        <f ca="1" t="shared" si="10"/>
        <v>29064.13436302568</v>
      </c>
      <c r="BY61" s="359">
        <f t="shared" si="0"/>
        <v>0</v>
      </c>
      <c r="BZ61" s="360">
        <f ca="1" t="shared" si="11"/>
        <v>0</v>
      </c>
      <c r="CA61" s="307"/>
    </row>
    <row r="62" spans="2:79" ht="12.75">
      <c r="B62" s="343"/>
      <c r="C62" s="311">
        <v>1996</v>
      </c>
      <c r="D62" s="345">
        <f t="shared" si="12"/>
        <v>3174680.0641673063</v>
      </c>
      <c r="E62" s="345">
        <f t="shared" si="13"/>
        <v>62109.7</v>
      </c>
      <c r="F62" s="345">
        <f t="shared" si="14"/>
        <v>3231056.4551979834</v>
      </c>
      <c r="G62" s="344"/>
      <c r="H62" s="12"/>
      <c r="I62" s="339"/>
      <c r="J62" s="311">
        <v>1996</v>
      </c>
      <c r="K62" s="346">
        <f t="shared" si="47"/>
        <v>0.09159742116386721</v>
      </c>
      <c r="L62" s="347">
        <f t="shared" si="33"/>
        <v>295956.4389310015</v>
      </c>
      <c r="M62" s="351">
        <f t="shared" si="34"/>
        <v>0.01775813306890317</v>
      </c>
      <c r="N62" s="340"/>
      <c r="O62" s="15"/>
      <c r="P62" s="325"/>
      <c r="Q62" s="311">
        <v>1996</v>
      </c>
      <c r="R62" s="352">
        <f ca="1">E62*FORECAST(Q62,OFFSET('Saturations and Allocations'!$C$13,1,MATCH(B$6,SATURATIONS_HOUSING_TYPE,0)-1+MATCH(B$2,HVAC_SYSTEMS,0),2,1),'Saturations and Allocations'!$C$14:$C$15)</f>
        <v>6210.97</v>
      </c>
      <c r="S62" s="347">
        <f ca="1" t="shared" si="24"/>
        <v>16513.951185089187</v>
      </c>
      <c r="T62" s="347">
        <f ca="1" t="shared" si="35"/>
        <v>-9212.192584133736</v>
      </c>
      <c r="U62" s="347">
        <f ca="1" t="shared" si="36"/>
        <v>13512.728600955452</v>
      </c>
      <c r="V62" s="347">
        <f ca="1" t="shared" si="37"/>
        <v>0</v>
      </c>
      <c r="W62" s="347">
        <f ca="1" t="shared" si="38"/>
        <v>13512.728600955452</v>
      </c>
      <c r="X62" s="307"/>
      <c r="Z62" s="343"/>
      <c r="AA62" s="311">
        <v>1996</v>
      </c>
      <c r="AB62" s="345">
        <f t="shared" si="15"/>
        <v>418498.1107464194</v>
      </c>
      <c r="AC62" s="345">
        <f t="shared" si="16"/>
        <v>17125</v>
      </c>
      <c r="AD62" s="345">
        <f t="shared" si="17"/>
        <v>433118.4112291477</v>
      </c>
      <c r="AE62" s="344"/>
      <c r="AF62" s="12"/>
      <c r="AG62" s="339"/>
      <c r="AH62" s="311">
        <v>1996</v>
      </c>
      <c r="AI62" s="346">
        <f t="shared" si="48"/>
        <v>0.5131140000000001</v>
      </c>
      <c r="AJ62" s="347">
        <f t="shared" si="39"/>
        <v>222239.12045943292</v>
      </c>
      <c r="AK62" s="351">
        <f t="shared" si="40"/>
        <v>0.034935164836591426</v>
      </c>
      <c r="AL62" s="340"/>
      <c r="AM62" s="15"/>
      <c r="AN62" s="325"/>
      <c r="AO62" s="311">
        <v>1996</v>
      </c>
      <c r="AP62" s="352">
        <f ca="1">AC62*FORECAST(AO62,OFFSET('Saturations and Allocations'!$C$13,1,MATCH(Z$6,SATURATIONS_HOUSING_TYPE,0)-1+MATCH(Z$2,HVAC_SYSTEMS,0),2,1),'Saturations and Allocations'!$C$14:$C$15)</f>
        <v>13700</v>
      </c>
      <c r="AQ62" s="347">
        <f ca="1" t="shared" si="25"/>
        <v>6728.0485039999985</v>
      </c>
      <c r="AR62" s="347">
        <f ca="1" t="shared" si="41"/>
        <v>-6198.119138105365</v>
      </c>
      <c r="AS62" s="347">
        <f ca="1" t="shared" si="42"/>
        <v>14229.929365894634</v>
      </c>
      <c r="AT62" s="347">
        <f ca="1" t="shared" si="43"/>
        <v>13700</v>
      </c>
      <c r="AU62" s="347">
        <f ca="1" t="shared" si="44"/>
        <v>529.9293658946335</v>
      </c>
      <c r="AV62" s="307"/>
      <c r="AX62" s="343"/>
      <c r="AY62" s="311">
        <v>1996</v>
      </c>
      <c r="AZ62" s="345">
        <f t="shared" si="19"/>
        <v>3593178.174913726</v>
      </c>
      <c r="BA62" s="345">
        <f t="shared" si="20"/>
        <v>79234.7</v>
      </c>
      <c r="BB62" s="345">
        <f t="shared" si="21"/>
        <v>3664174.866427131</v>
      </c>
      <c r="BC62" s="344"/>
      <c r="BD62" s="12"/>
      <c r="BE62" s="339"/>
      <c r="BF62" s="311">
        <v>1996</v>
      </c>
      <c r="BG62" s="346">
        <f t="shared" si="26"/>
        <v>0.14142216959632095</v>
      </c>
      <c r="BH62" s="345">
        <f t="shared" si="22"/>
        <v>518195.5593904344</v>
      </c>
      <c r="BI62" s="351">
        <f t="shared" si="45"/>
        <v>0.01975874506003583</v>
      </c>
      <c r="BJ62" s="340"/>
      <c r="BK62" s="15"/>
      <c r="BL62" s="325"/>
      <c r="BM62" s="311">
        <v>1996</v>
      </c>
      <c r="BN62" s="345">
        <f ca="1" t="shared" si="27"/>
        <v>19910.97</v>
      </c>
      <c r="BO62" s="345">
        <f ca="1" t="shared" si="28"/>
        <v>23241.999689089185</v>
      </c>
      <c r="BP62" s="345">
        <f ca="1" t="shared" si="29"/>
        <v>-15410.311722239101</v>
      </c>
      <c r="BQ62" s="345">
        <f ca="1" t="shared" si="46"/>
        <v>27742.657966850085</v>
      </c>
      <c r="BR62" s="345">
        <f ca="1" t="shared" si="31"/>
        <v>13700</v>
      </c>
      <c r="BS62" s="345">
        <f ca="1" t="shared" si="32"/>
        <v>14042.657966850085</v>
      </c>
      <c r="BT62" s="307"/>
      <c r="BV62" s="325"/>
      <c r="BW62" s="311">
        <v>1996</v>
      </c>
      <c r="BX62" s="359">
        <f ca="1" t="shared" si="10"/>
        <v>27742.657966850085</v>
      </c>
      <c r="BY62" s="359">
        <f t="shared" si="0"/>
        <v>0</v>
      </c>
      <c r="BZ62" s="360">
        <f ca="1" t="shared" si="11"/>
        <v>0</v>
      </c>
      <c r="CA62" s="307"/>
    </row>
    <row r="63" spans="2:79" ht="12.75">
      <c r="B63" s="343"/>
      <c r="C63" s="311">
        <v>1997</v>
      </c>
      <c r="D63" s="345">
        <f t="shared" si="12"/>
        <v>3231056.4551979834</v>
      </c>
      <c r="E63" s="345">
        <f t="shared" si="13"/>
        <v>61718.1</v>
      </c>
      <c r="F63" s="345">
        <f t="shared" si="14"/>
        <v>3287054.265319465</v>
      </c>
      <c r="G63" s="344"/>
      <c r="H63" s="12"/>
      <c r="I63" s="339"/>
      <c r="J63" s="311">
        <v>1997</v>
      </c>
      <c r="K63" s="346">
        <f t="shared" si="47"/>
        <v>0.08902545975294274</v>
      </c>
      <c r="L63" s="347">
        <f t="shared" si="33"/>
        <v>292631.5172029368</v>
      </c>
      <c r="M63" s="351">
        <f t="shared" si="34"/>
        <v>0.017331114729176145</v>
      </c>
      <c r="N63" s="340"/>
      <c r="O63" s="15"/>
      <c r="P63" s="325"/>
      <c r="Q63" s="311">
        <v>1997</v>
      </c>
      <c r="R63" s="352">
        <f ca="1">E63*FORECAST(Q63,OFFSET('Saturations and Allocations'!$C$13,1,MATCH(B$6,SATURATIONS_HOUSING_TYPE,0)-1+MATCH(B$2,HVAC_SYSTEMS,0),2,1),'Saturations and Allocations'!$C$14:$C$15)</f>
        <v>6171.81</v>
      </c>
      <c r="S63" s="347">
        <f ca="1" t="shared" si="24"/>
        <v>16513.951185089187</v>
      </c>
      <c r="T63" s="347">
        <f ca="1" t="shared" si="35"/>
        <v>-9496.731728064715</v>
      </c>
      <c r="U63" s="347">
        <f ca="1" t="shared" si="36"/>
        <v>13189.029457024473</v>
      </c>
      <c r="V63" s="347">
        <f ca="1" t="shared" si="37"/>
        <v>0</v>
      </c>
      <c r="W63" s="347">
        <f ca="1" t="shared" si="38"/>
        <v>13189.029457024473</v>
      </c>
      <c r="X63" s="307"/>
      <c r="Z63" s="343"/>
      <c r="AA63" s="311">
        <v>1997</v>
      </c>
      <c r="AB63" s="345">
        <f t="shared" si="15"/>
        <v>433118.4112291477</v>
      </c>
      <c r="AC63" s="345">
        <f t="shared" si="16"/>
        <v>17301</v>
      </c>
      <c r="AD63" s="345">
        <f t="shared" si="17"/>
        <v>447941.4794017471</v>
      </c>
      <c r="AE63" s="344"/>
      <c r="AF63" s="12"/>
      <c r="AG63" s="339"/>
      <c r="AH63" s="311">
        <v>1997</v>
      </c>
      <c r="AI63" s="346">
        <f t="shared" si="48"/>
        <v>0.5131140000000001</v>
      </c>
      <c r="AJ63" s="347">
        <f t="shared" si="39"/>
        <v>229845.0442617481</v>
      </c>
      <c r="AK63" s="351">
        <f t="shared" si="40"/>
        <v>0.03422405464254674</v>
      </c>
      <c r="AL63" s="340"/>
      <c r="AM63" s="15"/>
      <c r="AN63" s="325"/>
      <c r="AO63" s="311">
        <v>1997</v>
      </c>
      <c r="AP63" s="352">
        <f ca="1">AC63*FORECAST(AO63,OFFSET('Saturations and Allocations'!$C$13,1,MATCH(Z$6,SATURATIONS_HOUSING_TYPE,0)-1+MATCH(Z$2,HVAC_SYSTEMS,0),2,1),'Saturations and Allocations'!$C$14:$C$15)</f>
        <v>13840.800000000001</v>
      </c>
      <c r="AQ63" s="347">
        <f ca="1" t="shared" si="25"/>
        <v>6728.0485039999985</v>
      </c>
      <c r="AR63" s="347">
        <f ca="1" t="shared" si="41"/>
        <v>-6234.876197684831</v>
      </c>
      <c r="AS63" s="347">
        <f ca="1" t="shared" si="42"/>
        <v>14333.97230631517</v>
      </c>
      <c r="AT63" s="347">
        <f ca="1" t="shared" si="43"/>
        <v>13840.800000000001</v>
      </c>
      <c r="AU63" s="347">
        <f ca="1" t="shared" si="44"/>
        <v>493.1723063151676</v>
      </c>
      <c r="AV63" s="307"/>
      <c r="AX63" s="343"/>
      <c r="AY63" s="311">
        <v>1997</v>
      </c>
      <c r="AZ63" s="345">
        <f t="shared" si="19"/>
        <v>3664174.866427131</v>
      </c>
      <c r="BA63" s="345">
        <f t="shared" si="20"/>
        <v>79019.1</v>
      </c>
      <c r="BB63" s="345">
        <f t="shared" si="21"/>
        <v>3734995.7447212124</v>
      </c>
      <c r="BC63" s="344"/>
      <c r="BD63" s="12"/>
      <c r="BE63" s="339"/>
      <c r="BF63" s="311">
        <v>1997</v>
      </c>
      <c r="BG63" s="346">
        <f t="shared" si="26"/>
        <v>0.13988678894831877</v>
      </c>
      <c r="BH63" s="345">
        <f t="shared" si="22"/>
        <v>522476.5614646849</v>
      </c>
      <c r="BI63" s="351">
        <f t="shared" si="45"/>
        <v>0.019327919893500578</v>
      </c>
      <c r="BJ63" s="340"/>
      <c r="BK63" s="15"/>
      <c r="BL63" s="325"/>
      <c r="BM63" s="311">
        <v>1997</v>
      </c>
      <c r="BN63" s="345">
        <f ca="1" t="shared" si="27"/>
        <v>20012.61</v>
      </c>
      <c r="BO63" s="345">
        <f ca="1" t="shared" si="28"/>
        <v>23241.999689089185</v>
      </c>
      <c r="BP63" s="345">
        <f ca="1" t="shared" si="29"/>
        <v>-15731.607925749546</v>
      </c>
      <c r="BQ63" s="345">
        <f ca="1" t="shared" si="46"/>
        <v>27523.001763339642</v>
      </c>
      <c r="BR63" s="345">
        <f ca="1" t="shared" si="31"/>
        <v>13840.800000000001</v>
      </c>
      <c r="BS63" s="345">
        <f ca="1" t="shared" si="32"/>
        <v>13682.20176333964</v>
      </c>
      <c r="BT63" s="307"/>
      <c r="BV63" s="325"/>
      <c r="BW63" s="311">
        <v>1997</v>
      </c>
      <c r="BX63" s="359">
        <f ca="1" t="shared" si="10"/>
        <v>27523.001763339642</v>
      </c>
      <c r="BY63" s="359">
        <f t="shared" si="0"/>
        <v>0</v>
      </c>
      <c r="BZ63" s="360">
        <f ca="1" t="shared" si="11"/>
        <v>0</v>
      </c>
      <c r="CA63" s="307"/>
    </row>
    <row r="64" spans="2:79" ht="12.75">
      <c r="B64" s="343"/>
      <c r="C64" s="311">
        <v>1998</v>
      </c>
      <c r="D64" s="345">
        <f t="shared" si="12"/>
        <v>3287054.265319465</v>
      </c>
      <c r="E64" s="345">
        <f t="shared" si="13"/>
        <v>63984.7</v>
      </c>
      <c r="F64" s="345">
        <f t="shared" si="14"/>
        <v>3345331.6649682443</v>
      </c>
      <c r="G64" s="344"/>
      <c r="H64" s="12"/>
      <c r="I64" s="339"/>
      <c r="J64" s="311">
        <v>1998</v>
      </c>
      <c r="K64" s="346">
        <f t="shared" si="47"/>
        <v>0.08645349834201826</v>
      </c>
      <c r="L64" s="347">
        <f t="shared" si="33"/>
        <v>289215.6255508333</v>
      </c>
      <c r="M64" s="351">
        <f t="shared" si="34"/>
        <v>0.017729369503766135</v>
      </c>
      <c r="N64" s="340"/>
      <c r="O64" s="15"/>
      <c r="P64" s="325"/>
      <c r="Q64" s="311">
        <v>1998</v>
      </c>
      <c r="R64" s="352">
        <f ca="1">E64*FORECAST(Q64,OFFSET('Saturations and Allocations'!$C$13,1,MATCH(B$6,SATURATIONS_HOUSING_TYPE,0)-1+MATCH(B$2,HVAC_SYSTEMS,0),2,1),'Saturations and Allocations'!$C$14:$C$15)</f>
        <v>6398.47</v>
      </c>
      <c r="S64" s="347">
        <f ca="1" t="shared" si="24"/>
        <v>16513.951185089187</v>
      </c>
      <c r="T64" s="347">
        <f ca="1" t="shared" si="35"/>
        <v>-9814.361652103515</v>
      </c>
      <c r="U64" s="347">
        <f ca="1" t="shared" si="36"/>
        <v>13098.059532985673</v>
      </c>
      <c r="V64" s="347">
        <f ca="1" t="shared" si="37"/>
        <v>0</v>
      </c>
      <c r="W64" s="347">
        <f ca="1" t="shared" si="38"/>
        <v>13098.059532985673</v>
      </c>
      <c r="X64" s="307"/>
      <c r="Z64" s="343"/>
      <c r="AA64" s="311">
        <v>1998</v>
      </c>
      <c r="AB64" s="345">
        <f t="shared" si="15"/>
        <v>447941.4794017471</v>
      </c>
      <c r="AC64" s="345">
        <f t="shared" si="16"/>
        <v>17996</v>
      </c>
      <c r="AD64" s="345">
        <f t="shared" si="17"/>
        <v>463486.0291982779</v>
      </c>
      <c r="AE64" s="344"/>
      <c r="AF64" s="12"/>
      <c r="AG64" s="339"/>
      <c r="AH64" s="311">
        <v>1998</v>
      </c>
      <c r="AI64" s="346">
        <f t="shared" si="48"/>
        <v>0.5131140000000001</v>
      </c>
      <c r="AJ64" s="347">
        <f t="shared" si="39"/>
        <v>237821.1703860452</v>
      </c>
      <c r="AK64" s="351">
        <f t="shared" si="40"/>
        <v>0.03470218881558251</v>
      </c>
      <c r="AL64" s="340"/>
      <c r="AM64" s="15"/>
      <c r="AN64" s="325"/>
      <c r="AO64" s="311">
        <v>1998</v>
      </c>
      <c r="AP64" s="352">
        <f ca="1">AC64*FORECAST(AO64,OFFSET('Saturations and Allocations'!$C$13,1,MATCH(Z$6,SATURATIONS_HOUSING_TYPE,0)-1+MATCH(Z$2,HVAC_SYSTEMS,0),2,1),'Saturations and Allocations'!$C$14:$C$15)</f>
        <v>14396.800000000001</v>
      </c>
      <c r="AQ64" s="347">
        <f ca="1" t="shared" si="25"/>
        <v>6728.0485039999985</v>
      </c>
      <c r="AR64" s="347">
        <f ca="1" t="shared" si="41"/>
        <v>-6420.673875702878</v>
      </c>
      <c r="AS64" s="347">
        <f ca="1" t="shared" si="42"/>
        <v>14704.174628297123</v>
      </c>
      <c r="AT64" s="347">
        <f ca="1" t="shared" si="43"/>
        <v>14396.800000000001</v>
      </c>
      <c r="AU64" s="347">
        <f ca="1" t="shared" si="44"/>
        <v>307.3746282971206</v>
      </c>
      <c r="AV64" s="307"/>
      <c r="AX64" s="343"/>
      <c r="AY64" s="311">
        <v>1998</v>
      </c>
      <c r="AZ64" s="345">
        <f t="shared" si="19"/>
        <v>3734995.7447212124</v>
      </c>
      <c r="BA64" s="345">
        <f t="shared" si="20"/>
        <v>81980.7</v>
      </c>
      <c r="BB64" s="345">
        <f t="shared" si="21"/>
        <v>3808817.694166522</v>
      </c>
      <c r="BC64" s="344"/>
      <c r="BD64" s="12"/>
      <c r="BE64" s="339"/>
      <c r="BF64" s="311">
        <v>1998</v>
      </c>
      <c r="BG64" s="346">
        <f t="shared" si="26"/>
        <v>0.13837280706400656</v>
      </c>
      <c r="BH64" s="345">
        <f t="shared" si="22"/>
        <v>527036.7959368785</v>
      </c>
      <c r="BI64" s="351">
        <f t="shared" si="45"/>
        <v>0.0197649353549183</v>
      </c>
      <c r="BJ64" s="340"/>
      <c r="BK64" s="15"/>
      <c r="BL64" s="325"/>
      <c r="BM64" s="311">
        <v>1998</v>
      </c>
      <c r="BN64" s="345">
        <f ca="1" t="shared" si="27"/>
        <v>20795.27</v>
      </c>
      <c r="BO64" s="345">
        <f ca="1" t="shared" si="28"/>
        <v>23241.999689089185</v>
      </c>
      <c r="BP64" s="345">
        <f ca="1" t="shared" si="29"/>
        <v>-16235.035527806393</v>
      </c>
      <c r="BQ64" s="345">
        <f ca="1" t="shared" si="46"/>
        <v>27802.234161282795</v>
      </c>
      <c r="BR64" s="345">
        <f ca="1" t="shared" si="31"/>
        <v>14396.800000000001</v>
      </c>
      <c r="BS64" s="345">
        <f ca="1" t="shared" si="32"/>
        <v>13405.434161282794</v>
      </c>
      <c r="BT64" s="307"/>
      <c r="BV64" s="325"/>
      <c r="BW64" s="311">
        <v>1998</v>
      </c>
      <c r="BX64" s="359">
        <f ca="1" t="shared" si="10"/>
        <v>27802.234161282795</v>
      </c>
      <c r="BY64" s="359">
        <f t="shared" si="0"/>
        <v>0</v>
      </c>
      <c r="BZ64" s="360">
        <f ca="1" t="shared" si="11"/>
        <v>0</v>
      </c>
      <c r="CA64" s="307"/>
    </row>
    <row r="65" spans="2:79" ht="12.75">
      <c r="B65" s="343"/>
      <c r="C65" s="311">
        <v>1999</v>
      </c>
      <c r="D65" s="345">
        <f t="shared" si="12"/>
        <v>3345331.6649682443</v>
      </c>
      <c r="E65" s="345">
        <f t="shared" si="13"/>
        <v>62690.3</v>
      </c>
      <c r="F65" s="345">
        <f t="shared" si="14"/>
        <v>3402327.6246479442</v>
      </c>
      <c r="G65" s="344"/>
      <c r="H65" s="12"/>
      <c r="I65" s="339"/>
      <c r="J65" s="311">
        <v>1999</v>
      </c>
      <c r="K65" s="346">
        <f t="shared" si="47"/>
        <v>0.08388153693109379</v>
      </c>
      <c r="L65" s="347">
        <f t="shared" si="33"/>
        <v>285392.47029858717</v>
      </c>
      <c r="M65" s="351">
        <f t="shared" si="34"/>
        <v>0.017037461569670898</v>
      </c>
      <c r="N65" s="340"/>
      <c r="O65" s="15"/>
      <c r="P65" s="325"/>
      <c r="Q65" s="311">
        <v>1999</v>
      </c>
      <c r="R65" s="352">
        <f ca="1">E65*FORECAST(Q65,OFFSET('Saturations and Allocations'!$C$13,1,MATCH(B$6,SATURATIONS_HOUSING_TYPE,0)-1+MATCH(B$2,HVAC_SYSTEMS,0),2,1),'Saturations and Allocations'!$C$14:$C$15)</f>
        <v>6269.030000000001</v>
      </c>
      <c r="S65" s="347">
        <f ca="1" t="shared" si="24"/>
        <v>16513.951185089187</v>
      </c>
      <c r="T65" s="347">
        <f ca="1" t="shared" si="35"/>
        <v>-10092.185252246129</v>
      </c>
      <c r="U65" s="347">
        <f ca="1" t="shared" si="36"/>
        <v>12690.795932843057</v>
      </c>
      <c r="V65" s="347">
        <f ca="1" t="shared" si="37"/>
        <v>0</v>
      </c>
      <c r="W65" s="347">
        <f ca="1" t="shared" si="38"/>
        <v>12690.795932843057</v>
      </c>
      <c r="X65" s="307"/>
      <c r="Z65" s="343"/>
      <c r="AA65" s="311">
        <v>1999</v>
      </c>
      <c r="AB65" s="345">
        <f t="shared" si="15"/>
        <v>463486.0291982779</v>
      </c>
      <c r="AC65" s="345">
        <f t="shared" si="16"/>
        <v>14620</v>
      </c>
      <c r="AD65" s="345">
        <f t="shared" si="17"/>
        <v>475680.7776099832</v>
      </c>
      <c r="AE65" s="344"/>
      <c r="AF65" s="12"/>
      <c r="AG65" s="339"/>
      <c r="AH65" s="311">
        <v>1999</v>
      </c>
      <c r="AI65" s="346">
        <f t="shared" si="48"/>
        <v>0.5131140000000001</v>
      </c>
      <c r="AJ65" s="347">
        <f t="shared" si="39"/>
        <v>244078.46652256895</v>
      </c>
      <c r="AK65" s="351">
        <f t="shared" si="40"/>
        <v>0.026310929873764266</v>
      </c>
      <c r="AL65" s="340"/>
      <c r="AM65" s="15"/>
      <c r="AN65" s="325"/>
      <c r="AO65" s="311">
        <v>1999</v>
      </c>
      <c r="AP65" s="352">
        <f ca="1">AC65*FORECAST(AO65,OFFSET('Saturations and Allocations'!$C$13,1,MATCH(Z$6,SATURATIONS_HOUSING_TYPE,0)-1+MATCH(Z$2,HVAC_SYSTEMS,0),2,1),'Saturations and Allocations'!$C$14:$C$15)</f>
        <v>11696</v>
      </c>
      <c r="AQ65" s="347">
        <f ca="1" t="shared" si="25"/>
        <v>6728.0485039999985</v>
      </c>
      <c r="AR65" s="347">
        <f ca="1" t="shared" si="41"/>
        <v>-5438.7038634762575</v>
      </c>
      <c r="AS65" s="347">
        <f ca="1" t="shared" si="42"/>
        <v>12985.344640523741</v>
      </c>
      <c r="AT65" s="347">
        <f ca="1" t="shared" si="43"/>
        <v>11696</v>
      </c>
      <c r="AU65" s="347">
        <f ca="1" t="shared" si="44"/>
        <v>1289.344640523741</v>
      </c>
      <c r="AV65" s="307"/>
      <c r="AX65" s="343"/>
      <c r="AY65" s="311">
        <v>1999</v>
      </c>
      <c r="AZ65" s="345">
        <f t="shared" si="19"/>
        <v>3808817.694166522</v>
      </c>
      <c r="BA65" s="345">
        <f t="shared" si="20"/>
        <v>77310.3</v>
      </c>
      <c r="BB65" s="345">
        <f t="shared" si="21"/>
        <v>3878008.4022579277</v>
      </c>
      <c r="BC65" s="344"/>
      <c r="BD65" s="12"/>
      <c r="BE65" s="339"/>
      <c r="BF65" s="311">
        <v>1999</v>
      </c>
      <c r="BG65" s="346">
        <f t="shared" si="26"/>
        <v>0.13653166313741805</v>
      </c>
      <c r="BH65" s="345">
        <f t="shared" si="22"/>
        <v>529470.9368211562</v>
      </c>
      <c r="BI65" s="351">
        <f t="shared" si="45"/>
        <v>0.018165928024692857</v>
      </c>
      <c r="BJ65" s="340"/>
      <c r="BK65" s="15"/>
      <c r="BL65" s="325"/>
      <c r="BM65" s="311">
        <v>1999</v>
      </c>
      <c r="BN65" s="345">
        <f ca="1" t="shared" si="27"/>
        <v>17965.03</v>
      </c>
      <c r="BO65" s="345">
        <f ca="1" t="shared" si="28"/>
        <v>23241.999689089185</v>
      </c>
      <c r="BP65" s="345">
        <f ca="1" t="shared" si="29"/>
        <v>-15530.889115722386</v>
      </c>
      <c r="BQ65" s="345">
        <f ca="1" t="shared" si="46"/>
        <v>25676.1405733668</v>
      </c>
      <c r="BR65" s="345">
        <f ca="1" t="shared" si="31"/>
        <v>11696</v>
      </c>
      <c r="BS65" s="345">
        <f ca="1" t="shared" si="32"/>
        <v>13980.140573366798</v>
      </c>
      <c r="BT65" s="307"/>
      <c r="BV65" s="325"/>
      <c r="BW65" s="311">
        <v>1999</v>
      </c>
      <c r="BX65" s="359">
        <f ca="1" t="shared" si="10"/>
        <v>25676.1405733668</v>
      </c>
      <c r="BY65" s="359">
        <f t="shared" si="0"/>
        <v>0</v>
      </c>
      <c r="BZ65" s="360">
        <f ca="1" t="shared" si="11"/>
        <v>0</v>
      </c>
      <c r="CA65" s="307"/>
    </row>
    <row r="66" spans="2:79" ht="12.75">
      <c r="B66" s="343"/>
      <c r="C66" s="311">
        <v>2000</v>
      </c>
      <c r="D66" s="345">
        <f t="shared" si="12"/>
        <v>3402327.6246479442</v>
      </c>
      <c r="E66" s="345">
        <f t="shared" si="13"/>
        <v>57727.2</v>
      </c>
      <c r="F66" s="345">
        <f t="shared" si="14"/>
        <v>3454373.41492917</v>
      </c>
      <c r="G66" s="344"/>
      <c r="H66" s="12"/>
      <c r="I66" s="339"/>
      <c r="J66" s="311">
        <v>2000</v>
      </c>
      <c r="K66" s="346">
        <f t="shared" si="47"/>
        <v>0.08130957552016932</v>
      </c>
      <c r="L66" s="347">
        <f t="shared" si="33"/>
        <v>280873.63605604856</v>
      </c>
      <c r="M66" s="351">
        <f t="shared" si="34"/>
        <v>0.015297113042313626</v>
      </c>
      <c r="N66" s="340"/>
      <c r="O66" s="15"/>
      <c r="P66" s="325"/>
      <c r="Q66" s="311">
        <v>2000</v>
      </c>
      <c r="R66" s="352">
        <f ca="1">E66*FORECAST(Q66,OFFSET('Saturations and Allocations'!$C$13,1,MATCH(B$6,SATURATIONS_HOUSING_TYPE,0)-1+MATCH(B$2,HVAC_SYSTEMS,0),2,1),'Saturations and Allocations'!$C$14:$C$15)</f>
        <v>5772.72</v>
      </c>
      <c r="S66" s="347">
        <f ca="1" t="shared" si="24"/>
        <v>16513.951185089187</v>
      </c>
      <c r="T66" s="347">
        <f ca="1" t="shared" si="35"/>
        <v>-10291.554242538608</v>
      </c>
      <c r="U66" s="347">
        <f ca="1" t="shared" si="36"/>
        <v>11995.11694255058</v>
      </c>
      <c r="V66" s="347">
        <f ca="1" t="shared" si="37"/>
        <v>0</v>
      </c>
      <c r="W66" s="347">
        <f ca="1" t="shared" si="38"/>
        <v>11995.11694255058</v>
      </c>
      <c r="X66" s="307"/>
      <c r="Z66" s="343"/>
      <c r="AA66" s="311">
        <v>2000</v>
      </c>
      <c r="AB66" s="345">
        <f t="shared" si="15"/>
        <v>475680.7776099832</v>
      </c>
      <c r="AC66" s="345">
        <f t="shared" si="16"/>
        <v>9564</v>
      </c>
      <c r="AD66" s="345">
        <f t="shared" si="17"/>
        <v>482845.444652617</v>
      </c>
      <c r="AE66" s="344"/>
      <c r="AF66" s="12"/>
      <c r="AG66" s="339"/>
      <c r="AH66" s="311">
        <v>2000</v>
      </c>
      <c r="AI66" s="346">
        <f t="shared" si="48"/>
        <v>0.5131140000000001</v>
      </c>
      <c r="AJ66" s="347">
        <f t="shared" si="39"/>
        <v>247754.75748748294</v>
      </c>
      <c r="AK66" s="351">
        <f t="shared" si="40"/>
        <v>0.015061922574698183</v>
      </c>
      <c r="AL66" s="340"/>
      <c r="AM66" s="15"/>
      <c r="AN66" s="325"/>
      <c r="AO66" s="311">
        <v>2000</v>
      </c>
      <c r="AP66" s="352">
        <f ca="1">AC66*FORECAST(AO66,OFFSET('Saturations and Allocations'!$C$13,1,MATCH(Z$6,SATURATIONS_HOUSING_TYPE,0)-1+MATCH(Z$2,HVAC_SYSTEMS,0),2,1),'Saturations and Allocations'!$C$14:$C$15)</f>
        <v>7651.200000000001</v>
      </c>
      <c r="AQ66" s="347">
        <f ca="1" t="shared" si="25"/>
        <v>6728.0485039999985</v>
      </c>
      <c r="AR66" s="347">
        <f ca="1" t="shared" si="41"/>
        <v>-3974.9090350860097</v>
      </c>
      <c r="AS66" s="347">
        <f ca="1" t="shared" si="42"/>
        <v>10404.33946891399</v>
      </c>
      <c r="AT66" s="347">
        <f ca="1" t="shared" si="43"/>
        <v>7651.200000000001</v>
      </c>
      <c r="AU66" s="347">
        <f ca="1" t="shared" si="44"/>
        <v>2753.139468913989</v>
      </c>
      <c r="AV66" s="307"/>
      <c r="AX66" s="343"/>
      <c r="AY66" s="311">
        <v>2000</v>
      </c>
      <c r="AZ66" s="345">
        <f t="shared" si="19"/>
        <v>3878008.4022579277</v>
      </c>
      <c r="BA66" s="345">
        <f t="shared" si="20"/>
        <v>67291.2</v>
      </c>
      <c r="BB66" s="345">
        <f t="shared" si="21"/>
        <v>3937218.859581787</v>
      </c>
      <c r="BC66" s="344"/>
      <c r="BD66" s="12"/>
      <c r="BE66" s="339"/>
      <c r="BF66" s="311">
        <v>2000</v>
      </c>
      <c r="BG66" s="346">
        <f t="shared" si="26"/>
        <v>0.1342644166851529</v>
      </c>
      <c r="BH66" s="345">
        <f t="shared" si="22"/>
        <v>528628.3935435315</v>
      </c>
      <c r="BI66" s="351">
        <f t="shared" si="45"/>
        <v>0.01526826432077466</v>
      </c>
      <c r="BJ66" s="340"/>
      <c r="BK66" s="15"/>
      <c r="BL66" s="325"/>
      <c r="BM66" s="311">
        <v>2000</v>
      </c>
      <c r="BN66" s="345">
        <f ca="1" t="shared" si="27"/>
        <v>13423.920000000002</v>
      </c>
      <c r="BO66" s="345">
        <f ca="1" t="shared" si="28"/>
        <v>23241.999689089185</v>
      </c>
      <c r="BP66" s="345">
        <f ca="1" t="shared" si="29"/>
        <v>-14266.463277624618</v>
      </c>
      <c r="BQ66" s="345">
        <f ca="1" t="shared" si="46"/>
        <v>22399.45641146457</v>
      </c>
      <c r="BR66" s="345">
        <f ca="1" t="shared" si="31"/>
        <v>7651.200000000001</v>
      </c>
      <c r="BS66" s="345">
        <f ca="1" t="shared" si="32"/>
        <v>14748.256411464568</v>
      </c>
      <c r="BT66" s="307"/>
      <c r="BV66" s="325"/>
      <c r="BW66" s="311">
        <v>2000</v>
      </c>
      <c r="BX66" s="359">
        <f ca="1" t="shared" si="10"/>
        <v>22399.45641146457</v>
      </c>
      <c r="BY66" s="359">
        <f t="shared" si="0"/>
        <v>0</v>
      </c>
      <c r="BZ66" s="360">
        <f ca="1" t="shared" si="11"/>
        <v>0</v>
      </c>
      <c r="CA66" s="307"/>
    </row>
    <row r="67" spans="2:79" ht="12.75">
      <c r="B67" s="343"/>
      <c r="C67" s="311">
        <v>2001</v>
      </c>
      <c r="D67" s="345">
        <f t="shared" si="12"/>
        <v>3454373.41492917</v>
      </c>
      <c r="E67" s="345">
        <f t="shared" si="13"/>
        <v>58981.8</v>
      </c>
      <c r="F67" s="345">
        <f t="shared" si="14"/>
        <v>3507686.7064493527</v>
      </c>
      <c r="G67" s="344"/>
      <c r="H67" s="12"/>
      <c r="I67" s="339"/>
      <c r="J67" s="311">
        <v>2001</v>
      </c>
      <c r="K67" s="346">
        <f t="shared" si="47"/>
        <v>0.07873761410924485</v>
      </c>
      <c r="L67" s="347">
        <f t="shared" si="33"/>
        <v>276186.88230853714</v>
      </c>
      <c r="M67" s="351">
        <f t="shared" si="34"/>
        <v>0.015433563519731797</v>
      </c>
      <c r="N67" s="340"/>
      <c r="O67" s="15"/>
      <c r="P67" s="325"/>
      <c r="Q67" s="311">
        <v>2001</v>
      </c>
      <c r="R67" s="352">
        <f ca="1">E67*FORECAST(Q67,OFFSET('Saturations and Allocations'!$C$13,1,MATCH(B$6,SATURATIONS_HOUSING_TYPE,0)-1+MATCH(B$2,HVAC_SYSTEMS,0),2,1),'Saturations and Allocations'!$C$14:$C$15)</f>
        <v>5898.18</v>
      </c>
      <c r="S67" s="347">
        <f ca="1" t="shared" si="24"/>
        <v>16513.951185089187</v>
      </c>
      <c r="T67" s="347">
        <f ca="1" t="shared" si="35"/>
        <v>-10584.933747511423</v>
      </c>
      <c r="U67" s="347">
        <f ca="1" t="shared" si="36"/>
        <v>11827.197437577765</v>
      </c>
      <c r="V67" s="347">
        <f ca="1" t="shared" si="37"/>
        <v>0</v>
      </c>
      <c r="W67" s="347">
        <f ca="1" t="shared" si="38"/>
        <v>11827.197437577765</v>
      </c>
      <c r="X67" s="307"/>
      <c r="Z67" s="343"/>
      <c r="AA67" s="311">
        <v>2001</v>
      </c>
      <c r="AB67" s="345">
        <f t="shared" si="15"/>
        <v>482845.444652617</v>
      </c>
      <c r="AC67" s="345">
        <f t="shared" si="16"/>
        <v>7283</v>
      </c>
      <c r="AD67" s="345">
        <f t="shared" si="17"/>
        <v>487754.75333412096</v>
      </c>
      <c r="AE67" s="344"/>
      <c r="AF67" s="12"/>
      <c r="AG67" s="339"/>
      <c r="AH67" s="311">
        <v>2001</v>
      </c>
      <c r="AI67" s="346">
        <f t="shared" si="48"/>
        <v>0.5131140000000001</v>
      </c>
      <c r="AJ67" s="347">
        <f t="shared" si="39"/>
        <v>250273.79250228417</v>
      </c>
      <c r="AK67" s="351">
        <f t="shared" si="40"/>
        <v>0.010167453655974823</v>
      </c>
      <c r="AL67" s="340"/>
      <c r="AM67" s="15"/>
      <c r="AN67" s="325"/>
      <c r="AO67" s="311">
        <v>2001</v>
      </c>
      <c r="AP67" s="352">
        <f ca="1">AC67*FORECAST(AO67,OFFSET('Saturations and Allocations'!$C$13,1,MATCH(Z$6,SATURATIONS_HOUSING_TYPE,0)-1+MATCH(Z$2,HVAC_SYSTEMS,0),2,1),'Saturations and Allocations'!$C$14:$C$15)</f>
        <v>5826.400000000001</v>
      </c>
      <c r="AQ67" s="347">
        <f ca="1" t="shared" si="25"/>
        <v>6728.0485039999985</v>
      </c>
      <c r="AR67" s="347">
        <f ca="1" t="shared" si="41"/>
        <v>-3307.3649851987784</v>
      </c>
      <c r="AS67" s="347">
        <f ca="1" t="shared" si="42"/>
        <v>9247.08351880122</v>
      </c>
      <c r="AT67" s="347">
        <f ca="1" t="shared" si="43"/>
        <v>5826.400000000001</v>
      </c>
      <c r="AU67" s="347">
        <f ca="1" t="shared" si="44"/>
        <v>3420.68351880122</v>
      </c>
      <c r="AV67" s="307"/>
      <c r="AX67" s="343"/>
      <c r="AY67" s="311">
        <v>2001</v>
      </c>
      <c r="AZ67" s="345">
        <f t="shared" si="19"/>
        <v>3937218.859581787</v>
      </c>
      <c r="BA67" s="345">
        <f t="shared" si="20"/>
        <v>66264.8</v>
      </c>
      <c r="BB67" s="345">
        <f t="shared" si="21"/>
        <v>3995441.4597834735</v>
      </c>
      <c r="BC67" s="344"/>
      <c r="BD67" s="12"/>
      <c r="BE67" s="339"/>
      <c r="BF67" s="311">
        <v>2001</v>
      </c>
      <c r="BG67" s="346">
        <f t="shared" si="26"/>
        <v>0.13176533309521996</v>
      </c>
      <c r="BH67" s="345">
        <f t="shared" si="22"/>
        <v>526460.6748108213</v>
      </c>
      <c r="BI67" s="351">
        <f t="shared" si="45"/>
        <v>0.014787747970878895</v>
      </c>
      <c r="BJ67" s="340"/>
      <c r="BK67" s="15"/>
      <c r="BL67" s="325"/>
      <c r="BM67" s="311">
        <v>2001</v>
      </c>
      <c r="BN67" s="345">
        <f ca="1" t="shared" si="27"/>
        <v>11724.580000000002</v>
      </c>
      <c r="BO67" s="345">
        <f ca="1" t="shared" si="28"/>
        <v>23241.999689089185</v>
      </c>
      <c r="BP67" s="345">
        <f ca="1" t="shared" si="29"/>
        <v>-13892.298732710202</v>
      </c>
      <c r="BQ67" s="345">
        <f ca="1" t="shared" si="46"/>
        <v>21074.280956378985</v>
      </c>
      <c r="BR67" s="345">
        <f ca="1" t="shared" si="31"/>
        <v>5826.400000000001</v>
      </c>
      <c r="BS67" s="345">
        <f ca="1" t="shared" si="32"/>
        <v>15247.880956378984</v>
      </c>
      <c r="BT67" s="307"/>
      <c r="BV67" s="325"/>
      <c r="BW67" s="311">
        <v>2001</v>
      </c>
      <c r="BX67" s="359">
        <f ca="1" t="shared" si="10"/>
        <v>21074.280956378985</v>
      </c>
      <c r="BY67" s="359">
        <f t="shared" si="0"/>
        <v>0</v>
      </c>
      <c r="BZ67" s="360">
        <f ca="1" t="shared" si="11"/>
        <v>0</v>
      </c>
      <c r="CA67" s="307"/>
    </row>
    <row r="68" spans="2:79" ht="12.75">
      <c r="B68" s="343"/>
      <c r="C68" s="311">
        <v>2002</v>
      </c>
      <c r="D68" s="345">
        <f t="shared" si="12"/>
        <v>3507686.7064493527</v>
      </c>
      <c r="E68" s="345">
        <f t="shared" si="13"/>
        <v>66174.6</v>
      </c>
      <c r="F68" s="345">
        <f t="shared" si="14"/>
        <v>3568205.669912601</v>
      </c>
      <c r="G68" s="344"/>
      <c r="H68" s="12"/>
      <c r="I68" s="339"/>
      <c r="J68" s="311">
        <v>2002</v>
      </c>
      <c r="K68" s="346">
        <f t="shared" si="47"/>
        <v>0.07616565269832037</v>
      </c>
      <c r="L68" s="347">
        <f t="shared" si="33"/>
        <v>271774.71381074074</v>
      </c>
      <c r="M68" s="351">
        <f t="shared" si="34"/>
        <v>0.017253240818792648</v>
      </c>
      <c r="N68" s="340"/>
      <c r="O68" s="15"/>
      <c r="P68" s="325"/>
      <c r="Q68" s="311">
        <v>2002</v>
      </c>
      <c r="R68" s="352">
        <f ca="1">E68*FORECAST(Q68,OFFSET('Saturations and Allocations'!$C$13,1,MATCH(B$6,SATURATIONS_HOUSING_TYPE,0)-1+MATCH(B$2,HVAC_SYSTEMS,0),2,1),'Saturations and Allocations'!$C$14:$C$15)</f>
        <v>6617.460000000001</v>
      </c>
      <c r="S68" s="347">
        <f ca="1" t="shared" si="24"/>
        <v>13318.340049781547</v>
      </c>
      <c r="T68" s="347">
        <f ca="1" t="shared" si="35"/>
        <v>-11029.628497796404</v>
      </c>
      <c r="U68" s="347">
        <f ca="1" t="shared" si="36"/>
        <v>8906.171551985144</v>
      </c>
      <c r="V68" s="347">
        <f ca="1" t="shared" si="37"/>
        <v>0</v>
      </c>
      <c r="W68" s="347">
        <f ca="1" t="shared" si="38"/>
        <v>8906.171551985144</v>
      </c>
      <c r="X68" s="307"/>
      <c r="Z68" s="343"/>
      <c r="AA68" s="311">
        <v>2002</v>
      </c>
      <c r="AB68" s="345">
        <f t="shared" si="15"/>
        <v>487754.75333412096</v>
      </c>
      <c r="AC68" s="345">
        <f t="shared" si="16"/>
        <v>7464</v>
      </c>
      <c r="AD68" s="345">
        <f t="shared" si="17"/>
        <v>492870.42962264724</v>
      </c>
      <c r="AE68" s="344"/>
      <c r="AF68" s="12"/>
      <c r="AG68" s="339"/>
      <c r="AH68" s="311">
        <v>2002</v>
      </c>
      <c r="AI68" s="346">
        <f t="shared" si="48"/>
        <v>0.5131140000000001</v>
      </c>
      <c r="AJ68" s="347">
        <f t="shared" si="39"/>
        <v>252898.71762539505</v>
      </c>
      <c r="AK68" s="351">
        <f t="shared" si="40"/>
        <v>0.010488214114895422</v>
      </c>
      <c r="AL68" s="340"/>
      <c r="AM68" s="15"/>
      <c r="AN68" s="325"/>
      <c r="AO68" s="311">
        <v>2002</v>
      </c>
      <c r="AP68" s="352">
        <f ca="1">AC68*FORECAST(AO68,OFFSET('Saturations and Allocations'!$C$13,1,MATCH(Z$6,SATURATIONS_HOUSING_TYPE,0)-1+MATCH(Z$2,HVAC_SYSTEMS,0),2,1),'Saturations and Allocations'!$C$14:$C$15)</f>
        <v>5971.200000000001</v>
      </c>
      <c r="AQ68" s="347">
        <f ca="1" t="shared" si="25"/>
        <v>10781.789774985016</v>
      </c>
      <c r="AR68" s="347">
        <f ca="1" t="shared" si="41"/>
        <v>-3346.2748768891215</v>
      </c>
      <c r="AS68" s="347">
        <f ca="1" t="shared" si="42"/>
        <v>13406.714898095895</v>
      </c>
      <c r="AT68" s="347">
        <f ca="1" t="shared" si="43"/>
        <v>5971.200000000001</v>
      </c>
      <c r="AU68" s="347">
        <f ca="1" t="shared" si="44"/>
        <v>7435.514898095895</v>
      </c>
      <c r="AV68" s="307"/>
      <c r="AX68" s="343"/>
      <c r="AY68" s="311">
        <v>2002</v>
      </c>
      <c r="AZ68" s="345">
        <f t="shared" si="19"/>
        <v>3995441.4597834735</v>
      </c>
      <c r="BA68" s="345">
        <f t="shared" si="20"/>
        <v>73638.6</v>
      </c>
      <c r="BB68" s="345">
        <f t="shared" si="21"/>
        <v>4061076.0995352482</v>
      </c>
      <c r="BC68" s="344"/>
      <c r="BD68" s="12"/>
      <c r="BE68" s="339"/>
      <c r="BF68" s="311">
        <v>2002</v>
      </c>
      <c r="BG68" s="346">
        <f t="shared" si="26"/>
        <v>0.1291956660196985</v>
      </c>
      <c r="BH68" s="345">
        <f t="shared" si="22"/>
        <v>524673.4314361358</v>
      </c>
      <c r="BI68" s="351">
        <f t="shared" si="45"/>
        <v>0.01642738115735809</v>
      </c>
      <c r="BJ68" s="340"/>
      <c r="BK68" s="15"/>
      <c r="BL68" s="325"/>
      <c r="BM68" s="311">
        <v>2002</v>
      </c>
      <c r="BN68" s="345">
        <f ca="1" t="shared" si="27"/>
        <v>12588.660000000002</v>
      </c>
      <c r="BO68" s="345">
        <f ca="1" t="shared" si="28"/>
        <v>24100.12982476656</v>
      </c>
      <c r="BP68" s="345">
        <f ca="1" t="shared" si="29"/>
        <v>-14375.903374685526</v>
      </c>
      <c r="BQ68" s="345">
        <f ca="1" t="shared" si="46"/>
        <v>22312.886450081038</v>
      </c>
      <c r="BR68" s="345">
        <f ca="1" t="shared" si="31"/>
        <v>5971.200000000001</v>
      </c>
      <c r="BS68" s="345">
        <f ca="1" t="shared" si="32"/>
        <v>16341.686450081039</v>
      </c>
      <c r="BT68" s="307"/>
      <c r="BV68" s="325"/>
      <c r="BW68" s="311">
        <v>2002</v>
      </c>
      <c r="BX68" s="359">
        <f ca="1" t="shared" si="10"/>
        <v>22312.886450081038</v>
      </c>
      <c r="BY68" s="359">
        <f t="shared" si="0"/>
        <v>0</v>
      </c>
      <c r="BZ68" s="360">
        <f ca="1" t="shared" si="11"/>
        <v>0</v>
      </c>
      <c r="CA68" s="307"/>
    </row>
    <row r="69" spans="2:79" ht="12.75">
      <c r="B69" s="343"/>
      <c r="C69" s="311">
        <v>2003</v>
      </c>
      <c r="D69" s="345">
        <f t="shared" si="12"/>
        <v>3568205.669912601</v>
      </c>
      <c r="E69" s="345">
        <f t="shared" si="13"/>
        <v>73242.5</v>
      </c>
      <c r="F69" s="345">
        <f t="shared" si="14"/>
        <v>3635805.3760895464</v>
      </c>
      <c r="G69" s="344"/>
      <c r="H69" s="12"/>
      <c r="I69" s="339"/>
      <c r="J69" s="311">
        <v>2003</v>
      </c>
      <c r="K69" s="346">
        <f t="shared" si="47"/>
        <v>0.0735936912873959</v>
      </c>
      <c r="L69" s="347">
        <f t="shared" si="33"/>
        <v>267572.3384289884</v>
      </c>
      <c r="M69" s="351">
        <f t="shared" si="34"/>
        <v>0.018945013945510958</v>
      </c>
      <c r="N69" s="340"/>
      <c r="O69" s="15"/>
      <c r="P69" s="325"/>
      <c r="Q69" s="311">
        <v>2003</v>
      </c>
      <c r="R69" s="352">
        <f ca="1">E69*FORECAST(Q69,OFFSET('Saturations and Allocations'!$C$13,1,MATCH(B$6,SATURATIONS_HOUSING_TYPE,0)-1+MATCH(B$2,HVAC_SYSTEMS,0),2,1),'Saturations and Allocations'!$C$14:$C$15)</f>
        <v>7324.25</v>
      </c>
      <c r="S69" s="347">
        <f ca="1" t="shared" si="24"/>
        <v>11865.520160643793</v>
      </c>
      <c r="T69" s="347">
        <f ca="1" t="shared" si="35"/>
        <v>-11526.625381752325</v>
      </c>
      <c r="U69" s="347">
        <f ca="1" t="shared" si="36"/>
        <v>7663.144778891467</v>
      </c>
      <c r="V69" s="347">
        <f ca="1" t="shared" si="37"/>
        <v>0</v>
      </c>
      <c r="W69" s="347">
        <f ca="1" t="shared" si="38"/>
        <v>7663.144778891467</v>
      </c>
      <c r="X69" s="307"/>
      <c r="Z69" s="343"/>
      <c r="AA69" s="311">
        <v>2003</v>
      </c>
      <c r="AB69" s="345">
        <f t="shared" si="15"/>
        <v>492870.42962264724</v>
      </c>
      <c r="AC69" s="345">
        <f t="shared" si="16"/>
        <v>6895</v>
      </c>
      <c r="AD69" s="345">
        <f t="shared" si="17"/>
        <v>497442.20241492265</v>
      </c>
      <c r="AE69" s="344"/>
      <c r="AF69" s="12"/>
      <c r="AG69" s="339"/>
      <c r="AH69" s="311">
        <v>2003</v>
      </c>
      <c r="AI69" s="346">
        <f t="shared" si="48"/>
        <v>0.5131140000000001</v>
      </c>
      <c r="AJ69" s="347">
        <f t="shared" si="39"/>
        <v>255244.55824993065</v>
      </c>
      <c r="AK69" s="351">
        <f t="shared" si="40"/>
        <v>0.009275810674573615</v>
      </c>
      <c r="AL69" s="340"/>
      <c r="AM69" s="15"/>
      <c r="AN69" s="325"/>
      <c r="AO69" s="311">
        <v>2003</v>
      </c>
      <c r="AP69" s="352">
        <f ca="1">AC69*FORECAST(AO69,OFFSET('Saturations and Allocations'!$C$13,1,MATCH(Z$6,SATURATIONS_HOUSING_TYPE,0)-1+MATCH(Z$2,HVAC_SYSTEMS,0),2,1),'Saturations and Allocations'!$C$14:$C$15)</f>
        <v>5516</v>
      </c>
      <c r="AQ69" s="347">
        <f ca="1" t="shared" si="25"/>
        <v>9728.08394115857</v>
      </c>
      <c r="AR69" s="347">
        <f ca="1" t="shared" si="41"/>
        <v>-3170.159375464398</v>
      </c>
      <c r="AS69" s="347">
        <f ca="1" t="shared" si="42"/>
        <v>12073.924565694171</v>
      </c>
      <c r="AT69" s="347">
        <f ca="1" t="shared" si="43"/>
        <v>5516</v>
      </c>
      <c r="AU69" s="347">
        <f ca="1" t="shared" si="44"/>
        <v>6557.924565694171</v>
      </c>
      <c r="AV69" s="307"/>
      <c r="AX69" s="343"/>
      <c r="AY69" s="311">
        <v>2003</v>
      </c>
      <c r="AZ69" s="345">
        <f t="shared" si="19"/>
        <v>4061076.0995352482</v>
      </c>
      <c r="BA69" s="345">
        <f t="shared" si="20"/>
        <v>80137.5</v>
      </c>
      <c r="BB69" s="345">
        <f t="shared" si="21"/>
        <v>4133247.5785044692</v>
      </c>
      <c r="BC69" s="344"/>
      <c r="BD69" s="12"/>
      <c r="BE69" s="339"/>
      <c r="BF69" s="311">
        <v>2003</v>
      </c>
      <c r="BG69" s="346">
        <f t="shared" si="26"/>
        <v>0.1264905831912662</v>
      </c>
      <c r="BH69" s="345">
        <f t="shared" si="22"/>
        <v>522816.8966789191</v>
      </c>
      <c r="BI69" s="351">
        <f t="shared" si="45"/>
        <v>0.017771516021943157</v>
      </c>
      <c r="BJ69" s="340"/>
      <c r="BK69" s="15"/>
      <c r="BL69" s="325"/>
      <c r="BM69" s="311">
        <v>2003</v>
      </c>
      <c r="BN69" s="345">
        <f ca="1" t="shared" si="27"/>
        <v>12840.25</v>
      </c>
      <c r="BO69" s="345">
        <f ca="1" t="shared" si="28"/>
        <v>21593.60410180236</v>
      </c>
      <c r="BP69" s="345">
        <f ca="1" t="shared" si="29"/>
        <v>-14696.784757216723</v>
      </c>
      <c r="BQ69" s="345">
        <f ca="1" t="shared" si="46"/>
        <v>19737.069344585638</v>
      </c>
      <c r="BR69" s="345">
        <f ca="1" t="shared" si="31"/>
        <v>5516</v>
      </c>
      <c r="BS69" s="345">
        <f ca="1" t="shared" si="32"/>
        <v>14221.069344585638</v>
      </c>
      <c r="BT69" s="307"/>
      <c r="BV69" s="325"/>
      <c r="BW69" s="311">
        <v>2003</v>
      </c>
      <c r="BX69" s="359">
        <f ca="1" t="shared" si="10"/>
        <v>19737.069344585638</v>
      </c>
      <c r="BY69" s="359">
        <f t="shared" si="0"/>
        <v>0</v>
      </c>
      <c r="BZ69" s="360">
        <f ca="1" t="shared" si="11"/>
        <v>0</v>
      </c>
      <c r="CA69" s="307"/>
    </row>
    <row r="70" spans="2:79" ht="12.75">
      <c r="B70" s="343"/>
      <c r="C70" s="311">
        <v>2004</v>
      </c>
      <c r="D70" s="345">
        <f t="shared" si="12"/>
        <v>3635805.3760895464</v>
      </c>
      <c r="E70" s="345">
        <f t="shared" si="13"/>
        <v>76942.45812831254</v>
      </c>
      <c r="F70" s="345">
        <f t="shared" si="14"/>
        <v>3707117.8539455077</v>
      </c>
      <c r="G70" s="344"/>
      <c r="H70" s="12"/>
      <c r="I70" s="339"/>
      <c r="J70" s="311">
        <v>2004</v>
      </c>
      <c r="K70" s="346">
        <f t="shared" si="47"/>
        <v>0.07102172987647143</v>
      </c>
      <c r="L70" s="347">
        <f t="shared" si="33"/>
        <v>263285.9228431623</v>
      </c>
      <c r="M70" s="351">
        <f t="shared" si="34"/>
        <v>0.019613942573752485</v>
      </c>
      <c r="N70" s="340"/>
      <c r="O70" s="15"/>
      <c r="P70" s="325"/>
      <c r="Q70" s="311">
        <v>2004</v>
      </c>
      <c r="R70" s="352">
        <f ca="1">E70*FORECAST(Q70,OFFSET('Saturations and Allocations'!$C$13,1,MATCH(B$6,SATURATIONS_HOUSING_TYPE,0)-1+MATCH(B$2,HVAC_SYSTEMS,0),2,1),'Saturations and Allocations'!$C$14:$C$15)</f>
        <v>7694.245812831255</v>
      </c>
      <c r="S70" s="347">
        <f ca="1" t="shared" si="24"/>
        <v>13344.15142889292</v>
      </c>
      <c r="T70" s="347">
        <f ca="1" t="shared" si="35"/>
        <v>-11980.661398657347</v>
      </c>
      <c r="U70" s="347">
        <f ca="1" t="shared" si="36"/>
        <v>9057.735843066828</v>
      </c>
      <c r="V70" s="347">
        <f ca="1" t="shared" si="37"/>
        <v>0</v>
      </c>
      <c r="W70" s="347">
        <f ca="1" t="shared" si="38"/>
        <v>9057.735843066828</v>
      </c>
      <c r="X70" s="307"/>
      <c r="Z70" s="343"/>
      <c r="AA70" s="311">
        <v>2004</v>
      </c>
      <c r="AB70" s="345">
        <f t="shared" si="15"/>
        <v>497442.20241492265</v>
      </c>
      <c r="AC70" s="345">
        <f t="shared" si="16"/>
        <v>6659</v>
      </c>
      <c r="AD70" s="345">
        <f t="shared" si="17"/>
        <v>501802.803504951</v>
      </c>
      <c r="AE70" s="344"/>
      <c r="AF70" s="12"/>
      <c r="AG70" s="339"/>
      <c r="AH70" s="311">
        <v>2004</v>
      </c>
      <c r="AI70" s="346">
        <f t="shared" si="48"/>
        <v>0.5131140000000001</v>
      </c>
      <c r="AJ70" s="347">
        <f t="shared" si="39"/>
        <v>257482.04371763946</v>
      </c>
      <c r="AK70" s="351">
        <f t="shared" si="40"/>
        <v>0.008766045721209537</v>
      </c>
      <c r="AL70" s="340"/>
      <c r="AM70" s="15"/>
      <c r="AN70" s="325"/>
      <c r="AO70" s="311">
        <v>2004</v>
      </c>
      <c r="AP70" s="352">
        <f ca="1">AC70*FORECAST(AO70,OFFSET('Saturations and Allocations'!$C$13,1,MATCH(Z$6,SATURATIONS_HOUSING_TYPE,0)-1+MATCH(Z$2,HVAC_SYSTEMS,0),2,1),'Saturations and Allocations'!$C$14:$C$15)</f>
        <v>5327.200000000001</v>
      </c>
      <c r="AQ70" s="347">
        <f ca="1" t="shared" si="25"/>
        <v>11466.05892696845</v>
      </c>
      <c r="AR70" s="347">
        <f ca="1" t="shared" si="41"/>
        <v>-3089.7145322911856</v>
      </c>
      <c r="AS70" s="347">
        <f ca="1" t="shared" si="42"/>
        <v>13703.544394677265</v>
      </c>
      <c r="AT70" s="347">
        <f ca="1" t="shared" si="43"/>
        <v>5327.200000000001</v>
      </c>
      <c r="AU70" s="347">
        <f ca="1" t="shared" si="44"/>
        <v>8376.344394677264</v>
      </c>
      <c r="AV70" s="307"/>
      <c r="AX70" s="343"/>
      <c r="AY70" s="311">
        <v>2004</v>
      </c>
      <c r="AZ70" s="345">
        <f t="shared" si="19"/>
        <v>4133247.5785044692</v>
      </c>
      <c r="BA70" s="345">
        <f t="shared" si="20"/>
        <v>83601.45812831254</v>
      </c>
      <c r="BB70" s="345">
        <f t="shared" si="21"/>
        <v>4208920.657450459</v>
      </c>
      <c r="BC70" s="344"/>
      <c r="BD70" s="12"/>
      <c r="BE70" s="339"/>
      <c r="BF70" s="311">
        <v>2004</v>
      </c>
      <c r="BG70" s="346">
        <f t="shared" si="26"/>
        <v>0.12372957557158025</v>
      </c>
      <c r="BH70" s="345">
        <f t="shared" si="22"/>
        <v>520767.9665608018</v>
      </c>
      <c r="BI70" s="351">
        <f t="shared" si="45"/>
        <v>0.018308382817312507</v>
      </c>
      <c r="BJ70" s="340"/>
      <c r="BK70" s="15"/>
      <c r="BL70" s="325"/>
      <c r="BM70" s="311">
        <v>2004</v>
      </c>
      <c r="BN70" s="345">
        <f ca="1" t="shared" si="27"/>
        <v>13021.445812831254</v>
      </c>
      <c r="BO70" s="345">
        <f ca="1" t="shared" si="28"/>
        <v>24810.210355861367</v>
      </c>
      <c r="BP70" s="345">
        <f ca="1" t="shared" si="29"/>
        <v>-15070.375930948532</v>
      </c>
      <c r="BQ70" s="345">
        <f ca="1" t="shared" si="46"/>
        <v>22761.280237744093</v>
      </c>
      <c r="BR70" s="345">
        <f ca="1" t="shared" si="31"/>
        <v>5327.200000000001</v>
      </c>
      <c r="BS70" s="345">
        <f ca="1" t="shared" si="32"/>
        <v>17434.080237744092</v>
      </c>
      <c r="BT70" s="307"/>
      <c r="BV70" s="325"/>
      <c r="BW70" s="311">
        <v>2004</v>
      </c>
      <c r="BX70" s="359">
        <f ca="1" t="shared" si="10"/>
        <v>22761.280237744093</v>
      </c>
      <c r="BY70" s="359">
        <f t="shared" si="0"/>
        <v>0</v>
      </c>
      <c r="BZ70" s="360">
        <f ca="1" t="shared" si="11"/>
        <v>0</v>
      </c>
      <c r="CA70" s="307"/>
    </row>
    <row r="71" spans="2:79" ht="12.75">
      <c r="B71" s="343"/>
      <c r="C71" s="311">
        <v>2005</v>
      </c>
      <c r="D71" s="345">
        <f t="shared" si="12"/>
        <v>3707117.8539455077</v>
      </c>
      <c r="E71" s="345">
        <f t="shared" si="13"/>
        <v>85375.800888065</v>
      </c>
      <c r="F71" s="345">
        <f t="shared" si="14"/>
        <v>3786876.459015153</v>
      </c>
      <c r="G71" s="344"/>
      <c r="H71" s="12"/>
      <c r="I71" s="339"/>
      <c r="J71" s="311">
        <v>2005</v>
      </c>
      <c r="K71" s="346">
        <f t="shared" si="47"/>
        <v>0.06844976846554696</v>
      </c>
      <c r="L71" s="347">
        <f t="shared" si="33"/>
        <v>259210.81682721752</v>
      </c>
      <c r="M71" s="351">
        <f t="shared" si="34"/>
        <v>0.021514990408183943</v>
      </c>
      <c r="N71" s="340"/>
      <c r="O71" s="15"/>
      <c r="P71" s="325"/>
      <c r="Q71" s="311">
        <v>2005</v>
      </c>
      <c r="R71" s="352">
        <f ca="1">E71*FORECAST(Q71,OFFSET('Saturations and Allocations'!$C$13,1,MATCH(B$6,SATURATIONS_HOUSING_TYPE,0)-1+MATCH(B$2,HVAC_SYSTEMS,0),2,1),'Saturations and Allocations'!$C$14:$C$15)</f>
        <v>8537.5800888065</v>
      </c>
      <c r="S71" s="347">
        <f ca="1" t="shared" si="24"/>
        <v>12890.150269980137</v>
      </c>
      <c r="T71" s="347">
        <f ca="1" t="shared" si="35"/>
        <v>-12612.686104751296</v>
      </c>
      <c r="U71" s="347">
        <f ca="1" t="shared" si="36"/>
        <v>8815.044254035342</v>
      </c>
      <c r="V71" s="347">
        <f ca="1" t="shared" si="37"/>
        <v>0</v>
      </c>
      <c r="W71" s="347">
        <f ca="1" t="shared" si="38"/>
        <v>8815.044254035342</v>
      </c>
      <c r="X71" s="307"/>
      <c r="Z71" s="343"/>
      <c r="AA71" s="311">
        <v>2005</v>
      </c>
      <c r="AB71" s="345">
        <f t="shared" si="15"/>
        <v>501802.803504951</v>
      </c>
      <c r="AC71" s="345">
        <f t="shared" si="16"/>
        <v>6657</v>
      </c>
      <c r="AD71" s="345">
        <f t="shared" si="17"/>
        <v>506185.9675530499</v>
      </c>
      <c r="AE71" s="344"/>
      <c r="AF71" s="12"/>
      <c r="AG71" s="339"/>
      <c r="AH71" s="311">
        <v>2005</v>
      </c>
      <c r="AI71" s="346">
        <f t="shared" si="48"/>
        <v>0.5131140000000001</v>
      </c>
      <c r="AJ71" s="347">
        <f t="shared" si="39"/>
        <v>259731.1065550157</v>
      </c>
      <c r="AK71" s="351">
        <f t="shared" si="40"/>
        <v>0.008734833718512025</v>
      </c>
      <c r="AL71" s="340"/>
      <c r="AM71" s="15"/>
      <c r="AN71" s="325"/>
      <c r="AO71" s="311">
        <v>2005</v>
      </c>
      <c r="AP71" s="352">
        <f ca="1">AC71*FORECAST(AO71,OFFSET('Saturations and Allocations'!$C$13,1,MATCH(Z$6,SATURATIONS_HOUSING_TYPE,0)-1+MATCH(Z$2,HVAC_SYSTEMS,0),2,1),'Saturations and Allocations'!$C$14:$C$15)</f>
        <v>5325.6</v>
      </c>
      <c r="AQ71" s="347">
        <f ca="1" t="shared" si="25"/>
        <v>11367.94140943206</v>
      </c>
      <c r="AR71" s="347">
        <f ca="1" t="shared" si="41"/>
        <v>-3076.53716262377</v>
      </c>
      <c r="AS71" s="347">
        <f ca="1" t="shared" si="42"/>
        <v>13617.004246808288</v>
      </c>
      <c r="AT71" s="347">
        <f ca="1" t="shared" si="43"/>
        <v>5325.6</v>
      </c>
      <c r="AU71" s="347">
        <f ca="1" t="shared" si="44"/>
        <v>8291.40424680829</v>
      </c>
      <c r="AV71" s="307"/>
      <c r="AX71" s="343"/>
      <c r="AY71" s="311">
        <v>2005</v>
      </c>
      <c r="AZ71" s="345">
        <f t="shared" si="19"/>
        <v>4208920.657450459</v>
      </c>
      <c r="BA71" s="345">
        <f t="shared" si="20"/>
        <v>92032.800888065</v>
      </c>
      <c r="BB71" s="345">
        <f t="shared" si="21"/>
        <v>4293062.426568203</v>
      </c>
      <c r="BC71" s="344"/>
      <c r="BD71" s="12"/>
      <c r="BE71" s="339"/>
      <c r="BF71" s="311">
        <v>2005</v>
      </c>
      <c r="BG71" s="346">
        <f t="shared" si="26"/>
        <v>0.12087919340997474</v>
      </c>
      <c r="BH71" s="345">
        <f t="shared" si="22"/>
        <v>518941.92338223325</v>
      </c>
      <c r="BI71" s="351">
        <f t="shared" si="45"/>
        <v>0.01999129372248909</v>
      </c>
      <c r="BJ71" s="340"/>
      <c r="BK71" s="15"/>
      <c r="BL71" s="325"/>
      <c r="BM71" s="311">
        <v>2005</v>
      </c>
      <c r="BN71" s="345">
        <f ca="1" t="shared" si="27"/>
        <v>13863.1800888065</v>
      </c>
      <c r="BO71" s="345">
        <f ca="1" t="shared" si="28"/>
        <v>24258.091679412195</v>
      </c>
      <c r="BP71" s="345">
        <f ca="1" t="shared" si="29"/>
        <v>-15689.223267375066</v>
      </c>
      <c r="BQ71" s="345">
        <f ca="1" t="shared" si="46"/>
        <v>22432.04850084363</v>
      </c>
      <c r="BR71" s="345">
        <f ca="1" t="shared" si="31"/>
        <v>5325.6</v>
      </c>
      <c r="BS71" s="345">
        <f ca="1" t="shared" si="32"/>
        <v>17106.44850084363</v>
      </c>
      <c r="BT71" s="307"/>
      <c r="BV71" s="325"/>
      <c r="BW71" s="311">
        <v>2005</v>
      </c>
      <c r="BX71" s="359">
        <f ca="1" t="shared" si="10"/>
        <v>22432.04850084363</v>
      </c>
      <c r="BY71" s="359">
        <f t="shared" si="0"/>
        <v>0</v>
      </c>
      <c r="BZ71" s="360">
        <f ca="1" t="shared" si="11"/>
        <v>0</v>
      </c>
      <c r="CA71" s="307"/>
    </row>
    <row r="72" spans="2:79" ht="12.75">
      <c r="B72" s="343"/>
      <c r="C72" s="311">
        <v>2006</v>
      </c>
      <c r="D72" s="345">
        <f t="shared" si="12"/>
        <v>3786876.459015153</v>
      </c>
      <c r="E72" s="345">
        <f t="shared" si="13"/>
        <v>76635.58122167857</v>
      </c>
      <c r="F72" s="345">
        <f t="shared" si="14"/>
        <v>3857907.5998416455</v>
      </c>
      <c r="G72" s="344"/>
      <c r="H72" s="12"/>
      <c r="I72" s="339"/>
      <c r="J72" s="311">
        <v>2006</v>
      </c>
      <c r="K72" s="346">
        <f t="shared" si="47"/>
        <v>0.06587780705462248</v>
      </c>
      <c r="L72" s="347">
        <f t="shared" si="33"/>
        <v>254150.49249692966</v>
      </c>
      <c r="M72" s="351">
        <f t="shared" si="34"/>
        <v>0.018757184607222532</v>
      </c>
      <c r="N72" s="340"/>
      <c r="O72" s="15"/>
      <c r="P72" s="325"/>
      <c r="Q72" s="311">
        <v>2006</v>
      </c>
      <c r="R72" s="352">
        <f ca="1">E72*FORECAST(Q72,OFFSET('Saturations and Allocations'!$C$13,1,MATCH(B$6,SATURATIONS_HOUSING_TYPE,0)-1+MATCH(B$2,HVAC_SYSTEMS,0),2,1),'Saturations and Allocations'!$C$14:$C$15)</f>
        <v>7663.558122167858</v>
      </c>
      <c r="S72" s="347">
        <f ca="1" t="shared" si="24"/>
        <v>12573.600831838963</v>
      </c>
      <c r="T72" s="347">
        <f ca="1" t="shared" si="35"/>
        <v>-12723.882452455728</v>
      </c>
      <c r="U72" s="347">
        <f ca="1" t="shared" si="36"/>
        <v>7513.276501551092</v>
      </c>
      <c r="V72" s="347">
        <f ca="1" t="shared" si="37"/>
        <v>0</v>
      </c>
      <c r="W72" s="347">
        <f ca="1" t="shared" si="38"/>
        <v>7513.276501551092</v>
      </c>
      <c r="X72" s="307"/>
      <c r="Z72" s="343"/>
      <c r="AA72" s="311">
        <v>2006</v>
      </c>
      <c r="AB72" s="345">
        <f t="shared" si="15"/>
        <v>506185.9675530499</v>
      </c>
      <c r="AC72" s="345">
        <f t="shared" si="16"/>
        <v>6343</v>
      </c>
      <c r="AD72" s="345">
        <f t="shared" si="17"/>
        <v>510279.43205521867</v>
      </c>
      <c r="AE72" s="344"/>
      <c r="AF72" s="12"/>
      <c r="AG72" s="339"/>
      <c r="AH72" s="311">
        <v>2006</v>
      </c>
      <c r="AI72" s="346">
        <f t="shared" si="48"/>
        <v>0.5131140000000001</v>
      </c>
      <c r="AJ72" s="347">
        <f t="shared" si="39"/>
        <v>261831.5204995815</v>
      </c>
      <c r="AK72" s="351">
        <f t="shared" si="40"/>
        <v>0.00808687866626756</v>
      </c>
      <c r="AL72" s="340"/>
      <c r="AM72" s="15"/>
      <c r="AN72" s="325"/>
      <c r="AO72" s="311">
        <v>2006</v>
      </c>
      <c r="AP72" s="352">
        <f ca="1">AC72*FORECAST(AO72,OFFSET('Saturations and Allocations'!$C$13,1,MATCH(Z$6,SATURATIONS_HOUSING_TYPE,0)-1+MATCH(Z$2,HVAC_SYSTEMS,0),2,1),'Saturations and Allocations'!$C$14:$C$15)</f>
        <v>5074.400000000001</v>
      </c>
      <c r="AQ72" s="347">
        <f ca="1" t="shared" si="25"/>
        <v>10458.93498387056</v>
      </c>
      <c r="AR72" s="347">
        <f ca="1" t="shared" si="41"/>
        <v>-2973.986055434193</v>
      </c>
      <c r="AS72" s="347">
        <f ca="1" t="shared" si="42"/>
        <v>12559.348928436368</v>
      </c>
      <c r="AT72" s="347">
        <f ca="1" t="shared" si="43"/>
        <v>5074.400000000001</v>
      </c>
      <c r="AU72" s="347">
        <f ca="1" t="shared" si="44"/>
        <v>7484.948928436367</v>
      </c>
      <c r="AV72" s="307"/>
      <c r="AX72" s="343"/>
      <c r="AY72" s="311">
        <v>2006</v>
      </c>
      <c r="AZ72" s="345">
        <f t="shared" si="19"/>
        <v>4293062.426568203</v>
      </c>
      <c r="BA72" s="345">
        <f t="shared" si="20"/>
        <v>82978.58122167857</v>
      </c>
      <c r="BB72" s="345">
        <f t="shared" si="21"/>
        <v>4368187.031896864</v>
      </c>
      <c r="BC72" s="344"/>
      <c r="BD72" s="12"/>
      <c r="BE72" s="339"/>
      <c r="BF72" s="311">
        <v>2006</v>
      </c>
      <c r="BG72" s="346">
        <f t="shared" si="26"/>
        <v>0.11812269237300686</v>
      </c>
      <c r="BH72" s="345">
        <f t="shared" si="22"/>
        <v>515982.0129965112</v>
      </c>
      <c r="BI72" s="351">
        <f t="shared" si="45"/>
        <v>0.01749907126058603</v>
      </c>
      <c r="BJ72" s="340"/>
      <c r="BK72" s="15"/>
      <c r="BL72" s="325"/>
      <c r="BM72" s="311">
        <v>2006</v>
      </c>
      <c r="BN72" s="345">
        <f ca="1" t="shared" si="27"/>
        <v>12737.958122167858</v>
      </c>
      <c r="BO72" s="345">
        <f ca="1" t="shared" si="28"/>
        <v>23032.535815709525</v>
      </c>
      <c r="BP72" s="345">
        <f ca="1" t="shared" si="29"/>
        <v>-15697.868507889922</v>
      </c>
      <c r="BQ72" s="345">
        <f ca="1" t="shared" si="46"/>
        <v>20072.62542998746</v>
      </c>
      <c r="BR72" s="345">
        <f ca="1" t="shared" si="31"/>
        <v>5074.400000000001</v>
      </c>
      <c r="BS72" s="345">
        <f ca="1" t="shared" si="32"/>
        <v>14998.225429987458</v>
      </c>
      <c r="BT72" s="307"/>
      <c r="BV72" s="325"/>
      <c r="BW72" s="311">
        <v>2006</v>
      </c>
      <c r="BX72" s="359">
        <f ca="1" t="shared" si="10"/>
        <v>20072.62542998746</v>
      </c>
      <c r="BY72" s="359">
        <f t="shared" si="0"/>
        <v>0</v>
      </c>
      <c r="BZ72" s="360">
        <f ca="1" t="shared" si="11"/>
        <v>0</v>
      </c>
      <c r="CA72" s="307"/>
    </row>
    <row r="73" spans="2:79" ht="12.75">
      <c r="B73" s="343"/>
      <c r="C73" s="311">
        <v>2007</v>
      </c>
      <c r="D73" s="345">
        <f t="shared" si="12"/>
        <v>3857907.5998416455</v>
      </c>
      <c r="E73" s="345">
        <f t="shared" si="13"/>
        <v>58437.30245263851</v>
      </c>
      <c r="F73" s="345">
        <f t="shared" si="14"/>
        <v>3910753.1883575544</v>
      </c>
      <c r="G73" s="344"/>
      <c r="H73" s="12"/>
      <c r="I73" s="339"/>
      <c r="J73" s="311">
        <v>2007</v>
      </c>
      <c r="K73" s="346">
        <f t="shared" si="47"/>
        <v>0.06330584564369801</v>
      </c>
      <c r="L73" s="347">
        <f t="shared" si="33"/>
        <v>247573.5376927632</v>
      </c>
      <c r="M73" s="351">
        <f t="shared" si="34"/>
        <v>0.013697992279047444</v>
      </c>
      <c r="N73" s="340"/>
      <c r="O73" s="15"/>
      <c r="P73" s="325"/>
      <c r="Q73" s="311">
        <v>2007</v>
      </c>
      <c r="R73" s="352">
        <f ca="1">E73*FORECAST(Q73,OFFSET('Saturations and Allocations'!$C$13,1,MATCH(B$6,SATURATIONS_HOUSING_TYPE,0)-1+MATCH(B$2,HVAC_SYSTEMS,0),2,1),'Saturations and Allocations'!$C$14:$C$15)</f>
        <v>5843.730245263851</v>
      </c>
      <c r="S73" s="347">
        <f ca="1" t="shared" si="24"/>
        <v>12737.906652619073</v>
      </c>
      <c r="T73" s="347">
        <f ca="1" t="shared" si="35"/>
        <v>-12420.685049430303</v>
      </c>
      <c r="U73" s="347">
        <f ca="1" t="shared" si="36"/>
        <v>6160.95184845262</v>
      </c>
      <c r="V73" s="347">
        <f ca="1" t="shared" si="37"/>
        <v>0</v>
      </c>
      <c r="W73" s="347">
        <f ca="1" t="shared" si="38"/>
        <v>6160.95184845262</v>
      </c>
      <c r="X73" s="307"/>
      <c r="Z73" s="343"/>
      <c r="AA73" s="311">
        <v>2007</v>
      </c>
      <c r="AB73" s="345">
        <f t="shared" si="15"/>
        <v>510279.43205521867</v>
      </c>
      <c r="AC73" s="345">
        <f t="shared" si="16"/>
        <v>8034.090443514807</v>
      </c>
      <c r="AD73" s="345">
        <f t="shared" si="17"/>
        <v>516088.0277563481</v>
      </c>
      <c r="AE73" s="344"/>
      <c r="AF73" s="12"/>
      <c r="AG73" s="339"/>
      <c r="AH73" s="311">
        <v>2007</v>
      </c>
      <c r="AI73" s="346">
        <f t="shared" si="48"/>
        <v>0.5131140000000001</v>
      </c>
      <c r="AJ73" s="347">
        <f t="shared" si="39"/>
        <v>264811.9922741708</v>
      </c>
      <c r="AK73" s="351">
        <f t="shared" si="40"/>
        <v>0.011383166430468217</v>
      </c>
      <c r="AL73" s="340"/>
      <c r="AM73" s="15"/>
      <c r="AN73" s="325"/>
      <c r="AO73" s="311">
        <v>2007</v>
      </c>
      <c r="AP73" s="352">
        <f ca="1">AC73*FORECAST(AO73,OFFSET('Saturations and Allocations'!$C$13,1,MATCH(Z$6,SATURATIONS_HOUSING_TYPE,0)-1+MATCH(Z$2,HVAC_SYSTEMS,0),2,1),'Saturations and Allocations'!$C$14:$C$15)</f>
        <v>6427.272354811846</v>
      </c>
      <c r="AQ73" s="347">
        <f ca="1" t="shared" si="25"/>
        <v>9582.600870119284</v>
      </c>
      <c r="AR73" s="347">
        <f ca="1" t="shared" si="41"/>
        <v>-3446.800580222546</v>
      </c>
      <c r="AS73" s="347">
        <f ca="1" t="shared" si="42"/>
        <v>12563.072644708584</v>
      </c>
      <c r="AT73" s="347">
        <f ca="1" t="shared" si="43"/>
        <v>6427.272354811846</v>
      </c>
      <c r="AU73" s="347">
        <f ca="1" t="shared" si="44"/>
        <v>6135.800289896738</v>
      </c>
      <c r="AV73" s="307"/>
      <c r="AX73" s="343"/>
      <c r="AY73" s="311">
        <v>2007</v>
      </c>
      <c r="AZ73" s="345">
        <f t="shared" si="19"/>
        <v>4368187.031896864</v>
      </c>
      <c r="BA73" s="345">
        <f t="shared" si="20"/>
        <v>66471.39289615332</v>
      </c>
      <c r="BB73" s="345">
        <f t="shared" si="21"/>
        <v>4426841.216113903</v>
      </c>
      <c r="BC73" s="344"/>
      <c r="BD73" s="12"/>
      <c r="BE73" s="339"/>
      <c r="BF73" s="311">
        <v>2007</v>
      </c>
      <c r="BG73" s="346">
        <f t="shared" si="26"/>
        <v>0.11574517922662947</v>
      </c>
      <c r="BH73" s="345">
        <f t="shared" si="22"/>
        <v>512385.529966934</v>
      </c>
      <c r="BI73" s="351">
        <f t="shared" si="45"/>
        <v>0.01342758077635886</v>
      </c>
      <c r="BJ73" s="340"/>
      <c r="BK73" s="15"/>
      <c r="BL73" s="325"/>
      <c r="BM73" s="311">
        <v>2007</v>
      </c>
      <c r="BN73" s="345">
        <f ca="1" t="shared" si="27"/>
        <v>12271.002600075697</v>
      </c>
      <c r="BO73" s="345">
        <f ca="1" t="shared" si="28"/>
        <v>22320.507522738357</v>
      </c>
      <c r="BP73" s="345">
        <f ca="1" t="shared" si="29"/>
        <v>-15867.485629652849</v>
      </c>
      <c r="BQ73" s="345">
        <f ca="1" t="shared" si="46"/>
        <v>18724.024493161203</v>
      </c>
      <c r="BR73" s="345">
        <f ca="1" t="shared" si="31"/>
        <v>6427.272354811846</v>
      </c>
      <c r="BS73" s="345">
        <f ca="1" t="shared" si="32"/>
        <v>12296.752138349359</v>
      </c>
      <c r="BT73" s="307"/>
      <c r="BV73" s="325"/>
      <c r="BW73" s="311">
        <v>2007</v>
      </c>
      <c r="BX73" s="359">
        <f ca="1" t="shared" si="10"/>
        <v>18724.024493161203</v>
      </c>
      <c r="BY73" s="359">
        <f t="shared" si="0"/>
        <v>0</v>
      </c>
      <c r="BZ73" s="360">
        <f ca="1" t="shared" si="11"/>
        <v>0</v>
      </c>
      <c r="CA73" s="307"/>
    </row>
    <row r="74" spans="2:79" ht="12.75">
      <c r="B74" s="343"/>
      <c r="C74" s="311">
        <v>2008</v>
      </c>
      <c r="D74" s="345">
        <f t="shared" si="12"/>
        <v>3910753.1883575544</v>
      </c>
      <c r="E74" s="345">
        <f t="shared" si="13"/>
        <v>34499.649056482594</v>
      </c>
      <c r="F74" s="345">
        <f t="shared" si="14"/>
        <v>3939673.8210367598</v>
      </c>
      <c r="G74" s="344"/>
      <c r="H74" s="12"/>
      <c r="I74" s="339"/>
      <c r="J74" s="311">
        <v>2008</v>
      </c>
      <c r="K74" s="346">
        <f t="shared" si="47"/>
        <v>0.06073388423277353</v>
      </c>
      <c r="L74" s="347">
        <f t="shared" si="33"/>
        <v>239271.6937617351</v>
      </c>
      <c r="M74" s="351">
        <f t="shared" si="34"/>
        <v>0.007395156709276041</v>
      </c>
      <c r="N74" s="340"/>
      <c r="O74" s="15"/>
      <c r="P74" s="325"/>
      <c r="Q74" s="311">
        <v>2008</v>
      </c>
      <c r="R74" s="352">
        <f ca="1">E74*FORECAST(Q74,OFFSET('Saturations and Allocations'!$C$13,1,MATCH(B$6,SATURATIONS_HOUSING_TYPE,0)-1+MATCH(B$2,HVAC_SYSTEMS,0),2,1),'Saturations and Allocations'!$C$14:$C$15)</f>
        <v>3449.9649056482594</v>
      </c>
      <c r="S74" s="347">
        <f ca="1" t="shared" si="24"/>
        <v>12619.209541227845</v>
      </c>
      <c r="T74" s="347">
        <f ca="1" t="shared" si="35"/>
        <v>-11751.808836676355</v>
      </c>
      <c r="U74" s="347">
        <f ca="1" t="shared" si="36"/>
        <v>4317.365610199749</v>
      </c>
      <c r="V74" s="347">
        <f ca="1" t="shared" si="37"/>
        <v>0</v>
      </c>
      <c r="W74" s="347">
        <f ca="1" t="shared" si="38"/>
        <v>4317.365610199749</v>
      </c>
      <c r="X74" s="307"/>
      <c r="Z74" s="343"/>
      <c r="AA74" s="311">
        <v>2008</v>
      </c>
      <c r="AB74" s="345">
        <f t="shared" si="15"/>
        <v>516088.0277563481</v>
      </c>
      <c r="AC74" s="345">
        <f t="shared" si="16"/>
        <v>8325.91291995356</v>
      </c>
      <c r="AD74" s="345">
        <f t="shared" si="17"/>
        <v>522212.2297661337</v>
      </c>
      <c r="AE74" s="344"/>
      <c r="AF74" s="12"/>
      <c r="AG74" s="339"/>
      <c r="AH74" s="311">
        <v>2008</v>
      </c>
      <c r="AI74" s="346">
        <f t="shared" si="48"/>
        <v>0.5131140000000001</v>
      </c>
      <c r="AJ74" s="347">
        <f t="shared" si="39"/>
        <v>267954.40606421995</v>
      </c>
      <c r="AK74" s="351">
        <f t="shared" si="40"/>
        <v>0.011866584149239356</v>
      </c>
      <c r="AL74" s="340"/>
      <c r="AM74" s="15"/>
      <c r="AN74" s="325"/>
      <c r="AO74" s="311">
        <v>2008</v>
      </c>
      <c r="AP74" s="352">
        <f ca="1">AC74*FORECAST(AO74,OFFSET('Saturations and Allocations'!$C$13,1,MATCH(Z$6,SATURATIONS_HOUSING_TYPE,0)-1+MATCH(Z$2,HVAC_SYSTEMS,0),2,1),'Saturations and Allocations'!$C$14:$C$15)</f>
        <v>6660.730335962849</v>
      </c>
      <c r="AQ74" s="347">
        <f ca="1" t="shared" si="25"/>
        <v>9366.992388736042</v>
      </c>
      <c r="AR74" s="347">
        <f ca="1" t="shared" si="41"/>
        <v>-3518.316545913701</v>
      </c>
      <c r="AS74" s="347">
        <f ca="1" t="shared" si="42"/>
        <v>12509.40617878519</v>
      </c>
      <c r="AT74" s="347">
        <f ca="1" t="shared" si="43"/>
        <v>6660.730335962849</v>
      </c>
      <c r="AU74" s="347">
        <f ca="1" t="shared" si="44"/>
        <v>5848.675842822341</v>
      </c>
      <c r="AV74" s="307"/>
      <c r="AX74" s="343"/>
      <c r="AY74" s="311">
        <v>2008</v>
      </c>
      <c r="AZ74" s="345">
        <f t="shared" si="19"/>
        <v>4426841.216113903</v>
      </c>
      <c r="BA74" s="345">
        <f t="shared" si="20"/>
        <v>42825.561976436155</v>
      </c>
      <c r="BB74" s="345">
        <f t="shared" si="21"/>
        <v>4461886.050802894</v>
      </c>
      <c r="BC74" s="344"/>
      <c r="BD74" s="12"/>
      <c r="BE74" s="339"/>
      <c r="BF74" s="311">
        <v>2008</v>
      </c>
      <c r="BG74" s="346">
        <f t="shared" si="26"/>
        <v>0.11367975202654095</v>
      </c>
      <c r="BH74" s="345">
        <f t="shared" si="22"/>
        <v>507226.09982595505</v>
      </c>
      <c r="BI74" s="351">
        <f t="shared" si="45"/>
        <v>0.007916442668290502</v>
      </c>
      <c r="BJ74" s="340"/>
      <c r="BK74" s="15"/>
      <c r="BL74" s="325"/>
      <c r="BM74" s="311">
        <v>2008</v>
      </c>
      <c r="BN74" s="345">
        <f ca="1" t="shared" si="27"/>
        <v>10110.695241611109</v>
      </c>
      <c r="BO74" s="345">
        <f ca="1" t="shared" si="28"/>
        <v>21986.201929963885</v>
      </c>
      <c r="BP74" s="345">
        <f ca="1" t="shared" si="29"/>
        <v>-15270.125382590057</v>
      </c>
      <c r="BQ74" s="345">
        <f ca="1" t="shared" si="46"/>
        <v>16826.771788984937</v>
      </c>
      <c r="BR74" s="345">
        <f ca="1" t="shared" si="31"/>
        <v>6660.730335962849</v>
      </c>
      <c r="BS74" s="345">
        <f ca="1" t="shared" si="32"/>
        <v>10166.041453022091</v>
      </c>
      <c r="BT74" s="307"/>
      <c r="BV74" s="325"/>
      <c r="BW74" s="311">
        <v>2008</v>
      </c>
      <c r="BX74" s="359">
        <f ca="1" t="shared" si="10"/>
        <v>16826.771788984937</v>
      </c>
      <c r="BY74" s="359">
        <f t="shared" si="0"/>
        <v>0</v>
      </c>
      <c r="BZ74" s="360">
        <f ca="1" t="shared" si="11"/>
        <v>0</v>
      </c>
      <c r="CA74" s="307"/>
    </row>
    <row r="75" spans="2:79" ht="12.75">
      <c r="B75" s="343"/>
      <c r="C75" s="311">
        <v>2009</v>
      </c>
      <c r="D75" s="345">
        <f t="shared" si="12"/>
        <v>3939673.8210367598</v>
      </c>
      <c r="E75" s="345">
        <f t="shared" si="13"/>
        <v>26476.889030213424</v>
      </c>
      <c r="F75" s="345">
        <f t="shared" si="14"/>
        <v>3960584.3624157677</v>
      </c>
      <c r="G75" s="344"/>
      <c r="H75" s="12"/>
      <c r="I75" s="339"/>
      <c r="J75" s="311">
        <v>2009</v>
      </c>
      <c r="K75" s="346">
        <f t="shared" si="47"/>
        <v>0.05816192282184905</v>
      </c>
      <c r="L75" s="347">
        <f t="shared" si="33"/>
        <v>230355.2020162481</v>
      </c>
      <c r="M75" s="351">
        <f t="shared" si="34"/>
        <v>0.005307683409563335</v>
      </c>
      <c r="N75" s="340"/>
      <c r="O75" s="15"/>
      <c r="P75" s="325"/>
      <c r="Q75" s="311">
        <v>2009</v>
      </c>
      <c r="R75" s="352">
        <f ca="1">E75*FORECAST(Q75,OFFSET('Saturations and Allocations'!$C$13,1,MATCH(B$6,SATURATIONS_HOUSING_TYPE,0)-1+MATCH(B$2,HVAC_SYSTEMS,0),2,1),'Saturations and Allocations'!$C$14:$C$15)</f>
        <v>2647.6889030213424</v>
      </c>
      <c r="S75" s="347">
        <f ca="1" t="shared" si="24"/>
        <v>12867.184283197044</v>
      </c>
      <c r="T75" s="347">
        <f ca="1" t="shared" si="35"/>
        <v>-11564.180648508343</v>
      </c>
      <c r="U75" s="347">
        <f ca="1" t="shared" si="36"/>
        <v>3950.6925377100433</v>
      </c>
      <c r="V75" s="347">
        <f ca="1" t="shared" si="37"/>
        <v>0</v>
      </c>
      <c r="W75" s="347">
        <f ca="1" t="shared" si="38"/>
        <v>3950.6925377100433</v>
      </c>
      <c r="X75" s="307"/>
      <c r="Z75" s="343"/>
      <c r="AA75" s="311">
        <v>2009</v>
      </c>
      <c r="AB75" s="345">
        <f t="shared" si="15"/>
        <v>522212.2297661337</v>
      </c>
      <c r="AC75" s="345">
        <f t="shared" si="16"/>
        <v>8447.209519194574</v>
      </c>
      <c r="AD75" s="345">
        <f t="shared" si="17"/>
        <v>528481.2580298844</v>
      </c>
      <c r="AE75" s="344"/>
      <c r="AF75" s="12"/>
      <c r="AG75" s="339"/>
      <c r="AH75" s="311">
        <v>2009</v>
      </c>
      <c r="AI75" s="346">
        <f t="shared" si="48"/>
        <v>0.5131140000000001</v>
      </c>
      <c r="AJ75" s="347">
        <f t="shared" si="39"/>
        <v>271171.13223274617</v>
      </c>
      <c r="AK75" s="351">
        <f t="shared" si="40"/>
        <v>0.012004751911992129</v>
      </c>
      <c r="AL75" s="340"/>
      <c r="AM75" s="15"/>
      <c r="AN75" s="325"/>
      <c r="AO75" s="311">
        <v>2009</v>
      </c>
      <c r="AP75" s="352">
        <f ca="1">AC75*FORECAST(AO75,OFFSET('Saturations and Allocations'!$C$13,1,MATCH(Z$6,SATURATIONS_HOUSING_TYPE,0)-1+MATCH(Z$2,HVAC_SYSTEMS,0),2,1),'Saturations and Allocations'!$C$14:$C$15)</f>
        <v>6757.7676153556595</v>
      </c>
      <c r="AQ75" s="347">
        <f ca="1" t="shared" si="25"/>
        <v>9970.663531206977</v>
      </c>
      <c r="AR75" s="347">
        <f ca="1" t="shared" si="41"/>
        <v>-3541.0414468294393</v>
      </c>
      <c r="AS75" s="347">
        <f ca="1" t="shared" si="42"/>
        <v>13187.389699733198</v>
      </c>
      <c r="AT75" s="347">
        <f ca="1" t="shared" si="43"/>
        <v>6757.7676153556595</v>
      </c>
      <c r="AU75" s="347">
        <f ca="1" t="shared" si="44"/>
        <v>6429.622084377538</v>
      </c>
      <c r="AV75" s="307"/>
      <c r="AX75" s="343"/>
      <c r="AY75" s="311">
        <v>2009</v>
      </c>
      <c r="AZ75" s="345">
        <f t="shared" si="19"/>
        <v>4461886.050802894</v>
      </c>
      <c r="BA75" s="345">
        <f t="shared" si="20"/>
        <v>34924.098549407994</v>
      </c>
      <c r="BB75" s="345">
        <f t="shared" si="21"/>
        <v>4489065.620445652</v>
      </c>
      <c r="BC75" s="344"/>
      <c r="BD75" s="12"/>
      <c r="BE75" s="339"/>
      <c r="BF75" s="311">
        <v>2009</v>
      </c>
      <c r="BG75" s="346">
        <f t="shared" si="26"/>
        <v>0.11172176498484894</v>
      </c>
      <c r="BH75" s="345">
        <f t="shared" si="22"/>
        <v>501526.33424899424</v>
      </c>
      <c r="BI75" s="351">
        <f t="shared" si="45"/>
        <v>0.006091497930088785</v>
      </c>
      <c r="BJ75" s="340"/>
      <c r="BK75" s="15"/>
      <c r="BL75" s="325"/>
      <c r="BM75" s="311">
        <v>2009</v>
      </c>
      <c r="BN75" s="345">
        <f ca="1" t="shared" si="27"/>
        <v>9405.456518377003</v>
      </c>
      <c r="BO75" s="345">
        <f ca="1" t="shared" si="28"/>
        <v>22837.84781440402</v>
      </c>
      <c r="BP75" s="345">
        <f ca="1" t="shared" si="29"/>
        <v>-15105.222095337784</v>
      </c>
      <c r="BQ75" s="345">
        <f ca="1" t="shared" si="46"/>
        <v>17138.08223744324</v>
      </c>
      <c r="BR75" s="345">
        <f ca="1" t="shared" si="31"/>
        <v>6757.7676153556595</v>
      </c>
      <c r="BS75" s="345">
        <f ca="1" t="shared" si="32"/>
        <v>10380.314622087582</v>
      </c>
      <c r="BT75" s="307"/>
      <c r="BV75" s="325"/>
      <c r="BW75" s="311">
        <v>2009</v>
      </c>
      <c r="BX75" s="359">
        <f ca="1" t="shared" si="10"/>
        <v>17138.08223744324</v>
      </c>
      <c r="BY75" s="359">
        <f t="shared" si="0"/>
        <v>0</v>
      </c>
      <c r="BZ75" s="360">
        <f ca="1" t="shared" si="11"/>
        <v>0</v>
      </c>
      <c r="CA75" s="307"/>
    </row>
    <row r="76" spans="2:79" ht="13.5" thickBot="1">
      <c r="B76" s="343"/>
      <c r="C76" s="311">
        <v>2010</v>
      </c>
      <c r="D76" s="345">
        <f t="shared" si="12"/>
        <v>3960584.3624157677</v>
      </c>
      <c r="E76" s="345">
        <f t="shared" si="13"/>
        <v>43008.78356094843</v>
      </c>
      <c r="F76" s="345">
        <f t="shared" si="14"/>
        <v>3998039.4382836763</v>
      </c>
      <c r="G76" s="344"/>
      <c r="H76" s="12"/>
      <c r="I76" s="339"/>
      <c r="J76" s="311">
        <v>2010</v>
      </c>
      <c r="K76" s="346">
        <f t="shared" si="47"/>
        <v>0.05558996141092457</v>
      </c>
      <c r="L76" s="347">
        <f t="shared" si="33"/>
        <v>222250.8580935441</v>
      </c>
      <c r="M76" s="351">
        <f t="shared" si="34"/>
        <v>0.009456956964063457</v>
      </c>
      <c r="N76" s="340"/>
      <c r="O76" s="15"/>
      <c r="P76" s="325"/>
      <c r="Q76" s="311">
        <v>2010</v>
      </c>
      <c r="R76" s="352">
        <f ca="1">E76*FORECAST(Q76,OFFSET('Saturations and Allocations'!$C$13,1,MATCH(B$6,SATURATIONS_HOUSING_TYPE,0)-1+MATCH(B$2,HVAC_SYSTEMS,0),2,1),'Saturations and Allocations'!$C$14:$C$15)</f>
        <v>4300.878356094843</v>
      </c>
      <c r="S76" s="347">
        <f ca="1" t="shared" si="24"/>
        <v>13643.83159212448</v>
      </c>
      <c r="T76" s="347">
        <f ca="1" t="shared" si="35"/>
        <v>-12405.222278798836</v>
      </c>
      <c r="U76" s="347">
        <f ca="1" t="shared" si="36"/>
        <v>5539.487669420487</v>
      </c>
      <c r="V76" s="347">
        <f ca="1" t="shared" si="37"/>
        <v>0</v>
      </c>
      <c r="W76" s="347">
        <f ca="1" t="shared" si="38"/>
        <v>5539.487669420487</v>
      </c>
      <c r="X76" s="307"/>
      <c r="Z76" s="343"/>
      <c r="AA76" s="311">
        <v>2010</v>
      </c>
      <c r="AB76" s="345">
        <f t="shared" si="15"/>
        <v>528481.2580298844</v>
      </c>
      <c r="AC76" s="345">
        <f t="shared" si="16"/>
        <v>8481.56998863191</v>
      </c>
      <c r="AD76" s="345">
        <f t="shared" si="17"/>
        <v>534807.9249566947</v>
      </c>
      <c r="AE76" s="344"/>
      <c r="AF76" s="12"/>
      <c r="AG76" s="339"/>
      <c r="AH76" s="311">
        <v>2010</v>
      </c>
      <c r="AI76" s="346">
        <f t="shared" si="48"/>
        <v>0.5131140000000001</v>
      </c>
      <c r="AJ76" s="347">
        <f t="shared" si="39"/>
        <v>274417.4336062295</v>
      </c>
      <c r="AK76" s="351">
        <f t="shared" si="40"/>
        <v>0.011971412099636813</v>
      </c>
      <c r="AL76" s="340"/>
      <c r="AM76" s="15"/>
      <c r="AN76" s="325"/>
      <c r="AO76" s="311">
        <v>2010</v>
      </c>
      <c r="AP76" s="352">
        <f ca="1">AC76*FORECAST(AO76,OFFSET('Saturations and Allocations'!$C$13,1,MATCH(Z$6,SATURATIONS_HOUSING_TYPE,0)-1+MATCH(Z$2,HVAC_SYSTEMS,0),2,1),'Saturations and Allocations'!$C$14:$C$15)</f>
        <v>6785.255990905529</v>
      </c>
      <c r="AQ76" s="347">
        <f ca="1" t="shared" si="25"/>
        <v>10456.669880150694</v>
      </c>
      <c r="AR76" s="347">
        <f ca="1">AJ76-AJ75-AP76</f>
        <v>-3538.954617422207</v>
      </c>
      <c r="AS76" s="347">
        <f ca="1" t="shared" si="42"/>
        <v>13702.971253634014</v>
      </c>
      <c r="AT76" s="347">
        <f ca="1" t="shared" si="43"/>
        <v>6785.255990905529</v>
      </c>
      <c r="AU76" s="347">
        <f ca="1" t="shared" si="44"/>
        <v>6917.715262728487</v>
      </c>
      <c r="AV76" s="307"/>
      <c r="AX76" s="343"/>
      <c r="AY76" s="311">
        <v>2010</v>
      </c>
      <c r="AZ76" s="345">
        <f t="shared" si="19"/>
        <v>4489065.620445652</v>
      </c>
      <c r="BA76" s="345">
        <f t="shared" si="20"/>
        <v>51490.353549580344</v>
      </c>
      <c r="BB76" s="345">
        <f t="shared" si="21"/>
        <v>4532847.3632403705</v>
      </c>
      <c r="BC76" s="344"/>
      <c r="BD76" s="12"/>
      <c r="BE76" s="339"/>
      <c r="BF76" s="311">
        <v>2010</v>
      </c>
      <c r="BG76" s="346">
        <f t="shared" si="26"/>
        <v>0.10957092791774997</v>
      </c>
      <c r="BH76" s="345">
        <f t="shared" si="22"/>
        <v>496668.29169977363</v>
      </c>
      <c r="BI76" s="351">
        <f t="shared" si="45"/>
        <v>0.009752974560076177</v>
      </c>
      <c r="BJ76" s="340"/>
      <c r="BK76" s="15"/>
      <c r="BL76" s="325"/>
      <c r="BM76" s="311">
        <v>2010</v>
      </c>
      <c r="BN76" s="345">
        <f ca="1" t="shared" si="27"/>
        <v>11086.134347000372</v>
      </c>
      <c r="BO76" s="345">
        <f ca="1" t="shared" si="28"/>
        <v>24100.501472275173</v>
      </c>
      <c r="BP76" s="345">
        <f ca="1" t="shared" si="29"/>
        <v>-15944.176896221043</v>
      </c>
      <c r="BQ76" s="345">
        <f ca="1" t="shared" si="46"/>
        <v>19242.458923054503</v>
      </c>
      <c r="BR76" s="345">
        <f ca="1" t="shared" si="31"/>
        <v>6785.255990905529</v>
      </c>
      <c r="BS76" s="345">
        <f ca="1" t="shared" si="32"/>
        <v>12457.202932148974</v>
      </c>
      <c r="BT76" s="307"/>
      <c r="BV76" s="325"/>
      <c r="BW76" s="311">
        <v>2010</v>
      </c>
      <c r="BX76" s="359">
        <f ca="1" t="shared" si="10"/>
        <v>19242.458923054503</v>
      </c>
      <c r="BY76" s="359">
        <f t="shared" si="0"/>
        <v>0</v>
      </c>
      <c r="BZ76" s="360">
        <f ca="1" t="shared" si="11"/>
        <v>0</v>
      </c>
      <c r="CA76" s="307"/>
    </row>
    <row r="77" spans="2:79" ht="13.5" thickBot="1">
      <c r="B77" s="343"/>
      <c r="C77" s="311">
        <v>2011</v>
      </c>
      <c r="D77" s="345">
        <f t="shared" si="12"/>
        <v>3998039.4382836763</v>
      </c>
      <c r="E77" s="345">
        <f t="shared" si="13"/>
        <v>59337.1751941772</v>
      </c>
      <c r="F77" s="345">
        <f t="shared" si="14"/>
        <v>4051835.517040399</v>
      </c>
      <c r="G77" s="344"/>
      <c r="H77" s="12"/>
      <c r="I77" s="339"/>
      <c r="J77" s="311">
        <v>2011</v>
      </c>
      <c r="K77" s="349">
        <f>INDEX(SATURATIONS_TABLE,MATCH(J77,SATURATIONS_YEARS,0),MATCH(B$6,SATURATIONS_HOUSING_TYPE,0)-1+MATCH(B$2,HVAC_SYSTEMS,0))</f>
        <v>0.053018</v>
      </c>
      <c r="L77" s="347">
        <f t="shared" si="33"/>
        <v>214820.2154424479</v>
      </c>
      <c r="M77" s="351">
        <f t="shared" si="34"/>
        <v>0.013455614830006901</v>
      </c>
      <c r="N77" s="340"/>
      <c r="O77" s="15"/>
      <c r="P77" s="325"/>
      <c r="Q77" s="311">
        <v>2011</v>
      </c>
      <c r="R77" s="352">
        <f ca="1">E77*FORECAST(Q77,OFFSET('Saturations and Allocations'!$C$13,1,MATCH(B$6,SATURATIONS_HOUSING_TYPE,0)-1+MATCH(B$2,HVAC_SYSTEMS,0),2,1),'Saturations and Allocations'!$C$14:$C$15)</f>
        <v>5933.717519417721</v>
      </c>
      <c r="S77" s="347">
        <f ca="1" t="shared" si="24"/>
        <v>14120.294339701764</v>
      </c>
      <c r="T77" s="347">
        <f ca="1" t="shared" si="35"/>
        <v>-13364.36017051394</v>
      </c>
      <c r="U77" s="347">
        <f ca="1">SUM(R77:T77)</f>
        <v>6689.651688605543</v>
      </c>
      <c r="V77" s="347">
        <f ca="1" t="shared" si="37"/>
        <v>0</v>
      </c>
      <c r="W77" s="347">
        <f ca="1" t="shared" si="38"/>
        <v>6689.651688605543</v>
      </c>
      <c r="X77" s="307"/>
      <c r="Z77" s="343"/>
      <c r="AA77" s="311">
        <v>2011</v>
      </c>
      <c r="AB77" s="345">
        <f t="shared" si="15"/>
        <v>534807.9249566947</v>
      </c>
      <c r="AC77" s="345">
        <f t="shared" si="16"/>
        <v>8353.224309281835</v>
      </c>
      <c r="AD77" s="345">
        <f t="shared" si="17"/>
        <v>541029.2756240368</v>
      </c>
      <c r="AE77" s="344"/>
      <c r="AF77" s="12"/>
      <c r="AG77" s="339"/>
      <c r="AH77" s="311">
        <v>2011</v>
      </c>
      <c r="AI77" s="349">
        <f>INDEX(SATURATIONS_TABLE,MATCH(AH77,SATURATIONS_YEARS,0),MATCH(Z$6,SATURATIONS_HOUSING_TYPE,0)-1+MATCH(Z$2,HVAC_SYSTEMS,0))</f>
        <v>0.5131140000000001</v>
      </c>
      <c r="AJ77" s="347">
        <f>AD77*AI77</f>
        <v>277609.69573255203</v>
      </c>
      <c r="AK77" s="351">
        <f t="shared" si="40"/>
        <v>0.01163286925459417</v>
      </c>
      <c r="AL77" s="340"/>
      <c r="AM77" s="15"/>
      <c r="AN77" s="325"/>
      <c r="AO77" s="311">
        <v>2011</v>
      </c>
      <c r="AP77" s="352">
        <f ca="1">AC77*FORECAST(AO77,OFFSET('Saturations and Allocations'!$C$13,1,MATCH(Z$6,SATURATIONS_HOUSING_TYPE,0)-1+MATCH(Z$2,HVAC_SYSTEMS,0),2,1),'Saturations and Allocations'!$C$14:$C$15)</f>
        <v>6682.579447425469</v>
      </c>
      <c r="AQ77" s="347">
        <f ca="1" t="shared" si="25"/>
        <v>11450.499129519587</v>
      </c>
      <c r="AR77" s="347">
        <f ca="1" t="shared" si="41"/>
        <v>-3490.3173211029243</v>
      </c>
      <c r="AS77" s="347">
        <f ca="1">SUM(AP77:AR77)</f>
        <v>14642.761255842132</v>
      </c>
      <c r="AT77" s="347">
        <f ca="1" t="shared" si="43"/>
        <v>6682.579447425469</v>
      </c>
      <c r="AU77" s="347">
        <f ca="1" t="shared" si="44"/>
        <v>7960.1818084166625</v>
      </c>
      <c r="AV77" s="307"/>
      <c r="AX77" s="343"/>
      <c r="AY77" s="311">
        <v>2011</v>
      </c>
      <c r="AZ77" s="345">
        <f t="shared" si="19"/>
        <v>4532847.3632403705</v>
      </c>
      <c r="BA77" s="345">
        <f t="shared" si="20"/>
        <v>67690.39950345903</v>
      </c>
      <c r="BB77" s="345">
        <f t="shared" si="21"/>
        <v>4592864.792664436</v>
      </c>
      <c r="BC77" s="344"/>
      <c r="BD77" s="12"/>
      <c r="BE77" s="339"/>
      <c r="BF77" s="311">
        <v>2011</v>
      </c>
      <c r="BG77" s="346">
        <f t="shared" si="26"/>
        <v>0.10721628730754101</v>
      </c>
      <c r="BH77" s="345">
        <f t="shared" si="22"/>
        <v>492429.9111749999</v>
      </c>
      <c r="BI77" s="351">
        <f t="shared" si="45"/>
        <v>0.01324055822192105</v>
      </c>
      <c r="BJ77" s="340"/>
      <c r="BK77" s="15"/>
      <c r="BL77" s="325"/>
      <c r="BM77" s="311">
        <v>2011</v>
      </c>
      <c r="BN77" s="345">
        <f ca="1" t="shared" si="27"/>
        <v>12616.29696684319</v>
      </c>
      <c r="BO77" s="345">
        <f ca="1" t="shared" si="28"/>
        <v>25570.793469221353</v>
      </c>
      <c r="BP77" s="345">
        <f ca="1" t="shared" si="29"/>
        <v>-16854.677491616865</v>
      </c>
      <c r="BQ77" s="345">
        <f ca="1" t="shared" si="46"/>
        <v>21332.412944447675</v>
      </c>
      <c r="BR77" s="345">
        <f ca="1" t="shared" si="31"/>
        <v>6682.579447425469</v>
      </c>
      <c r="BS77" s="345">
        <f ca="1" t="shared" si="32"/>
        <v>14649.833497022206</v>
      </c>
      <c r="BT77" s="307"/>
      <c r="BV77" s="325"/>
      <c r="BW77" s="311">
        <v>2011</v>
      </c>
      <c r="BX77" s="359">
        <f ca="1" t="shared" si="10"/>
        <v>21332.412944447675</v>
      </c>
      <c r="BY77" s="359">
        <f t="shared" si="0"/>
        <v>0</v>
      </c>
      <c r="BZ77" s="360">
        <f ca="1" t="shared" si="11"/>
        <v>0</v>
      </c>
      <c r="CA77" s="307"/>
    </row>
    <row r="78" spans="2:79" ht="12.75">
      <c r="B78" s="343"/>
      <c r="C78" s="311">
        <v>2012</v>
      </c>
      <c r="D78" s="345">
        <f>INDEX(HOUSING_STOCK,MATCH(C78,HOUSING_STOCK_YEARS,0)+2,MATCH(B$6,HOUSING_STOCK_BLDG,0)+MATCH(D$10,HOUSING_STOCK_CATEGORY,0)-1)</f>
        <v>4051835.517040399</v>
      </c>
      <c r="E78" s="345">
        <f>INDEX(HOUSING_STOCK,MATCH(C78,HOUSING_STOCK_YEARS,0)+2,MATCH(B$6,HOUSING_STOCK_BLDG,0)+MATCH(E$10,HOUSING_STOCK_CATEGORY,0)-1)</f>
        <v>68726.91929042741</v>
      </c>
      <c r="F78" s="345">
        <f>INDEX(HOUSING_STOCK,MATCH(C78,HOUSING_STOCK_YEARS,0)+2,MATCH(B$6,HOUSING_STOCK_BLDG,0)+MATCH(F$10,HOUSING_STOCK_CATEGORY,0)-1)</f>
        <v>4115033.9225115534</v>
      </c>
      <c r="G78" s="344"/>
      <c r="H78" s="12"/>
      <c r="I78" s="339"/>
      <c r="J78" s="311">
        <v>2012</v>
      </c>
      <c r="K78" s="346">
        <f>FORECAST(J78,K$58:K$77,J$58:J$77)</f>
        <v>0.050446038589075926</v>
      </c>
      <c r="L78" s="350">
        <f t="shared" si="33"/>
        <v>207587.16005037428</v>
      </c>
      <c r="M78" s="351">
        <f t="shared" si="34"/>
        <v>0.015597475565177099</v>
      </c>
      <c r="N78" s="340"/>
      <c r="O78" s="15"/>
      <c r="P78" s="325"/>
      <c r="Q78" s="311">
        <v>2012</v>
      </c>
      <c r="R78" s="352">
        <f ca="1">E78*FORECAST(Q78,OFFSET('Saturations and Allocations'!$C$13,1,MATCH(B$6,SATURATIONS_HOUSING_TYPE,0)-1+MATCH(B$2,HVAC_SYSTEMS,0),2,1),'Saturations and Allocations'!$C$14:$C$15)</f>
        <v>6872.691929042741</v>
      </c>
      <c r="S78" s="347">
        <f ca="1" t="shared" si="24"/>
        <v>13205.099725398526</v>
      </c>
      <c r="T78" s="347">
        <f ca="1" t="shared" si="35"/>
        <v>-14105.747321116354</v>
      </c>
      <c r="U78" s="347">
        <f ca="1" t="shared" si="36"/>
        <v>5972.044333324911</v>
      </c>
      <c r="V78" s="347">
        <f ca="1" t="shared" si="37"/>
        <v>0</v>
      </c>
      <c r="W78" s="347">
        <f ca="1" t="shared" si="38"/>
        <v>5972.044333324911</v>
      </c>
      <c r="X78" s="307"/>
      <c r="Z78" s="343"/>
      <c r="AA78" s="311">
        <v>2012</v>
      </c>
      <c r="AB78" s="345">
        <f>INDEX(HOUSING_STOCK,MATCH(AA78,HOUSING_STOCK_YEARS,0)+2,MATCH(Z$6,HOUSING_STOCK_BLDG,0)+MATCH(AB$10,HOUSING_STOCK_CATEGORY,0)-1)</f>
        <v>541029.2756240368</v>
      </c>
      <c r="AC78" s="345">
        <f>INDEX(HOUSING_STOCK,MATCH(AA78,HOUSING_STOCK_YEARS,0)+2,MATCH(Z$6,HOUSING_STOCK_BLDG,0)+MATCH(AC$10,HOUSING_STOCK_CATEGORY,0)-1)</f>
        <v>8067.339603182001</v>
      </c>
      <c r="AD78" s="345">
        <f>INDEX(HOUSING_STOCK,MATCH(AA78,HOUSING_STOCK_YEARS,0)+2,MATCH(Z$6,HOUSING_STOCK_BLDG,0)+MATCH(AD$10,HOUSING_STOCK_CATEGORY,0)-1)</f>
        <v>546987.524890062</v>
      </c>
      <c r="AE78" s="344"/>
      <c r="AF78" s="12"/>
      <c r="AG78" s="339"/>
      <c r="AH78" s="311">
        <v>2012</v>
      </c>
      <c r="AI78" s="346">
        <f>FORECAST(AH78,AI$58:AI$77,AH$58:AH$77)</f>
        <v>0.513114</v>
      </c>
      <c r="AJ78" s="350">
        <f t="shared" si="39"/>
        <v>280666.9568464393</v>
      </c>
      <c r="AK78" s="351">
        <f t="shared" si="40"/>
        <v>0.011012803806509153</v>
      </c>
      <c r="AL78" s="340"/>
      <c r="AM78" s="15"/>
      <c r="AN78" s="325"/>
      <c r="AO78" s="311">
        <v>2012</v>
      </c>
      <c r="AP78" s="352">
        <f ca="1">AC78*FORECAST(AO78,OFFSET('Saturations and Allocations'!$C$13,1,MATCH(Z$6,SATURATIONS_HOUSING_TYPE,0)-1+MATCH(Z$2,HVAC_SYSTEMS,0),2,1),'Saturations and Allocations'!$C$14:$C$15)</f>
        <v>6453.871682545601</v>
      </c>
      <c r="AQ78" s="347">
        <f ca="1" t="shared" si="25"/>
        <v>11434.36177679948</v>
      </c>
      <c r="AR78" s="347">
        <f ca="1" t="shared" si="41"/>
        <v>-3396.610568658356</v>
      </c>
      <c r="AS78" s="347">
        <f ca="1">SUM(AP78:AR78)</f>
        <v>14491.622890686724</v>
      </c>
      <c r="AT78" s="347">
        <f ca="1" t="shared" si="43"/>
        <v>6453.871682545601</v>
      </c>
      <c r="AU78" s="347">
        <f ca="1" t="shared" si="44"/>
        <v>8037.751208141124</v>
      </c>
      <c r="AV78" s="307"/>
      <c r="AX78" s="343"/>
      <c r="AY78" s="311">
        <v>2012</v>
      </c>
      <c r="AZ78" s="345">
        <f aca="true" t="shared" si="49" ref="AZ78:BB81">D78+AB78</f>
        <v>4592864.792664436</v>
      </c>
      <c r="BA78" s="345">
        <f t="shared" si="49"/>
        <v>76794.25889360941</v>
      </c>
      <c r="BB78" s="345">
        <f t="shared" si="49"/>
        <v>4662021.447401616</v>
      </c>
      <c r="BC78" s="344"/>
      <c r="BD78" s="12"/>
      <c r="BE78" s="339"/>
      <c r="BF78" s="311">
        <v>2012</v>
      </c>
      <c r="BG78" s="346">
        <f t="shared" si="26"/>
        <v>0.10473013099691823</v>
      </c>
      <c r="BH78" s="345">
        <f>L78+AJ78</f>
        <v>488254.11689681356</v>
      </c>
      <c r="BI78" s="351">
        <f t="shared" si="45"/>
        <v>0.015057411410767996</v>
      </c>
      <c r="BJ78" s="340"/>
      <c r="BK78" s="15"/>
      <c r="BL78" s="325"/>
      <c r="BM78" s="311">
        <v>2012</v>
      </c>
      <c r="BN78" s="345">
        <f ca="1" t="shared" si="27"/>
        <v>13326.563611588343</v>
      </c>
      <c r="BO78" s="345">
        <f ca="1" t="shared" si="28"/>
        <v>24639.461502198006</v>
      </c>
      <c r="BP78" s="345">
        <f ca="1" t="shared" si="29"/>
        <v>-17502.35788977471</v>
      </c>
      <c r="BQ78" s="345">
        <f ca="1" t="shared" si="46"/>
        <v>20463.667224011635</v>
      </c>
      <c r="BR78" s="345">
        <f ca="1" t="shared" si="31"/>
        <v>6453.871682545601</v>
      </c>
      <c r="BS78" s="345">
        <f ca="1" t="shared" si="32"/>
        <v>14009.795541466036</v>
      </c>
      <c r="BT78" s="307"/>
      <c r="BV78" s="325"/>
      <c r="BW78" s="311">
        <v>2012</v>
      </c>
      <c r="BX78" s="359">
        <f ca="1" t="shared" si="10"/>
        <v>20463.667224011635</v>
      </c>
      <c r="BY78" s="359">
        <f t="shared" si="0"/>
        <v>0</v>
      </c>
      <c r="BZ78" s="360">
        <f ca="1" t="shared" si="11"/>
        <v>0</v>
      </c>
      <c r="CA78" s="307"/>
    </row>
    <row r="79" spans="2:79" ht="12.75">
      <c r="B79" s="343"/>
      <c r="C79" s="311">
        <v>2013</v>
      </c>
      <c r="D79" s="345">
        <f>INDEX(HOUSING_STOCK,MATCH(C79,HOUSING_STOCK_YEARS,0)+2,MATCH(B$6,HOUSING_STOCK_BLDG,0)+MATCH(D$10,HOUSING_STOCK_CATEGORY,0)-1)</f>
        <v>4115033.9225115534</v>
      </c>
      <c r="E79" s="345">
        <f>INDEX(HOUSING_STOCK,MATCH(C79,HOUSING_STOCK_YEARS,0)+2,MATCH(B$6,HOUSING_STOCK_BLDG,0)+MATCH(E$10,HOUSING_STOCK_CATEGORY,0)-1)</f>
        <v>70465.6470764123</v>
      </c>
      <c r="F79" s="345">
        <f>INDEX(HOUSING_STOCK,MATCH(C79,HOUSING_STOCK_YEARS,0)+2,MATCH(B$6,HOUSING_STOCK_BLDG,0)+MATCH(F$10,HOUSING_STOCK_CATEGORY,0)-1)</f>
        <v>4179983.6098145</v>
      </c>
      <c r="G79" s="344"/>
      <c r="H79" s="12"/>
      <c r="I79" s="339"/>
      <c r="J79" s="311">
        <v>2013</v>
      </c>
      <c r="K79" s="346">
        <f>FORECAST(J79,K$58:K$77,J$58:J$77)</f>
        <v>0.047874077178151175</v>
      </c>
      <c r="L79" s="347">
        <f t="shared" si="33"/>
        <v>200112.8579396663</v>
      </c>
      <c r="M79" s="351">
        <f t="shared" si="34"/>
        <v>0.015783512001598554</v>
      </c>
      <c r="N79" s="340"/>
      <c r="O79" s="15"/>
      <c r="P79" s="325"/>
      <c r="Q79" s="311">
        <v>2013</v>
      </c>
      <c r="R79" s="352">
        <f ca="1">E79*FORECAST(Q79,OFFSET('Saturations and Allocations'!$C$13,1,MATCH(B$6,SATURATIONS_HOUSING_TYPE,0)-1+MATCH(B$2,HVAC_SYSTEMS,0),2,1),'Saturations and Allocations'!$C$14:$C$15)</f>
        <v>7046.56470764123</v>
      </c>
      <c r="S79" s="347">
        <f ca="1" t="shared" si="24"/>
        <v>14114.773864381888</v>
      </c>
      <c r="T79" s="347">
        <f ca="1" t="shared" si="35"/>
        <v>-14520.8668183492</v>
      </c>
      <c r="U79" s="347">
        <f ca="1" t="shared" si="36"/>
        <v>6640.471753673917</v>
      </c>
      <c r="V79" s="347">
        <f ca="1" t="shared" si="37"/>
        <v>0</v>
      </c>
      <c r="W79" s="347">
        <f ca="1" t="shared" si="38"/>
        <v>6640.471753673917</v>
      </c>
      <c r="X79" s="307"/>
      <c r="Z79" s="343"/>
      <c r="AA79" s="311">
        <v>2013</v>
      </c>
      <c r="AB79" s="345">
        <f>INDEX(HOUSING_STOCK,MATCH(AA79,HOUSING_STOCK_YEARS,0)+2,MATCH(Z$6,HOUSING_STOCK_BLDG,0)+MATCH(AB$10,HOUSING_STOCK_CATEGORY,0)-1)</f>
        <v>546987.524890062</v>
      </c>
      <c r="AC79" s="345">
        <f>INDEX(HOUSING_STOCK,MATCH(AA79,HOUSING_STOCK_YEARS,0)+2,MATCH(Z$6,HOUSING_STOCK_BLDG,0)+MATCH(AC$10,HOUSING_STOCK_CATEGORY,0)-1)</f>
        <v>7708.062064448706</v>
      </c>
      <c r="AD79" s="345">
        <f>INDEX(HOUSING_STOCK,MATCH(AA79,HOUSING_STOCK_YEARS,0)+2,MATCH(Z$6,HOUSING_STOCK_BLDG,0)+MATCH(AD$10,HOUSING_STOCK_CATEGORY,0)-1)</f>
        <v>552609.0364372669</v>
      </c>
      <c r="AE79" s="344"/>
      <c r="AF79" s="12"/>
      <c r="AG79" s="339"/>
      <c r="AH79" s="311">
        <v>2013</v>
      </c>
      <c r="AI79" s="346">
        <f>FORECAST(AH79,AI$58:AI$77,AH$58:AH$77)</f>
        <v>0.513114</v>
      </c>
      <c r="AJ79" s="347">
        <f t="shared" si="39"/>
        <v>283551.43312247173</v>
      </c>
      <c r="AK79" s="351">
        <f t="shared" si="40"/>
        <v>0.010277220761725214</v>
      </c>
      <c r="AL79" s="340"/>
      <c r="AM79" s="15"/>
      <c r="AN79" s="325"/>
      <c r="AO79" s="311">
        <v>2013</v>
      </c>
      <c r="AP79" s="352">
        <f ca="1">AC79*FORECAST(AO79,OFFSET('Saturations and Allocations'!$C$13,1,MATCH(Z$6,SATURATIONS_HOUSING_TYPE,0)-1+MATCH(Z$2,HVAC_SYSTEMS,0),2,1),'Saturations and Allocations'!$C$14:$C$15)</f>
        <v>6166.449651558965</v>
      </c>
      <c r="AQ79" s="347">
        <f ca="1" t="shared" si="25"/>
        <v>12459.17617120692</v>
      </c>
      <c r="AR79" s="347">
        <f ca="1" t="shared" si="41"/>
        <v>-3281.9733755265133</v>
      </c>
      <c r="AS79" s="347">
        <f ca="1">SUM(AP79:AR79)</f>
        <v>15343.65244723937</v>
      </c>
      <c r="AT79" s="347">
        <f ca="1" t="shared" si="43"/>
        <v>6166.449651558965</v>
      </c>
      <c r="AU79" s="347">
        <f ca="1" t="shared" si="44"/>
        <v>9177.202795680407</v>
      </c>
      <c r="AV79" s="307"/>
      <c r="AX79" s="343"/>
      <c r="AY79" s="311">
        <v>2013</v>
      </c>
      <c r="AZ79" s="345">
        <f t="shared" si="49"/>
        <v>4662021.447401616</v>
      </c>
      <c r="BA79" s="345">
        <f t="shared" si="49"/>
        <v>78173.709140861</v>
      </c>
      <c r="BB79" s="345">
        <f t="shared" si="49"/>
        <v>4732592.646251767</v>
      </c>
      <c r="BC79" s="344"/>
      <c r="BD79" s="12"/>
      <c r="BE79" s="339"/>
      <c r="BF79" s="311">
        <v>2013</v>
      </c>
      <c r="BG79" s="346">
        <f t="shared" si="26"/>
        <v>0.10219858906411525</v>
      </c>
      <c r="BH79" s="345">
        <f>L79+AJ79</f>
        <v>483664.29106213804</v>
      </c>
      <c r="BI79" s="351">
        <f t="shared" si="45"/>
        <v>0.015137467651394898</v>
      </c>
      <c r="BJ79" s="340"/>
      <c r="BK79" s="15"/>
      <c r="BL79" s="325"/>
      <c r="BM79" s="311">
        <v>2013</v>
      </c>
      <c r="BN79" s="345">
        <f aca="true" t="shared" si="50" ref="BN79:BP81">R79+AP79</f>
        <v>13213.014359200195</v>
      </c>
      <c r="BO79" s="345">
        <f ca="1" t="shared" si="50"/>
        <v>26573.95003558881</v>
      </c>
      <c r="BP79" s="345">
        <f ca="1" t="shared" si="50"/>
        <v>-17802.840193875712</v>
      </c>
      <c r="BQ79" s="345">
        <f ca="1" t="shared" si="46"/>
        <v>21984.124200913287</v>
      </c>
      <c r="BR79" s="345">
        <f aca="true" t="shared" si="51" ref="BR79:BS81">V79+AT79</f>
        <v>6166.449651558965</v>
      </c>
      <c r="BS79" s="345">
        <f ca="1" t="shared" si="51"/>
        <v>15817.674549354324</v>
      </c>
      <c r="BT79" s="307"/>
      <c r="BV79" s="325"/>
      <c r="BW79" s="311">
        <v>2013</v>
      </c>
      <c r="BX79" s="359">
        <f ca="1" t="shared" si="10"/>
        <v>21984.124200913287</v>
      </c>
      <c r="BY79" s="359">
        <f t="shared" si="0"/>
        <v>0</v>
      </c>
      <c r="BZ79" s="360">
        <f ca="1" t="shared" si="11"/>
        <v>0</v>
      </c>
      <c r="CA79" s="307"/>
    </row>
    <row r="80" spans="2:79" ht="12.75">
      <c r="B80" s="343"/>
      <c r="C80" s="311">
        <v>2014</v>
      </c>
      <c r="D80" s="345">
        <f>INDEX(HOUSING_STOCK,MATCH(C80,HOUSING_STOCK_YEARS,0)+2,MATCH(B$6,HOUSING_STOCK_BLDG,0)+MATCH(D$10,HOUSING_STOCK_CATEGORY,0)-1)</f>
        <v>4179983.6098145</v>
      </c>
      <c r="E80" s="345">
        <f>INDEX(HOUSING_STOCK,MATCH(C80,HOUSING_STOCK_YEARS,0)+2,MATCH(B$6,HOUSING_STOCK_BLDG,0)+MATCH(E$10,HOUSING_STOCK_CATEGORY,0)-1)</f>
        <v>69968.6195570465</v>
      </c>
      <c r="F80" s="345">
        <f>INDEX(HOUSING_STOCK,MATCH(C80,HOUSING_STOCK_YEARS,0)+2,MATCH(B$6,HOUSING_STOCK_BLDG,0)+MATCH(F$10,HOUSING_STOCK_CATEGORY,0)-1)</f>
        <v>4244448.795136396</v>
      </c>
      <c r="G80" s="344"/>
      <c r="H80" s="12"/>
      <c r="I80" s="339"/>
      <c r="J80" s="311">
        <v>2014</v>
      </c>
      <c r="K80" s="346">
        <f>FORECAST(J80,K$58:K$77,J$58:J$77)</f>
        <v>0.045302115767226425</v>
      </c>
      <c r="L80" s="347">
        <f t="shared" si="33"/>
        <v>192282.51068533372</v>
      </c>
      <c r="M80" s="351">
        <f t="shared" si="34"/>
        <v>0.015422353611754147</v>
      </c>
      <c r="N80" s="340"/>
      <c r="O80" s="15"/>
      <c r="P80" s="325"/>
      <c r="Q80" s="311">
        <v>2014</v>
      </c>
      <c r="R80" s="352">
        <f ca="1">E80*FORECAST(Q80,OFFSET('Saturations and Allocations'!$C$13,1,MATCH(B$6,SATURATIONS_HOUSING_TYPE,0)-1+MATCH(B$2,HVAC_SYSTEMS,0),2,1),'Saturations and Allocations'!$C$14:$C$15)</f>
        <v>6996.861955704651</v>
      </c>
      <c r="S80" s="347">
        <f ca="1" t="shared" si="24"/>
        <v>14471.853114583937</v>
      </c>
      <c r="T80" s="347">
        <f ca="1" t="shared" si="35"/>
        <v>-14827.209210037243</v>
      </c>
      <c r="U80" s="347">
        <f ca="1" t="shared" si="36"/>
        <v>6641.505860251345</v>
      </c>
      <c r="V80" s="347">
        <f ca="1" t="shared" si="37"/>
        <v>0</v>
      </c>
      <c r="W80" s="347">
        <f ca="1" t="shared" si="38"/>
        <v>6641.505860251345</v>
      </c>
      <c r="X80" s="307"/>
      <c r="Z80" s="343"/>
      <c r="AA80" s="311">
        <v>2014</v>
      </c>
      <c r="AB80" s="345">
        <f>INDEX(HOUSING_STOCK,MATCH(AA80,HOUSING_STOCK_YEARS,0)+2,MATCH(Z$6,HOUSING_STOCK_BLDG,0)+MATCH(AB$10,HOUSING_STOCK_CATEGORY,0)-1)</f>
        <v>552609.0364372669</v>
      </c>
      <c r="AC80" s="345">
        <f>INDEX(HOUSING_STOCK,MATCH(AA80,HOUSING_STOCK_YEARS,0)+2,MATCH(Z$6,HOUSING_STOCK_BLDG,0)+MATCH(AC$10,HOUSING_STOCK_CATEGORY,0)-1)</f>
        <v>7248.026214204614</v>
      </c>
      <c r="AD80" s="345">
        <f>INDEX(HOUSING_STOCK,MATCH(AA80,HOUSING_STOCK_YEARS,0)+2,MATCH(Z$6,HOUSING_STOCK_BLDG,0)+MATCH(AD$10,HOUSING_STOCK_CATEGORY,0)-1)</f>
        <v>557792.8110713898</v>
      </c>
      <c r="AE80" s="344"/>
      <c r="AF80" s="12"/>
      <c r="AG80" s="339"/>
      <c r="AH80" s="311">
        <v>2014</v>
      </c>
      <c r="AI80" s="346">
        <f>FORECAST(AH80,AI$58:AI$77,AH$58:AH$77)</f>
        <v>0.513114</v>
      </c>
      <c r="AJ80" s="347">
        <f t="shared" si="39"/>
        <v>286211.3004600851</v>
      </c>
      <c r="AK80" s="351">
        <f t="shared" si="40"/>
        <v>0.00938054626747209</v>
      </c>
      <c r="AL80" s="340"/>
      <c r="AM80" s="15"/>
      <c r="AN80" s="325"/>
      <c r="AO80" s="311">
        <v>2014</v>
      </c>
      <c r="AP80" s="352">
        <f ca="1">AC80*FORECAST(AO80,OFFSET('Saturations and Allocations'!$C$13,1,MATCH(Z$6,SATURATIONS_HOUSING_TYPE,0)-1+MATCH(Z$2,HVAC_SYSTEMS,0),2,1),'Saturations and Allocations'!$C$14:$C$15)</f>
        <v>5798.420971363692</v>
      </c>
      <c r="AQ80" s="347">
        <f ca="1" t="shared" si="25"/>
        <v>14398.20482788435</v>
      </c>
      <c r="AR80" s="347">
        <f ca="1" t="shared" si="41"/>
        <v>-3138.5536337503254</v>
      </c>
      <c r="AS80" s="347">
        <f ca="1">SUM(AP80:AR80)</f>
        <v>17058.072165497717</v>
      </c>
      <c r="AT80" s="347">
        <f ca="1" t="shared" si="43"/>
        <v>5798.420971363692</v>
      </c>
      <c r="AU80" s="347">
        <f ca="1" t="shared" si="44"/>
        <v>11259.651194134025</v>
      </c>
      <c r="AV80" s="307"/>
      <c r="AX80" s="343"/>
      <c r="AY80" s="311">
        <v>2014</v>
      </c>
      <c r="AZ80" s="345">
        <f t="shared" si="49"/>
        <v>4732592.646251767</v>
      </c>
      <c r="BA80" s="345">
        <f t="shared" si="49"/>
        <v>77216.64577125112</v>
      </c>
      <c r="BB80" s="345">
        <f t="shared" si="49"/>
        <v>4802241.606207786</v>
      </c>
      <c r="BC80" s="344"/>
      <c r="BD80" s="12"/>
      <c r="BE80" s="339"/>
      <c r="BF80" s="311">
        <v>2014</v>
      </c>
      <c r="BG80" s="346">
        <f t="shared" si="26"/>
        <v>0.09963967879643477</v>
      </c>
      <c r="BH80" s="345">
        <f>L80+AJ80</f>
        <v>478493.8111454188</v>
      </c>
      <c r="BI80" s="351">
        <f t="shared" si="45"/>
        <v>0.014716871947806798</v>
      </c>
      <c r="BJ80" s="340"/>
      <c r="BK80" s="15"/>
      <c r="BL80" s="325"/>
      <c r="BM80" s="311">
        <v>2014</v>
      </c>
      <c r="BN80" s="345">
        <f ca="1" t="shared" si="50"/>
        <v>12795.282927068343</v>
      </c>
      <c r="BO80" s="345">
        <f ca="1" t="shared" si="50"/>
        <v>28870.057942468287</v>
      </c>
      <c r="BP80" s="345">
        <f ca="1" t="shared" si="50"/>
        <v>-17965.76284378757</v>
      </c>
      <c r="BQ80" s="345">
        <f ca="1" t="shared" si="46"/>
        <v>23699.578025749062</v>
      </c>
      <c r="BR80" s="345">
        <f ca="1" t="shared" si="51"/>
        <v>5798.420971363692</v>
      </c>
      <c r="BS80" s="345">
        <f ca="1" t="shared" si="51"/>
        <v>17901.15705438537</v>
      </c>
      <c r="BT80" s="307"/>
      <c r="BV80" s="325"/>
      <c r="BW80" s="311">
        <v>2014</v>
      </c>
      <c r="BX80" s="359">
        <f ca="1" t="shared" si="10"/>
        <v>23699.578025749062</v>
      </c>
      <c r="BY80" s="359">
        <f t="shared" si="0"/>
        <v>0</v>
      </c>
      <c r="BZ80" s="360">
        <f ca="1" t="shared" si="11"/>
        <v>0</v>
      </c>
      <c r="CA80" s="307"/>
    </row>
    <row r="81" spans="2:79" ht="12.75">
      <c r="B81" s="343"/>
      <c r="C81" s="311">
        <v>2015</v>
      </c>
      <c r="D81" s="345">
        <f>INDEX(HOUSING_STOCK,MATCH(C81,HOUSING_STOCK_YEARS,0)+2,MATCH(B$6,HOUSING_STOCK_BLDG,0)+MATCH(D$10,HOUSING_STOCK_CATEGORY,0)-1)</f>
        <v>4244448.795136396</v>
      </c>
      <c r="E81" s="345">
        <f>INDEX(HOUSING_STOCK,MATCH(C81,HOUSING_STOCK_YEARS,0)+2,MATCH(B$6,HOUSING_STOCK_BLDG,0)+MATCH(E$10,HOUSING_STOCK_CATEGORY,0)-1)</f>
        <v>70186.049138642</v>
      </c>
      <c r="F81" s="345">
        <f>INDEX(HOUSING_STOCK,MATCH(C81,HOUSING_STOCK_YEARS,0)+2,MATCH(B$6,HOUSING_STOCK_BLDG,0)+MATCH(F$10,HOUSING_STOCK_CATEGORY,0)-1)</f>
        <v>4309143.907135445</v>
      </c>
      <c r="G81" s="344"/>
      <c r="H81" s="12"/>
      <c r="I81" s="339"/>
      <c r="J81" s="311">
        <v>2015</v>
      </c>
      <c r="K81" s="346">
        <f>FORECAST(J81,K$58:K$77,J$58:J$77)</f>
        <v>0.04273015435630256</v>
      </c>
      <c r="L81" s="347">
        <f t="shared" si="33"/>
        <v>184130.38429541828</v>
      </c>
      <c r="M81" s="351">
        <f t="shared" si="34"/>
        <v>0.015242288250286284</v>
      </c>
      <c r="N81" s="340"/>
      <c r="O81" s="15"/>
      <c r="P81" s="325"/>
      <c r="Q81" s="311">
        <v>2015</v>
      </c>
      <c r="R81" s="352">
        <f ca="1">E81*FORECAST(Q81,OFFSET('Saturations and Allocations'!$C$13,1,MATCH(B$6,SATURATIONS_HOUSING_TYPE,0)-1+MATCH(B$2,HVAC_SYSTEMS,0),2,1),'Saturations and Allocations'!$C$14:$C$15)</f>
        <v>7018.604913864201</v>
      </c>
      <c r="S81" s="347">
        <f ca="1" t="shared" si="24"/>
        <v>14544.945130609209</v>
      </c>
      <c r="T81" s="347">
        <f ca="1" t="shared" si="35"/>
        <v>-15170.731303779645</v>
      </c>
      <c r="U81" s="347">
        <f ca="1" t="shared" si="36"/>
        <v>6392.818740693765</v>
      </c>
      <c r="V81" s="347">
        <f ca="1" t="shared" si="37"/>
        <v>0</v>
      </c>
      <c r="W81" s="347">
        <f ca="1" t="shared" si="38"/>
        <v>6392.818740693765</v>
      </c>
      <c r="X81" s="307"/>
      <c r="Z81" s="343"/>
      <c r="AA81" s="311">
        <v>2015</v>
      </c>
      <c r="AB81" s="345">
        <f>INDEX(HOUSING_STOCK,MATCH(AA81,HOUSING_STOCK_YEARS,0)+2,MATCH(Z$6,HOUSING_STOCK_BLDG,0)+MATCH(AB$10,HOUSING_STOCK_CATEGORY,0)-1)</f>
        <v>557792.8110713898</v>
      </c>
      <c r="AC81" s="345">
        <f>INDEX(HOUSING_STOCK,MATCH(AA81,HOUSING_STOCK_YEARS,0)+2,MATCH(Z$6,HOUSING_STOCK_BLDG,0)+MATCH(AC$10,HOUSING_STOCK_CATEGORY,0)-1)</f>
        <v>6822.261232801542</v>
      </c>
      <c r="AD81" s="345">
        <f>INDEX(HOUSING_STOCK,MATCH(AA81,HOUSING_STOCK_YEARS,0)+2,MATCH(Z$6,HOUSING_STOCK_BLDG,0)+MATCH(AD$10,HOUSING_STOCK_CATEGORY,0)-1)</f>
        <v>562572.8813528321</v>
      </c>
      <c r="AE81" s="344"/>
      <c r="AF81" s="12"/>
      <c r="AG81" s="339"/>
      <c r="AH81" s="311">
        <v>2015</v>
      </c>
      <c r="AI81" s="346">
        <f>FORECAST(AH81,AI$58:AI$77,AH$58:AH$77)</f>
        <v>0.513114</v>
      </c>
      <c r="AJ81" s="347">
        <f t="shared" si="39"/>
        <v>288664.02144247707</v>
      </c>
      <c r="AK81" s="351">
        <f t="shared" si="40"/>
        <v>0.008569616148800474</v>
      </c>
      <c r="AL81" s="340"/>
      <c r="AM81" s="15"/>
      <c r="AN81" s="325"/>
      <c r="AO81" s="311">
        <v>2015</v>
      </c>
      <c r="AP81" s="352">
        <f ca="1">AC81*FORECAST(AO81,OFFSET('Saturations and Allocations'!$C$13,1,MATCH(Z$6,SATURATIONS_HOUSING_TYPE,0)-1+MATCH(Z$2,HVAC_SYSTEMS,0),2,1),'Saturations and Allocations'!$C$14:$C$15)</f>
        <v>5457.808986241234</v>
      </c>
      <c r="AQ81" s="347">
        <f ca="1" t="shared" si="25"/>
        <v>15939.930018093633</v>
      </c>
      <c r="AR81" s="347">
        <f ca="1" t="shared" si="41"/>
        <v>-3005.088003849265</v>
      </c>
      <c r="AS81" s="347">
        <f ca="1">SUM(AP81:AR81)</f>
        <v>18392.651000485603</v>
      </c>
      <c r="AT81" s="347">
        <f ca="1" t="shared" si="43"/>
        <v>5457.808986241234</v>
      </c>
      <c r="AU81" s="347">
        <f ca="1" t="shared" si="44"/>
        <v>12934.842014244368</v>
      </c>
      <c r="AV81" s="307"/>
      <c r="AX81" s="325"/>
      <c r="AY81" s="311">
        <v>2015</v>
      </c>
      <c r="AZ81" s="345">
        <f t="shared" si="49"/>
        <v>4802241.606207786</v>
      </c>
      <c r="BA81" s="345">
        <f t="shared" si="49"/>
        <v>77008.31037144354</v>
      </c>
      <c r="BB81" s="345">
        <f t="shared" si="49"/>
        <v>4871716.788488276</v>
      </c>
      <c r="BC81" s="344"/>
      <c r="BD81" s="12"/>
      <c r="BE81" s="339"/>
      <c r="BF81" s="311">
        <v>2015</v>
      </c>
      <c r="BG81" s="346">
        <f>BH81/BB81</f>
        <v>0.09704882821905712</v>
      </c>
      <c r="BH81" s="345">
        <f>L81+AJ81</f>
        <v>472794.40573789534</v>
      </c>
      <c r="BI81" s="351">
        <f t="shared" si="45"/>
        <v>0.014467240088603672</v>
      </c>
      <c r="BJ81" s="340"/>
      <c r="BK81" s="15"/>
      <c r="BL81" s="325"/>
      <c r="BM81" s="311">
        <v>2015</v>
      </c>
      <c r="BN81" s="345">
        <f ca="1" t="shared" si="50"/>
        <v>12476.413900105435</v>
      </c>
      <c r="BO81" s="345">
        <f ca="1" t="shared" si="50"/>
        <v>30484.875148702842</v>
      </c>
      <c r="BP81" s="345">
        <f ca="1" t="shared" si="50"/>
        <v>-18175.81930762891</v>
      </c>
      <c r="BQ81" s="345">
        <f ca="1" t="shared" si="46"/>
        <v>24785.469741179368</v>
      </c>
      <c r="BR81" s="345">
        <f ca="1" t="shared" si="51"/>
        <v>5457.808986241234</v>
      </c>
      <c r="BS81" s="345">
        <f ca="1" t="shared" si="51"/>
        <v>19327.660754938133</v>
      </c>
      <c r="BT81" s="307"/>
      <c r="BV81" s="325"/>
      <c r="BW81" s="311">
        <v>2015</v>
      </c>
      <c r="BX81" s="359">
        <f ca="1" t="shared" si="10"/>
        <v>24785.469741179368</v>
      </c>
      <c r="BY81" s="359">
        <f t="shared" si="0"/>
        <v>0</v>
      </c>
      <c r="BZ81" s="360">
        <f ca="1" t="shared" si="11"/>
        <v>0</v>
      </c>
      <c r="CA81" s="307"/>
    </row>
    <row r="82" spans="2:79" ht="13.5" thickBot="1">
      <c r="B82" s="326"/>
      <c r="C82" s="312"/>
      <c r="D82" s="314"/>
      <c r="E82" s="314"/>
      <c r="F82" s="314"/>
      <c r="G82" s="315"/>
      <c r="I82" s="326"/>
      <c r="J82" s="312"/>
      <c r="K82" s="341"/>
      <c r="L82" s="314"/>
      <c r="M82" s="314"/>
      <c r="N82" s="315"/>
      <c r="P82" s="326"/>
      <c r="Q82" s="312"/>
      <c r="R82" s="314"/>
      <c r="S82" s="314"/>
      <c r="T82" s="314"/>
      <c r="U82" s="314"/>
      <c r="V82" s="314"/>
      <c r="W82" s="314"/>
      <c r="X82" s="315"/>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57"/>
      <c r="AY82" s="313"/>
      <c r="AZ82" s="313"/>
      <c r="BA82" s="313"/>
      <c r="BB82" s="313"/>
      <c r="BC82" s="358"/>
      <c r="BE82" s="326"/>
      <c r="BF82" s="312"/>
      <c r="BG82" s="341"/>
      <c r="BH82" s="314"/>
      <c r="BI82" s="314"/>
      <c r="BJ82" s="315"/>
      <c r="BL82" s="326"/>
      <c r="BM82" s="312"/>
      <c r="BN82" s="314"/>
      <c r="BO82" s="314"/>
      <c r="BP82" s="314"/>
      <c r="BQ82" s="314"/>
      <c r="BR82" s="314"/>
      <c r="BS82" s="314"/>
      <c r="BT82" s="315"/>
      <c r="BV82" s="326"/>
      <c r="BW82" s="312"/>
      <c r="BX82" s="314"/>
      <c r="BY82" s="314"/>
      <c r="BZ82" s="314"/>
      <c r="CA82" s="315"/>
    </row>
    <row r="85" ht="12.75">
      <c r="T85" s="7"/>
    </row>
  </sheetData>
  <mergeCells count="18">
    <mergeCell ref="BM9:BQ9"/>
    <mergeCell ref="BV6:CA6"/>
    <mergeCell ref="AA9:AD9"/>
    <mergeCell ref="AH9:AK9"/>
    <mergeCell ref="AY9:BB9"/>
    <mergeCell ref="BV2:CA2"/>
    <mergeCell ref="B4:G4"/>
    <mergeCell ref="Z4:AE4"/>
    <mergeCell ref="AX4:BC4"/>
    <mergeCell ref="BV4:CA4"/>
    <mergeCell ref="B2:G2"/>
    <mergeCell ref="Z2:AE2"/>
    <mergeCell ref="AX2:BC2"/>
    <mergeCell ref="AO9:AS9"/>
    <mergeCell ref="C9:F9"/>
    <mergeCell ref="J9:M9"/>
    <mergeCell ref="Q9:U9"/>
    <mergeCell ref="BF9:BI9"/>
  </mergeCells>
  <conditionalFormatting sqref="U11:U46">
    <cfRule type="cellIs" priority="13" dxfId="0" operator="equal">
      <formula>100000</formula>
    </cfRule>
  </conditionalFormatting>
  <conditionalFormatting sqref="BX11:BY81">
    <cfRule type="cellIs" priority="7" dxfId="0" operator="equal">
      <formula>100000</formula>
    </cfRule>
  </conditionalFormatting>
  <conditionalFormatting sqref="BX9:BY9">
    <cfRule type="cellIs" priority="6"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H88"/>
  <sheetViews>
    <sheetView zoomScale="70" zoomScaleNormal="70" workbookViewId="0" topLeftCell="A36">
      <selection activeCell="T78" sqref="T78"/>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80" width="9.140625" style="4" customWidth="1"/>
    <col min="81" max="81" width="16.8515625" style="4" bestFit="1" customWidth="1"/>
    <col min="82" max="84" width="9.140625" style="4" customWidth="1"/>
    <col min="85" max="85" width="10.28125" style="4" bestFit="1" customWidth="1"/>
    <col min="86" max="86" width="15.00390625" style="4" bestFit="1" customWidth="1"/>
    <col min="87" max="16384" width="9.140625" style="4" customWidth="1"/>
  </cols>
  <sheetData>
    <row r="1" ht="13.5" thickBot="1"/>
    <row r="2" spans="2:79" ht="13.5" thickBot="1">
      <c r="B2" s="913" t="s">
        <v>172</v>
      </c>
      <c r="C2" s="914"/>
      <c r="D2" s="914"/>
      <c r="E2" s="914"/>
      <c r="F2" s="914"/>
      <c r="G2" s="915"/>
      <c r="Z2" s="913" t="str">
        <f>B2</f>
        <v>FAF - Gas</v>
      </c>
      <c r="AA2" s="914"/>
      <c r="AB2" s="914"/>
      <c r="AC2" s="914"/>
      <c r="AD2" s="914"/>
      <c r="AE2" s="915"/>
      <c r="AX2" s="913" t="str">
        <f>B2</f>
        <v>FAF - Gas</v>
      </c>
      <c r="AY2" s="914"/>
      <c r="AZ2" s="914"/>
      <c r="BA2" s="914"/>
      <c r="BB2" s="914"/>
      <c r="BC2" s="915"/>
      <c r="BV2" s="913" t="str">
        <f>$B$2</f>
        <v>FAF - Gas</v>
      </c>
      <c r="BW2" s="914"/>
      <c r="BX2" s="914"/>
      <c r="BY2" s="914"/>
      <c r="BZ2" s="914"/>
      <c r="CA2" s="915"/>
    </row>
    <row r="3" spans="2:79" ht="13.5" thickBot="1">
      <c r="B3" s="29"/>
      <c r="C3" s="29"/>
      <c r="D3" s="29"/>
      <c r="E3" s="29"/>
      <c r="F3" s="29"/>
      <c r="G3" s="29"/>
      <c r="Z3" s="29"/>
      <c r="AA3" s="29"/>
      <c r="AB3" s="29"/>
      <c r="AC3" s="29"/>
      <c r="AD3" s="29"/>
      <c r="AE3" s="29"/>
      <c r="AX3" s="29"/>
      <c r="AY3" s="29"/>
      <c r="AZ3" s="29"/>
      <c r="BA3" s="29"/>
      <c r="BB3" s="29"/>
      <c r="BC3" s="29"/>
      <c r="BV3" s="29"/>
      <c r="BW3" s="29"/>
      <c r="BX3" s="29"/>
      <c r="BY3" s="29"/>
      <c r="BZ3" s="29"/>
      <c r="CA3" s="2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V4" s="913" t="s">
        <v>24</v>
      </c>
      <c r="BW4" s="914"/>
      <c r="BX4" s="914"/>
      <c r="BY4" s="914"/>
      <c r="BZ4" s="914"/>
      <c r="CA4" s="915"/>
    </row>
    <row r="5" spans="6:69" ht="13.5" thickBot="1">
      <c r="F5" s="7"/>
      <c r="G5" s="7"/>
      <c r="H5" s="7"/>
      <c r="I5" s="7"/>
      <c r="M5" s="7"/>
      <c r="T5" s="9"/>
      <c r="U5" s="8" t="s">
        <v>23</v>
      </c>
      <c r="AD5" s="7"/>
      <c r="AE5" s="7"/>
      <c r="AF5" s="7"/>
      <c r="AG5" s="7"/>
      <c r="AK5" s="7"/>
      <c r="AR5" s="9"/>
      <c r="AS5" s="8" t="s">
        <v>23</v>
      </c>
      <c r="BB5" s="7"/>
      <c r="BC5" s="7"/>
      <c r="BD5" s="7"/>
      <c r="BE5" s="7"/>
      <c r="BI5" s="7"/>
      <c r="BP5" s="9"/>
      <c r="BQ5" s="8" t="s">
        <v>23</v>
      </c>
    </row>
    <row r="6" spans="2:78" ht="13.5" thickBot="1">
      <c r="B6" s="316" t="s">
        <v>48</v>
      </c>
      <c r="C6" s="317"/>
      <c r="D6" s="317"/>
      <c r="E6" s="317"/>
      <c r="F6" s="317"/>
      <c r="G6" s="318"/>
      <c r="H6" s="7"/>
      <c r="I6" s="7"/>
      <c r="M6" s="7"/>
      <c r="U6" s="356">
        <f>IF(CALIBRATED_LIFETIME_GFAF="YES",ROUND($BX$6,0),ROUND(INDEX(LIFETIMES_TABLE,MATCH(B$2,HVAC_SYSTEMS,0),MATCH(B$6,LIFETIMES_HOUSING_TYPE,0)),0))</f>
        <v>32</v>
      </c>
      <c r="Z6" s="316" t="s">
        <v>49</v>
      </c>
      <c r="AA6" s="317"/>
      <c r="AB6" s="317"/>
      <c r="AC6" s="317"/>
      <c r="AD6" s="317"/>
      <c r="AE6" s="318"/>
      <c r="AF6" s="7"/>
      <c r="AG6" s="7"/>
      <c r="AK6" s="7"/>
      <c r="AS6" s="356">
        <f>IF(CALIBRATED_LIFETIME_GFAF="YES",ROUND($BX$6,0),ROUND(INDEX(LIFETIMES_TABLE,MATCH(Z$2,HVAC_SYSTEMS,0),MATCH(Z$6,LIFETIMES_HOUSING_TYPE,0)),0))</f>
        <v>32</v>
      </c>
      <c r="AX6" s="316" t="s">
        <v>52</v>
      </c>
      <c r="AY6" s="317"/>
      <c r="AZ6" s="317"/>
      <c r="BA6" s="317"/>
      <c r="BB6" s="317"/>
      <c r="BC6" s="318"/>
      <c r="BD6" s="7"/>
      <c r="BE6" s="7"/>
      <c r="BI6" s="7"/>
      <c r="BQ6" s="356">
        <f>IF(CALIBRATED_LIFETIME_GFAF="YES",ROUND($BX$6,0),ROUND(INDEX(LIFETIMES_TABLE,MATCH(AX$2,HVAC_SYSTEMS,0),MATCH(AX$6,LIFETIMES_HOUSING_TYPE,0)),0))</f>
        <v>32</v>
      </c>
      <c r="BW6" s="8" t="s">
        <v>140</v>
      </c>
      <c r="BX6" s="383">
        <v>32</v>
      </c>
      <c r="BY6" s="8" t="s">
        <v>143</v>
      </c>
      <c r="BZ6" s="356">
        <f ca="1">BZ9-1</f>
        <v>0.0017295881554892922</v>
      </c>
    </row>
    <row r="7" spans="6:67" ht="13.5" thickBot="1">
      <c r="F7" s="7"/>
      <c r="G7" s="7"/>
      <c r="H7" s="7"/>
      <c r="I7" s="7"/>
      <c r="M7" s="7"/>
      <c r="S7" s="10"/>
      <c r="AD7" s="7"/>
      <c r="AE7" s="7"/>
      <c r="AF7" s="7"/>
      <c r="AG7" s="7"/>
      <c r="AK7" s="7"/>
      <c r="AQ7" s="10"/>
      <c r="BB7" s="7"/>
      <c r="BC7" s="7"/>
      <c r="BD7" s="7"/>
      <c r="BE7" s="7"/>
      <c r="BI7" s="7"/>
      <c r="BO7" s="10"/>
    </row>
    <row r="8" spans="2:79" ht="12.75">
      <c r="B8" s="330"/>
      <c r="C8" s="361"/>
      <c r="D8" s="332"/>
      <c r="E8" s="332"/>
      <c r="F8" s="332"/>
      <c r="G8" s="342"/>
      <c r="H8" s="7"/>
      <c r="I8" s="330"/>
      <c r="J8" s="361"/>
      <c r="K8" s="369"/>
      <c r="L8" s="332"/>
      <c r="M8" s="332"/>
      <c r="N8" s="342"/>
      <c r="P8" s="330"/>
      <c r="Q8" s="361"/>
      <c r="R8" s="332"/>
      <c r="S8" s="369"/>
      <c r="T8" s="332"/>
      <c r="U8" s="332"/>
      <c r="V8" s="332"/>
      <c r="W8" s="332"/>
      <c r="X8" s="342"/>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21"/>
      <c r="BW8" s="301"/>
      <c r="BX8" s="302"/>
      <c r="BY8" s="302"/>
      <c r="BZ8" s="302"/>
      <c r="CA8" s="304"/>
    </row>
    <row r="9" spans="2:79" ht="12.75">
      <c r="B9" s="362"/>
      <c r="C9" s="912" t="s">
        <v>41</v>
      </c>
      <c r="D9" s="912"/>
      <c r="E9" s="912"/>
      <c r="F9" s="912"/>
      <c r="G9" s="334"/>
      <c r="H9" s="11"/>
      <c r="I9" s="333"/>
      <c r="J9" s="912" t="s">
        <v>46</v>
      </c>
      <c r="K9" s="912"/>
      <c r="L9" s="912"/>
      <c r="M9" s="912"/>
      <c r="N9" s="334"/>
      <c r="O9" s="11"/>
      <c r="P9" s="322"/>
      <c r="Q9" s="912" t="s">
        <v>47</v>
      </c>
      <c r="R9" s="912"/>
      <c r="S9" s="912"/>
      <c r="T9" s="912"/>
      <c r="U9" s="912"/>
      <c r="V9" s="306"/>
      <c r="W9" s="306"/>
      <c r="X9" s="373"/>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59">
        <f ca="1">SUMIF($BY$11:$BY$81,"&gt;0",BX$11:BX$81)</f>
        <v>458296.3360854025</v>
      </c>
      <c r="BY9" s="359">
        <f>SUMIF($BY$11:$BY$81,"&gt;0",BY$11:BY$81)</f>
        <v>459089</v>
      </c>
      <c r="BZ9" s="360">
        <f ca="1">IF(ISNUMBER(BY9/BX9),BY9/BX9,0)</f>
        <v>1.0017295881554893</v>
      </c>
      <c r="CA9" s="307"/>
    </row>
    <row r="10" spans="2:79" s="5" customFormat="1" ht="39" thickBot="1">
      <c r="B10" s="323"/>
      <c r="C10" s="363"/>
      <c r="D10" s="309" t="s">
        <v>10</v>
      </c>
      <c r="E10" s="309" t="s">
        <v>4</v>
      </c>
      <c r="F10" s="309" t="s">
        <v>11</v>
      </c>
      <c r="G10" s="337"/>
      <c r="I10" s="323"/>
      <c r="J10" s="363"/>
      <c r="K10" s="309" t="s">
        <v>21</v>
      </c>
      <c r="L10" s="309" t="s">
        <v>42</v>
      </c>
      <c r="M10" s="309" t="s">
        <v>45</v>
      </c>
      <c r="N10" s="337"/>
      <c r="O10" s="13"/>
      <c r="P10" s="323"/>
      <c r="Q10" s="363"/>
      <c r="R10" s="309" t="s">
        <v>44</v>
      </c>
      <c r="S10" s="309" t="s">
        <v>93</v>
      </c>
      <c r="T10" s="309" t="s">
        <v>92</v>
      </c>
      <c r="U10" s="309" t="s">
        <v>43</v>
      </c>
      <c r="V10" s="309" t="s">
        <v>86</v>
      </c>
      <c r="W10" s="309" t="s">
        <v>91</v>
      </c>
      <c r="X10" s="337"/>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08"/>
      <c r="BX10" s="309" t="s">
        <v>43</v>
      </c>
      <c r="BY10" s="309" t="s">
        <v>114</v>
      </c>
      <c r="BZ10" s="309"/>
      <c r="CA10" s="310"/>
    </row>
    <row r="11" spans="2:79" s="5" customFormat="1" ht="12.75">
      <c r="B11" s="323"/>
      <c r="C11" s="311">
        <v>1945</v>
      </c>
      <c r="D11" s="309"/>
      <c r="E11" s="309"/>
      <c r="F11" s="309"/>
      <c r="G11" s="337"/>
      <c r="I11" s="323"/>
      <c r="J11" s="311">
        <v>1945</v>
      </c>
      <c r="K11" s="309"/>
      <c r="L11" s="309"/>
      <c r="M11" s="309"/>
      <c r="N11" s="337"/>
      <c r="O11" s="13"/>
      <c r="P11" s="323"/>
      <c r="Q11" s="311">
        <v>1945</v>
      </c>
      <c r="R11" s="309"/>
      <c r="S11" s="309"/>
      <c r="T11" s="309" t="str">
        <f>IF($Q$47-$Q11=$U$6,"CALIBRATE"," ")</f>
        <v xml:space="preserve"> </v>
      </c>
      <c r="U11" s="376">
        <f>IF(Q$47-Q11&gt;U$6,0,L$46/U$6)</f>
        <v>0</v>
      </c>
      <c r="V11" s="309"/>
      <c r="W11" s="309"/>
      <c r="X11" s="337"/>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76">
        <f>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76">
        <f>IF(BM$47-BM11&gt;BQ$6,0,BH$46/BQ$6)</f>
        <v>0</v>
      </c>
      <c r="BR11" s="309"/>
      <c r="BS11" s="309"/>
      <c r="BT11" s="310"/>
      <c r="BV11" s="323"/>
      <c r="BW11" s="311">
        <v>1945</v>
      </c>
      <c r="BX11" s="359">
        <f>BQ11</f>
        <v>0</v>
      </c>
      <c r="BY11" s="359">
        <f aca="true" t="shared" si="0" ref="BY11:BY81">IF(ISNUMBER(INDEX(TARGET_SHIPMENTS,MATCH($BV$2,HVAC_SYSTEMS,0),MATCH(BW11,TARGET_SHIPMENT_YEARS,0))),INDEX(TARGET_SHIPMENTS,MATCH($BV$2,HVAC_SYSTEMS,0),MATCH(BW11,TARGET_SHIPMENT_YEARS,0)),0)</f>
        <v>0</v>
      </c>
      <c r="BZ11" s="360">
        <f>IF(ISNUMBER(BY11/BX11),BY11/BX11,0)</f>
        <v>0</v>
      </c>
      <c r="CA11" s="310"/>
    </row>
    <row r="12" spans="2:79" s="5" customFormat="1" ht="12.75">
      <c r="B12" s="323"/>
      <c r="C12" s="311">
        <v>1946</v>
      </c>
      <c r="D12" s="309"/>
      <c r="E12" s="309"/>
      <c r="F12" s="309"/>
      <c r="G12" s="337"/>
      <c r="I12" s="323"/>
      <c r="J12" s="311">
        <v>1946</v>
      </c>
      <c r="K12" s="309"/>
      <c r="L12" s="309"/>
      <c r="M12" s="309"/>
      <c r="N12" s="337"/>
      <c r="O12" s="13"/>
      <c r="P12" s="323"/>
      <c r="Q12" s="311">
        <v>1946</v>
      </c>
      <c r="R12" s="309"/>
      <c r="S12" s="309"/>
      <c r="T12" s="309"/>
      <c r="U12" s="806">
        <f aca="true" t="shared" si="1" ref="U12:U46">IF(Q$47-Q12&gt;U$6,0,L$46/U$6)</f>
        <v>0</v>
      </c>
      <c r="V12" s="309"/>
      <c r="W12" s="309"/>
      <c r="X12" s="337"/>
      <c r="Z12" s="335"/>
      <c r="AA12" s="311">
        <v>1946</v>
      </c>
      <c r="AB12" s="336"/>
      <c r="AC12" s="336"/>
      <c r="AD12" s="336"/>
      <c r="AE12" s="310"/>
      <c r="AG12" s="335"/>
      <c r="AH12" s="311">
        <v>1946</v>
      </c>
      <c r="AI12" s="309"/>
      <c r="AJ12" s="309"/>
      <c r="AK12" s="309"/>
      <c r="AL12" s="337"/>
      <c r="AM12" s="13"/>
      <c r="AN12" s="323"/>
      <c r="AO12" s="311">
        <v>1946</v>
      </c>
      <c r="AP12" s="309"/>
      <c r="AQ12" s="309"/>
      <c r="AR12" s="309"/>
      <c r="AS12" s="806">
        <f aca="true" t="shared" si="2" ref="AS12:AS46">IF(AO$47-AO12&gt;AS$6,0,AJ$46/AS$6)</f>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6">
        <f aca="true" t="shared" si="3" ref="BQ12:BQ46">IF(BM$47-BM12&gt;BQ$6,0,BH$46/BQ$6)</f>
        <v>0</v>
      </c>
      <c r="BR12" s="309"/>
      <c r="BS12" s="309"/>
      <c r="BT12" s="310"/>
      <c r="BV12" s="323"/>
      <c r="BW12" s="311">
        <v>1946</v>
      </c>
      <c r="BX12" s="359">
        <f aca="true" t="shared" si="4" ref="BX12:BX28">BQ12</f>
        <v>0</v>
      </c>
      <c r="BY12" s="359">
        <f aca="true" t="shared" si="5" ref="BY12:BY28">IF(ISNUMBER(INDEX(TARGET_SHIPMENTS,MATCH($BV$2,HVAC_SYSTEMS,0),MATCH(BW12,TARGET_SHIPMENT_YEARS,0))),INDEX(TARGET_SHIPMENTS,MATCH($BV$2,HVAC_SYSTEMS,0),MATCH(BW12,TARGET_SHIPMENT_YEARS,0)),0)</f>
        <v>0</v>
      </c>
      <c r="BZ12" s="360">
        <f aca="true" t="shared" si="6" ref="BZ12:BZ28">IF(ISNUMBER(BY12/BX12),BY12/BX12,0)</f>
        <v>0</v>
      </c>
      <c r="CA12" s="310"/>
    </row>
    <row r="13" spans="2:79" s="5" customFormat="1" ht="12.75">
      <c r="B13" s="323"/>
      <c r="C13" s="311">
        <v>1947</v>
      </c>
      <c r="D13" s="309"/>
      <c r="E13" s="309"/>
      <c r="F13" s="309"/>
      <c r="G13" s="337"/>
      <c r="I13" s="323"/>
      <c r="J13" s="311">
        <v>1947</v>
      </c>
      <c r="K13" s="309"/>
      <c r="L13" s="309"/>
      <c r="M13" s="309"/>
      <c r="N13" s="337"/>
      <c r="O13" s="13"/>
      <c r="P13" s="323"/>
      <c r="Q13" s="311">
        <v>1947</v>
      </c>
      <c r="R13" s="309"/>
      <c r="S13" s="309"/>
      <c r="T13" s="309"/>
      <c r="U13" s="806">
        <f t="shared" si="1"/>
        <v>0</v>
      </c>
      <c r="V13" s="309"/>
      <c r="W13" s="309"/>
      <c r="X13" s="337"/>
      <c r="Z13" s="335"/>
      <c r="AA13" s="311">
        <v>1947</v>
      </c>
      <c r="AB13" s="336"/>
      <c r="AC13" s="336"/>
      <c r="AD13" s="336"/>
      <c r="AE13" s="310"/>
      <c r="AG13" s="335"/>
      <c r="AH13" s="311">
        <v>1947</v>
      </c>
      <c r="AI13" s="309"/>
      <c r="AJ13" s="309"/>
      <c r="AK13" s="309"/>
      <c r="AL13" s="337"/>
      <c r="AM13" s="13"/>
      <c r="AN13" s="323"/>
      <c r="AO13" s="311">
        <v>1947</v>
      </c>
      <c r="AP13" s="309"/>
      <c r="AQ13" s="309"/>
      <c r="AR13" s="309"/>
      <c r="AS13" s="806">
        <f t="shared" si="2"/>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6">
        <f t="shared" si="3"/>
        <v>0</v>
      </c>
      <c r="BR13" s="309"/>
      <c r="BS13" s="309"/>
      <c r="BT13" s="310"/>
      <c r="BV13" s="323"/>
      <c r="BW13" s="311">
        <v>1947</v>
      </c>
      <c r="BX13" s="359">
        <f t="shared" si="4"/>
        <v>0</v>
      </c>
      <c r="BY13" s="359">
        <f t="shared" si="5"/>
        <v>0</v>
      </c>
      <c r="BZ13" s="360">
        <f t="shared" si="6"/>
        <v>0</v>
      </c>
      <c r="CA13" s="310"/>
    </row>
    <row r="14" spans="2:79" s="5" customFormat="1" ht="12.75">
      <c r="B14" s="323"/>
      <c r="C14" s="311">
        <v>1948</v>
      </c>
      <c r="D14" s="309"/>
      <c r="E14" s="309"/>
      <c r="F14" s="309"/>
      <c r="G14" s="337"/>
      <c r="I14" s="323"/>
      <c r="J14" s="311">
        <v>1948</v>
      </c>
      <c r="K14" s="309"/>
      <c r="L14" s="309"/>
      <c r="M14" s="309"/>
      <c r="N14" s="337"/>
      <c r="O14" s="13"/>
      <c r="P14" s="323"/>
      <c r="Q14" s="311">
        <v>1948</v>
      </c>
      <c r="R14" s="309"/>
      <c r="S14" s="309"/>
      <c r="T14" s="309"/>
      <c r="U14" s="806">
        <f t="shared" si="1"/>
        <v>0</v>
      </c>
      <c r="V14" s="309"/>
      <c r="W14" s="309"/>
      <c r="X14" s="337"/>
      <c r="Z14" s="335"/>
      <c r="AA14" s="311">
        <v>1948</v>
      </c>
      <c r="AB14" s="336"/>
      <c r="AC14" s="336"/>
      <c r="AD14" s="336"/>
      <c r="AE14" s="310"/>
      <c r="AG14" s="335"/>
      <c r="AH14" s="311">
        <v>1948</v>
      </c>
      <c r="AI14" s="309"/>
      <c r="AJ14" s="309"/>
      <c r="AK14" s="309"/>
      <c r="AL14" s="337"/>
      <c r="AM14" s="13"/>
      <c r="AN14" s="323"/>
      <c r="AO14" s="311">
        <v>1948</v>
      </c>
      <c r="AP14" s="309"/>
      <c r="AQ14" s="309"/>
      <c r="AR14" s="309"/>
      <c r="AS14" s="806">
        <f t="shared" si="2"/>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6">
        <f t="shared" si="3"/>
        <v>0</v>
      </c>
      <c r="BR14" s="309"/>
      <c r="BS14" s="309"/>
      <c r="BT14" s="310"/>
      <c r="BV14" s="323"/>
      <c r="BW14" s="311">
        <v>1948</v>
      </c>
      <c r="BX14" s="359">
        <f t="shared" si="4"/>
        <v>0</v>
      </c>
      <c r="BY14" s="359">
        <f t="shared" si="5"/>
        <v>0</v>
      </c>
      <c r="BZ14" s="360">
        <f t="shared" si="6"/>
        <v>0</v>
      </c>
      <c r="CA14" s="310"/>
    </row>
    <row r="15" spans="2:79" s="5" customFormat="1" ht="12.75">
      <c r="B15" s="323"/>
      <c r="C15" s="311">
        <v>1949</v>
      </c>
      <c r="D15" s="309"/>
      <c r="E15" s="309"/>
      <c r="F15" s="309"/>
      <c r="G15" s="337"/>
      <c r="I15" s="323"/>
      <c r="J15" s="311">
        <v>1949</v>
      </c>
      <c r="K15" s="309"/>
      <c r="L15" s="309"/>
      <c r="M15" s="309"/>
      <c r="N15" s="337"/>
      <c r="O15" s="13"/>
      <c r="P15" s="323"/>
      <c r="Q15" s="311">
        <v>1949</v>
      </c>
      <c r="R15" s="309"/>
      <c r="S15" s="309"/>
      <c r="T15" s="309"/>
      <c r="U15" s="806">
        <f t="shared" si="1"/>
        <v>8594.770219458665</v>
      </c>
      <c r="V15" s="309"/>
      <c r="W15" s="309"/>
      <c r="X15" s="337"/>
      <c r="Z15" s="335"/>
      <c r="AA15" s="311">
        <v>1949</v>
      </c>
      <c r="AB15" s="336"/>
      <c r="AC15" s="336"/>
      <c r="AD15" s="336"/>
      <c r="AE15" s="310"/>
      <c r="AG15" s="335"/>
      <c r="AH15" s="311">
        <v>1949</v>
      </c>
      <c r="AI15" s="309"/>
      <c r="AJ15" s="309"/>
      <c r="AK15" s="309"/>
      <c r="AL15" s="337"/>
      <c r="AM15" s="13"/>
      <c r="AN15" s="323"/>
      <c r="AO15" s="311">
        <v>1949</v>
      </c>
      <c r="AP15" s="309"/>
      <c r="AQ15" s="309"/>
      <c r="AR15" s="309"/>
      <c r="AS15" s="806">
        <f t="shared" si="2"/>
        <v>186.14938201357143</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6">
        <f t="shared" si="3"/>
        <v>8780.919601472237</v>
      </c>
      <c r="BR15" s="309"/>
      <c r="BS15" s="309"/>
      <c r="BT15" s="310"/>
      <c r="BV15" s="323"/>
      <c r="BW15" s="311">
        <v>1949</v>
      </c>
      <c r="BX15" s="359">
        <f t="shared" si="4"/>
        <v>8780.919601472237</v>
      </c>
      <c r="BY15" s="359">
        <f t="shared" si="5"/>
        <v>0</v>
      </c>
      <c r="BZ15" s="360">
        <f t="shared" si="6"/>
        <v>0</v>
      </c>
      <c r="CA15" s="310"/>
    </row>
    <row r="16" spans="2:79" s="5" customFormat="1" ht="12.75">
      <c r="B16" s="323"/>
      <c r="C16" s="311">
        <v>1950</v>
      </c>
      <c r="D16" s="309"/>
      <c r="E16" s="309"/>
      <c r="F16" s="309"/>
      <c r="G16" s="337"/>
      <c r="I16" s="323"/>
      <c r="J16" s="311">
        <v>1950</v>
      </c>
      <c r="K16" s="309"/>
      <c r="L16" s="309"/>
      <c r="M16" s="309"/>
      <c r="N16" s="337"/>
      <c r="O16" s="13"/>
      <c r="P16" s="323"/>
      <c r="Q16" s="311">
        <v>1950</v>
      </c>
      <c r="R16" s="309"/>
      <c r="S16" s="309"/>
      <c r="T16" s="309"/>
      <c r="U16" s="806">
        <f t="shared" si="1"/>
        <v>8594.770219458665</v>
      </c>
      <c r="V16" s="309"/>
      <c r="W16" s="309"/>
      <c r="X16" s="337"/>
      <c r="Z16" s="335"/>
      <c r="AA16" s="311">
        <v>1950</v>
      </c>
      <c r="AB16" s="336"/>
      <c r="AC16" s="336"/>
      <c r="AD16" s="336"/>
      <c r="AE16" s="310"/>
      <c r="AG16" s="335"/>
      <c r="AH16" s="311">
        <v>1950</v>
      </c>
      <c r="AI16" s="309"/>
      <c r="AJ16" s="309"/>
      <c r="AK16" s="309"/>
      <c r="AL16" s="337"/>
      <c r="AM16" s="13"/>
      <c r="AN16" s="323"/>
      <c r="AO16" s="311">
        <v>1950</v>
      </c>
      <c r="AP16" s="309"/>
      <c r="AQ16" s="309"/>
      <c r="AR16" s="309"/>
      <c r="AS16" s="806">
        <f t="shared" si="2"/>
        <v>186.14938201357143</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6">
        <f t="shared" si="3"/>
        <v>8780.919601472237</v>
      </c>
      <c r="BR16" s="309"/>
      <c r="BS16" s="309"/>
      <c r="BT16" s="310"/>
      <c r="BV16" s="323"/>
      <c r="BW16" s="311">
        <v>1950</v>
      </c>
      <c r="BX16" s="359">
        <f t="shared" si="4"/>
        <v>8780.919601472237</v>
      </c>
      <c r="BY16" s="359">
        <f t="shared" si="5"/>
        <v>0</v>
      </c>
      <c r="BZ16" s="360">
        <f t="shared" si="6"/>
        <v>0</v>
      </c>
      <c r="CA16" s="310"/>
    </row>
    <row r="17" spans="2:79" s="5" customFormat="1" ht="12.75">
      <c r="B17" s="323"/>
      <c r="C17" s="311">
        <v>1951</v>
      </c>
      <c r="D17" s="309"/>
      <c r="E17" s="309"/>
      <c r="F17" s="309"/>
      <c r="G17" s="337"/>
      <c r="I17" s="323"/>
      <c r="J17" s="311">
        <v>1951</v>
      </c>
      <c r="K17" s="309"/>
      <c r="L17" s="309"/>
      <c r="M17" s="309"/>
      <c r="N17" s="337"/>
      <c r="O17" s="13"/>
      <c r="P17" s="323"/>
      <c r="Q17" s="311">
        <v>1951</v>
      </c>
      <c r="R17" s="309"/>
      <c r="S17" s="309"/>
      <c r="T17" s="309"/>
      <c r="U17" s="806">
        <f t="shared" si="1"/>
        <v>8594.770219458665</v>
      </c>
      <c r="V17" s="309"/>
      <c r="W17" s="309"/>
      <c r="X17" s="337"/>
      <c r="Z17" s="335"/>
      <c r="AA17" s="311">
        <v>1951</v>
      </c>
      <c r="AB17" s="336"/>
      <c r="AC17" s="336"/>
      <c r="AD17" s="336"/>
      <c r="AE17" s="310"/>
      <c r="AG17" s="335"/>
      <c r="AH17" s="311">
        <v>1951</v>
      </c>
      <c r="AI17" s="309"/>
      <c r="AJ17" s="309"/>
      <c r="AK17" s="309"/>
      <c r="AL17" s="337"/>
      <c r="AM17" s="13"/>
      <c r="AN17" s="323"/>
      <c r="AO17" s="311">
        <v>1951</v>
      </c>
      <c r="AP17" s="309"/>
      <c r="AQ17" s="309"/>
      <c r="AR17" s="309"/>
      <c r="AS17" s="806">
        <f t="shared" si="2"/>
        <v>186.14938201357143</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6">
        <f t="shared" si="3"/>
        <v>8780.919601472237</v>
      </c>
      <c r="BR17" s="309"/>
      <c r="BS17" s="309"/>
      <c r="BT17" s="310"/>
      <c r="BV17" s="323"/>
      <c r="BW17" s="311">
        <v>1951</v>
      </c>
      <c r="BX17" s="359">
        <f t="shared" si="4"/>
        <v>8780.919601472237</v>
      </c>
      <c r="BY17" s="359">
        <f t="shared" si="5"/>
        <v>0</v>
      </c>
      <c r="BZ17" s="360">
        <f t="shared" si="6"/>
        <v>0</v>
      </c>
      <c r="CA17" s="310"/>
    </row>
    <row r="18" spans="2:79" s="5" customFormat="1" ht="12.75">
      <c r="B18" s="323"/>
      <c r="C18" s="311">
        <v>1952</v>
      </c>
      <c r="D18" s="309"/>
      <c r="E18" s="309"/>
      <c r="F18" s="309"/>
      <c r="G18" s="337"/>
      <c r="I18" s="323"/>
      <c r="J18" s="311">
        <v>1952</v>
      </c>
      <c r="K18" s="309"/>
      <c r="L18" s="309"/>
      <c r="M18" s="309"/>
      <c r="N18" s="337"/>
      <c r="O18" s="13"/>
      <c r="P18" s="323"/>
      <c r="Q18" s="311">
        <v>1952</v>
      </c>
      <c r="R18" s="309"/>
      <c r="S18" s="309"/>
      <c r="T18" s="309"/>
      <c r="U18" s="806">
        <f t="shared" si="1"/>
        <v>8594.770219458665</v>
      </c>
      <c r="V18" s="309"/>
      <c r="W18" s="309"/>
      <c r="X18" s="337"/>
      <c r="Z18" s="335"/>
      <c r="AA18" s="311">
        <v>1952</v>
      </c>
      <c r="AB18" s="336"/>
      <c r="AC18" s="336"/>
      <c r="AD18" s="336"/>
      <c r="AE18" s="310"/>
      <c r="AG18" s="335"/>
      <c r="AH18" s="311">
        <v>1952</v>
      </c>
      <c r="AI18" s="309"/>
      <c r="AJ18" s="309"/>
      <c r="AK18" s="309"/>
      <c r="AL18" s="337"/>
      <c r="AM18" s="13"/>
      <c r="AN18" s="323"/>
      <c r="AO18" s="311">
        <v>1952</v>
      </c>
      <c r="AP18" s="309"/>
      <c r="AQ18" s="309"/>
      <c r="AR18" s="309"/>
      <c r="AS18" s="806">
        <f t="shared" si="2"/>
        <v>186.14938201357143</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6">
        <f t="shared" si="3"/>
        <v>8780.919601472237</v>
      </c>
      <c r="BR18" s="309"/>
      <c r="BS18" s="309"/>
      <c r="BT18" s="310"/>
      <c r="BV18" s="323"/>
      <c r="BW18" s="311">
        <v>1952</v>
      </c>
      <c r="BX18" s="359">
        <f t="shared" si="4"/>
        <v>8780.919601472237</v>
      </c>
      <c r="BY18" s="359">
        <f t="shared" si="5"/>
        <v>0</v>
      </c>
      <c r="BZ18" s="360">
        <f t="shared" si="6"/>
        <v>0</v>
      </c>
      <c r="CA18" s="310"/>
    </row>
    <row r="19" spans="2:79" s="5" customFormat="1" ht="12.75">
      <c r="B19" s="323"/>
      <c r="C19" s="311">
        <v>1953</v>
      </c>
      <c r="D19" s="309"/>
      <c r="E19" s="309"/>
      <c r="F19" s="309"/>
      <c r="G19" s="337"/>
      <c r="I19" s="323"/>
      <c r="J19" s="311">
        <v>1953</v>
      </c>
      <c r="K19" s="309"/>
      <c r="L19" s="309"/>
      <c r="M19" s="309"/>
      <c r="N19" s="337"/>
      <c r="O19" s="13"/>
      <c r="P19" s="323"/>
      <c r="Q19" s="311">
        <v>1953</v>
      </c>
      <c r="R19" s="309"/>
      <c r="S19" s="309"/>
      <c r="T19" s="309"/>
      <c r="U19" s="806">
        <f t="shared" si="1"/>
        <v>8594.770219458665</v>
      </c>
      <c r="V19" s="309"/>
      <c r="W19" s="309"/>
      <c r="X19" s="337"/>
      <c r="Z19" s="335"/>
      <c r="AA19" s="311">
        <v>1953</v>
      </c>
      <c r="AB19" s="336"/>
      <c r="AC19" s="336"/>
      <c r="AD19" s="336"/>
      <c r="AE19" s="310"/>
      <c r="AG19" s="335"/>
      <c r="AH19" s="311">
        <v>1953</v>
      </c>
      <c r="AI19" s="309"/>
      <c r="AJ19" s="309"/>
      <c r="AK19" s="309"/>
      <c r="AL19" s="337"/>
      <c r="AM19" s="13"/>
      <c r="AN19" s="323"/>
      <c r="AO19" s="311">
        <v>1953</v>
      </c>
      <c r="AP19" s="309"/>
      <c r="AQ19" s="309"/>
      <c r="AR19" s="309"/>
      <c r="AS19" s="806">
        <f t="shared" si="2"/>
        <v>186.14938201357143</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6">
        <f t="shared" si="3"/>
        <v>8780.919601472237</v>
      </c>
      <c r="BR19" s="309"/>
      <c r="BS19" s="309"/>
      <c r="BT19" s="310"/>
      <c r="BV19" s="323"/>
      <c r="BW19" s="311">
        <v>1953</v>
      </c>
      <c r="BX19" s="359">
        <f t="shared" si="4"/>
        <v>8780.919601472237</v>
      </c>
      <c r="BY19" s="359">
        <f t="shared" si="5"/>
        <v>0</v>
      </c>
      <c r="BZ19" s="360">
        <f t="shared" si="6"/>
        <v>0</v>
      </c>
      <c r="CA19" s="310"/>
    </row>
    <row r="20" spans="2:79" s="5" customFormat="1" ht="12.75">
      <c r="B20" s="323"/>
      <c r="C20" s="311">
        <v>1954</v>
      </c>
      <c r="D20" s="309"/>
      <c r="E20" s="309"/>
      <c r="F20" s="309"/>
      <c r="G20" s="337"/>
      <c r="I20" s="323"/>
      <c r="J20" s="311">
        <v>1954</v>
      </c>
      <c r="K20" s="309"/>
      <c r="L20" s="309"/>
      <c r="M20" s="309"/>
      <c r="N20" s="337"/>
      <c r="O20" s="13"/>
      <c r="P20" s="323"/>
      <c r="Q20" s="311">
        <v>1954</v>
      </c>
      <c r="R20" s="309"/>
      <c r="S20" s="309"/>
      <c r="T20" s="309"/>
      <c r="U20" s="806">
        <f t="shared" si="1"/>
        <v>8594.770219458665</v>
      </c>
      <c r="V20" s="309"/>
      <c r="W20" s="309"/>
      <c r="X20" s="337"/>
      <c r="Z20" s="335"/>
      <c r="AA20" s="311">
        <v>1954</v>
      </c>
      <c r="AB20" s="336"/>
      <c r="AC20" s="336"/>
      <c r="AD20" s="336"/>
      <c r="AE20" s="310"/>
      <c r="AG20" s="335"/>
      <c r="AH20" s="311">
        <v>1954</v>
      </c>
      <c r="AI20" s="309"/>
      <c r="AJ20" s="309"/>
      <c r="AK20" s="309"/>
      <c r="AL20" s="337"/>
      <c r="AM20" s="13"/>
      <c r="AN20" s="323"/>
      <c r="AO20" s="311">
        <v>1954</v>
      </c>
      <c r="AP20" s="309"/>
      <c r="AQ20" s="309"/>
      <c r="AR20" s="309"/>
      <c r="AS20" s="806">
        <f t="shared" si="2"/>
        <v>186.14938201357143</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6">
        <f t="shared" si="3"/>
        <v>8780.919601472237</v>
      </c>
      <c r="BR20" s="309"/>
      <c r="BS20" s="309"/>
      <c r="BT20" s="310"/>
      <c r="BV20" s="323"/>
      <c r="BW20" s="311">
        <v>1954</v>
      </c>
      <c r="BX20" s="359">
        <f t="shared" si="4"/>
        <v>8780.919601472237</v>
      </c>
      <c r="BY20" s="359">
        <f t="shared" si="5"/>
        <v>0</v>
      </c>
      <c r="BZ20" s="360">
        <f t="shared" si="6"/>
        <v>0</v>
      </c>
      <c r="CA20" s="310"/>
    </row>
    <row r="21" spans="2:79" s="5" customFormat="1" ht="12.75">
      <c r="B21" s="323"/>
      <c r="C21" s="311">
        <v>1955</v>
      </c>
      <c r="D21" s="309"/>
      <c r="E21" s="309"/>
      <c r="F21" s="309"/>
      <c r="G21" s="337"/>
      <c r="I21" s="323"/>
      <c r="J21" s="311">
        <v>1955</v>
      </c>
      <c r="K21" s="309"/>
      <c r="L21" s="309"/>
      <c r="M21" s="309"/>
      <c r="N21" s="337"/>
      <c r="O21" s="13"/>
      <c r="P21" s="323"/>
      <c r="Q21" s="311">
        <v>1955</v>
      </c>
      <c r="R21" s="309"/>
      <c r="S21" s="309"/>
      <c r="T21" s="309"/>
      <c r="U21" s="806">
        <f t="shared" si="1"/>
        <v>8594.770219458665</v>
      </c>
      <c r="V21" s="309"/>
      <c r="W21" s="309"/>
      <c r="X21" s="337"/>
      <c r="Z21" s="335"/>
      <c r="AA21" s="311">
        <v>1955</v>
      </c>
      <c r="AB21" s="336"/>
      <c r="AC21" s="336"/>
      <c r="AD21" s="336"/>
      <c r="AE21" s="310"/>
      <c r="AG21" s="335"/>
      <c r="AH21" s="311">
        <v>1955</v>
      </c>
      <c r="AI21" s="309"/>
      <c r="AJ21" s="309"/>
      <c r="AK21" s="309"/>
      <c r="AL21" s="337"/>
      <c r="AM21" s="13"/>
      <c r="AN21" s="323"/>
      <c r="AO21" s="311">
        <v>1955</v>
      </c>
      <c r="AP21" s="309"/>
      <c r="AQ21" s="309"/>
      <c r="AR21" s="309"/>
      <c r="AS21" s="806">
        <f t="shared" si="2"/>
        <v>186.14938201357143</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6">
        <f t="shared" si="3"/>
        <v>8780.919601472237</v>
      </c>
      <c r="BR21" s="309"/>
      <c r="BS21" s="309"/>
      <c r="BT21" s="310"/>
      <c r="BV21" s="323"/>
      <c r="BW21" s="311">
        <v>1955</v>
      </c>
      <c r="BX21" s="359">
        <f t="shared" si="4"/>
        <v>8780.919601472237</v>
      </c>
      <c r="BY21" s="359">
        <f t="shared" si="5"/>
        <v>0</v>
      </c>
      <c r="BZ21" s="360">
        <f t="shared" si="6"/>
        <v>0</v>
      </c>
      <c r="CA21" s="310"/>
    </row>
    <row r="22" spans="2:79" s="5" customFormat="1" ht="12.75">
      <c r="B22" s="323"/>
      <c r="C22" s="311">
        <v>1956</v>
      </c>
      <c r="D22" s="309"/>
      <c r="E22" s="309"/>
      <c r="F22" s="309"/>
      <c r="G22" s="337"/>
      <c r="I22" s="323"/>
      <c r="J22" s="311">
        <v>1956</v>
      </c>
      <c r="K22" s="309"/>
      <c r="L22" s="309"/>
      <c r="M22" s="309"/>
      <c r="N22" s="337"/>
      <c r="O22" s="13"/>
      <c r="P22" s="323"/>
      <c r="Q22" s="311">
        <v>1956</v>
      </c>
      <c r="R22" s="309"/>
      <c r="S22" s="309"/>
      <c r="T22" s="309" t="str">
        <f aca="true" t="shared" si="7" ref="T22:T46">IF($Q$47-$Q22=$U$6,"CALIBRATE"," ")</f>
        <v xml:space="preserve"> </v>
      </c>
      <c r="U22" s="377">
        <f t="shared" si="1"/>
        <v>8594.770219458665</v>
      </c>
      <c r="V22" s="309"/>
      <c r="W22" s="309"/>
      <c r="X22" s="337"/>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8" ref="AR22:AR46">IF($Q$47-$Q22=$U$6,"CALIBRATE"," ")</f>
        <v xml:space="preserve"> </v>
      </c>
      <c r="AS22" s="377">
        <f t="shared" si="2"/>
        <v>186.14938201357143</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9" ref="BP22:BP46">IF($Q$47-$Q22=$U$6,"CALIBRATE"," ")</f>
        <v xml:space="preserve"> </v>
      </c>
      <c r="BQ22" s="377">
        <f t="shared" si="3"/>
        <v>8780.919601472237</v>
      </c>
      <c r="BR22" s="309"/>
      <c r="BS22" s="309"/>
      <c r="BT22" s="310"/>
      <c r="BV22" s="323"/>
      <c r="BW22" s="311">
        <v>1956</v>
      </c>
      <c r="BX22" s="359">
        <f t="shared" si="4"/>
        <v>8780.919601472237</v>
      </c>
      <c r="BY22" s="359">
        <f t="shared" si="5"/>
        <v>0</v>
      </c>
      <c r="BZ22" s="360">
        <f t="shared" si="6"/>
        <v>0</v>
      </c>
      <c r="CA22" s="310"/>
    </row>
    <row r="23" spans="2:79" s="5" customFormat="1" ht="12.75">
      <c r="B23" s="323"/>
      <c r="C23" s="311">
        <v>1957</v>
      </c>
      <c r="D23" s="309"/>
      <c r="E23" s="309"/>
      <c r="F23" s="309"/>
      <c r="G23" s="337"/>
      <c r="I23" s="323"/>
      <c r="J23" s="311">
        <v>1957</v>
      </c>
      <c r="K23" s="309"/>
      <c r="L23" s="309"/>
      <c r="M23" s="309"/>
      <c r="N23" s="337"/>
      <c r="O23" s="13"/>
      <c r="P23" s="323"/>
      <c r="Q23" s="311">
        <v>1957</v>
      </c>
      <c r="R23" s="309"/>
      <c r="S23" s="309"/>
      <c r="T23" s="309" t="str">
        <f t="shared" si="7"/>
        <v xml:space="preserve"> </v>
      </c>
      <c r="U23" s="377">
        <f t="shared" si="1"/>
        <v>8594.770219458665</v>
      </c>
      <c r="V23" s="309"/>
      <c r="W23" s="309"/>
      <c r="X23" s="337"/>
      <c r="Z23" s="335"/>
      <c r="AA23" s="311">
        <v>1957</v>
      </c>
      <c r="AB23" s="336"/>
      <c r="AC23" s="336"/>
      <c r="AD23" s="336"/>
      <c r="AE23" s="310"/>
      <c r="AG23" s="335"/>
      <c r="AH23" s="311">
        <v>1957</v>
      </c>
      <c r="AI23" s="309"/>
      <c r="AJ23" s="309"/>
      <c r="AK23" s="309"/>
      <c r="AL23" s="337"/>
      <c r="AM23" s="13"/>
      <c r="AN23" s="323"/>
      <c r="AO23" s="311">
        <v>1957</v>
      </c>
      <c r="AP23" s="309"/>
      <c r="AQ23" s="309"/>
      <c r="AR23" s="309" t="str">
        <f t="shared" si="8"/>
        <v xml:space="preserve"> </v>
      </c>
      <c r="AS23" s="377">
        <f t="shared" si="2"/>
        <v>186.14938201357143</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9"/>
        <v xml:space="preserve"> </v>
      </c>
      <c r="BQ23" s="377">
        <f t="shared" si="3"/>
        <v>8780.919601472237</v>
      </c>
      <c r="BR23" s="309"/>
      <c r="BS23" s="309"/>
      <c r="BT23" s="310"/>
      <c r="BV23" s="323"/>
      <c r="BW23" s="311">
        <v>1957</v>
      </c>
      <c r="BX23" s="359">
        <f t="shared" si="4"/>
        <v>8780.919601472237</v>
      </c>
      <c r="BY23" s="359">
        <f t="shared" si="5"/>
        <v>0</v>
      </c>
      <c r="BZ23" s="360">
        <f t="shared" si="6"/>
        <v>0</v>
      </c>
      <c r="CA23" s="310"/>
    </row>
    <row r="24" spans="2:79" s="5" customFormat="1" ht="12.75">
      <c r="B24" s="323"/>
      <c r="C24" s="311">
        <v>1958</v>
      </c>
      <c r="D24" s="309"/>
      <c r="E24" s="309"/>
      <c r="F24" s="309"/>
      <c r="G24" s="337"/>
      <c r="I24" s="323"/>
      <c r="J24" s="311">
        <v>1958</v>
      </c>
      <c r="K24" s="309"/>
      <c r="L24" s="309"/>
      <c r="M24" s="309"/>
      <c r="N24" s="337"/>
      <c r="O24" s="13"/>
      <c r="P24" s="323"/>
      <c r="Q24" s="311">
        <v>1958</v>
      </c>
      <c r="R24" s="309"/>
      <c r="S24" s="309"/>
      <c r="T24" s="309" t="str">
        <f t="shared" si="7"/>
        <v xml:space="preserve"> </v>
      </c>
      <c r="U24" s="377">
        <f t="shared" si="1"/>
        <v>8594.770219458665</v>
      </c>
      <c r="V24" s="309"/>
      <c r="W24" s="309"/>
      <c r="X24" s="337"/>
      <c r="Z24" s="335"/>
      <c r="AA24" s="311">
        <v>1958</v>
      </c>
      <c r="AB24" s="336"/>
      <c r="AC24" s="336"/>
      <c r="AD24" s="336"/>
      <c r="AE24" s="310"/>
      <c r="AG24" s="335"/>
      <c r="AH24" s="311">
        <v>1958</v>
      </c>
      <c r="AI24" s="309"/>
      <c r="AJ24" s="309"/>
      <c r="AK24" s="309"/>
      <c r="AL24" s="337"/>
      <c r="AM24" s="13"/>
      <c r="AN24" s="323"/>
      <c r="AO24" s="311">
        <v>1958</v>
      </c>
      <c r="AP24" s="309"/>
      <c r="AQ24" s="309"/>
      <c r="AR24" s="309" t="str">
        <f t="shared" si="8"/>
        <v xml:space="preserve"> </v>
      </c>
      <c r="AS24" s="377">
        <f t="shared" si="2"/>
        <v>186.14938201357143</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9"/>
        <v xml:space="preserve"> </v>
      </c>
      <c r="BQ24" s="377">
        <f t="shared" si="3"/>
        <v>8780.919601472237</v>
      </c>
      <c r="BR24" s="309"/>
      <c r="BS24" s="309"/>
      <c r="BT24" s="310"/>
      <c r="BV24" s="323"/>
      <c r="BW24" s="311">
        <v>1958</v>
      </c>
      <c r="BX24" s="359">
        <f t="shared" si="4"/>
        <v>8780.919601472237</v>
      </c>
      <c r="BY24" s="359">
        <f t="shared" si="5"/>
        <v>0</v>
      </c>
      <c r="BZ24" s="360">
        <f t="shared" si="6"/>
        <v>0</v>
      </c>
      <c r="CA24" s="310"/>
    </row>
    <row r="25" spans="2:79" s="5" customFormat="1" ht="12.75">
      <c r="B25" s="323"/>
      <c r="C25" s="311">
        <v>1959</v>
      </c>
      <c r="D25" s="309"/>
      <c r="E25" s="309"/>
      <c r="F25" s="309"/>
      <c r="G25" s="337"/>
      <c r="I25" s="323"/>
      <c r="J25" s="311">
        <v>1959</v>
      </c>
      <c r="K25" s="309"/>
      <c r="L25" s="309"/>
      <c r="M25" s="309"/>
      <c r="N25" s="337"/>
      <c r="O25" s="13"/>
      <c r="P25" s="323"/>
      <c r="Q25" s="311">
        <v>1959</v>
      </c>
      <c r="R25" s="309"/>
      <c r="S25" s="309"/>
      <c r="T25" s="309" t="str">
        <f t="shared" si="7"/>
        <v xml:space="preserve"> </v>
      </c>
      <c r="U25" s="377">
        <f t="shared" si="1"/>
        <v>8594.770219458665</v>
      </c>
      <c r="V25" s="309"/>
      <c r="W25" s="309"/>
      <c r="X25" s="337"/>
      <c r="Z25" s="335"/>
      <c r="AA25" s="311">
        <v>1959</v>
      </c>
      <c r="AB25" s="336"/>
      <c r="AC25" s="336"/>
      <c r="AD25" s="336"/>
      <c r="AE25" s="310"/>
      <c r="AG25" s="335"/>
      <c r="AH25" s="311">
        <v>1959</v>
      </c>
      <c r="AI25" s="309"/>
      <c r="AJ25" s="309"/>
      <c r="AK25" s="309"/>
      <c r="AL25" s="337"/>
      <c r="AM25" s="13"/>
      <c r="AN25" s="323"/>
      <c r="AO25" s="311">
        <v>1959</v>
      </c>
      <c r="AP25" s="309"/>
      <c r="AQ25" s="309"/>
      <c r="AR25" s="309" t="str">
        <f t="shared" si="8"/>
        <v xml:space="preserve"> </v>
      </c>
      <c r="AS25" s="377">
        <f t="shared" si="2"/>
        <v>186.14938201357143</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9"/>
        <v xml:space="preserve"> </v>
      </c>
      <c r="BQ25" s="377">
        <f t="shared" si="3"/>
        <v>8780.919601472237</v>
      </c>
      <c r="BR25" s="309"/>
      <c r="BS25" s="309"/>
      <c r="BT25" s="310"/>
      <c r="BV25" s="323"/>
      <c r="BW25" s="311">
        <v>1959</v>
      </c>
      <c r="BX25" s="359">
        <f t="shared" si="4"/>
        <v>8780.919601472237</v>
      </c>
      <c r="BY25" s="359">
        <f t="shared" si="5"/>
        <v>0</v>
      </c>
      <c r="BZ25" s="360">
        <f t="shared" si="6"/>
        <v>0</v>
      </c>
      <c r="CA25" s="310"/>
    </row>
    <row r="26" spans="2:79" s="5" customFormat="1" ht="12.75">
      <c r="B26" s="323"/>
      <c r="C26" s="311">
        <v>1960</v>
      </c>
      <c r="D26" s="309"/>
      <c r="E26" s="309"/>
      <c r="F26" s="309"/>
      <c r="G26" s="337"/>
      <c r="I26" s="323"/>
      <c r="J26" s="311">
        <v>1960</v>
      </c>
      <c r="K26" s="309"/>
      <c r="L26" s="309"/>
      <c r="M26" s="309"/>
      <c r="N26" s="337"/>
      <c r="O26" s="13"/>
      <c r="P26" s="323"/>
      <c r="Q26" s="311">
        <v>1960</v>
      </c>
      <c r="R26" s="309"/>
      <c r="S26" s="309"/>
      <c r="T26" s="309" t="str">
        <f t="shared" si="7"/>
        <v xml:space="preserve"> </v>
      </c>
      <c r="U26" s="377">
        <f t="shared" si="1"/>
        <v>8594.770219458665</v>
      </c>
      <c r="V26" s="309"/>
      <c r="W26" s="309"/>
      <c r="X26" s="337"/>
      <c r="Z26" s="335"/>
      <c r="AA26" s="311">
        <v>1960</v>
      </c>
      <c r="AB26" s="336"/>
      <c r="AC26" s="336"/>
      <c r="AD26" s="336"/>
      <c r="AE26" s="310"/>
      <c r="AG26" s="335"/>
      <c r="AH26" s="311">
        <v>1960</v>
      </c>
      <c r="AI26" s="309"/>
      <c r="AJ26" s="309"/>
      <c r="AK26" s="309"/>
      <c r="AL26" s="337"/>
      <c r="AM26" s="13"/>
      <c r="AN26" s="323"/>
      <c r="AO26" s="311">
        <v>1960</v>
      </c>
      <c r="AP26" s="309"/>
      <c r="AQ26" s="309"/>
      <c r="AR26" s="309" t="str">
        <f t="shared" si="8"/>
        <v xml:space="preserve"> </v>
      </c>
      <c r="AS26" s="377">
        <f t="shared" si="2"/>
        <v>186.14938201357143</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9"/>
        <v xml:space="preserve"> </v>
      </c>
      <c r="BQ26" s="377">
        <f t="shared" si="3"/>
        <v>8780.919601472237</v>
      </c>
      <c r="BR26" s="309"/>
      <c r="BS26" s="309"/>
      <c r="BT26" s="310"/>
      <c r="BV26" s="323"/>
      <c r="BW26" s="311">
        <v>1960</v>
      </c>
      <c r="BX26" s="359">
        <f t="shared" si="4"/>
        <v>8780.919601472237</v>
      </c>
      <c r="BY26" s="359">
        <f t="shared" si="5"/>
        <v>0</v>
      </c>
      <c r="BZ26" s="360">
        <f t="shared" si="6"/>
        <v>0</v>
      </c>
      <c r="CA26" s="310"/>
    </row>
    <row r="27" spans="2:79" s="5" customFormat="1" ht="12.75">
      <c r="B27" s="323"/>
      <c r="C27" s="311">
        <v>1961</v>
      </c>
      <c r="D27" s="309"/>
      <c r="E27" s="309"/>
      <c r="F27" s="309"/>
      <c r="G27" s="337"/>
      <c r="I27" s="323"/>
      <c r="J27" s="311">
        <v>1961</v>
      </c>
      <c r="K27" s="309"/>
      <c r="L27" s="309"/>
      <c r="M27" s="309"/>
      <c r="N27" s="337"/>
      <c r="O27" s="13"/>
      <c r="P27" s="323"/>
      <c r="Q27" s="311">
        <v>1961</v>
      </c>
      <c r="R27" s="309"/>
      <c r="S27" s="309"/>
      <c r="T27" s="309" t="str">
        <f t="shared" si="7"/>
        <v xml:space="preserve"> </v>
      </c>
      <c r="U27" s="377">
        <f t="shared" si="1"/>
        <v>8594.770219458665</v>
      </c>
      <c r="V27" s="309"/>
      <c r="W27" s="309"/>
      <c r="X27" s="337"/>
      <c r="Z27" s="335"/>
      <c r="AA27" s="311">
        <v>1961</v>
      </c>
      <c r="AB27" s="336"/>
      <c r="AC27" s="336"/>
      <c r="AD27" s="336"/>
      <c r="AE27" s="310"/>
      <c r="AG27" s="335"/>
      <c r="AH27" s="311">
        <v>1961</v>
      </c>
      <c r="AI27" s="309"/>
      <c r="AJ27" s="309"/>
      <c r="AK27" s="309"/>
      <c r="AL27" s="337"/>
      <c r="AM27" s="13"/>
      <c r="AN27" s="323"/>
      <c r="AO27" s="311">
        <v>1961</v>
      </c>
      <c r="AP27" s="309"/>
      <c r="AQ27" s="309"/>
      <c r="AR27" s="309" t="str">
        <f t="shared" si="8"/>
        <v xml:space="preserve"> </v>
      </c>
      <c r="AS27" s="377">
        <f t="shared" si="2"/>
        <v>186.14938201357143</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9"/>
        <v xml:space="preserve"> </v>
      </c>
      <c r="BQ27" s="377">
        <f t="shared" si="3"/>
        <v>8780.919601472237</v>
      </c>
      <c r="BR27" s="309"/>
      <c r="BS27" s="309"/>
      <c r="BT27" s="310"/>
      <c r="BV27" s="323"/>
      <c r="BW27" s="311">
        <v>1961</v>
      </c>
      <c r="BX27" s="359">
        <f t="shared" si="4"/>
        <v>8780.919601472237</v>
      </c>
      <c r="BY27" s="359">
        <f t="shared" si="5"/>
        <v>0</v>
      </c>
      <c r="BZ27" s="360">
        <f t="shared" si="6"/>
        <v>0</v>
      </c>
      <c r="CA27" s="310"/>
    </row>
    <row r="28" spans="2:79" s="5" customFormat="1" ht="12.75">
      <c r="B28" s="323"/>
      <c r="C28" s="311">
        <v>1962</v>
      </c>
      <c r="D28" s="309"/>
      <c r="E28" s="309"/>
      <c r="F28" s="309"/>
      <c r="G28" s="337"/>
      <c r="I28" s="323"/>
      <c r="J28" s="311">
        <v>1962</v>
      </c>
      <c r="K28" s="309"/>
      <c r="L28" s="309"/>
      <c r="M28" s="309"/>
      <c r="N28" s="337"/>
      <c r="O28" s="13"/>
      <c r="P28" s="323"/>
      <c r="Q28" s="311">
        <v>1962</v>
      </c>
      <c r="R28" s="309"/>
      <c r="S28" s="309"/>
      <c r="T28" s="309" t="str">
        <f t="shared" si="7"/>
        <v xml:space="preserve"> </v>
      </c>
      <c r="U28" s="377">
        <f t="shared" si="1"/>
        <v>8594.770219458665</v>
      </c>
      <c r="V28" s="309"/>
      <c r="W28" s="309"/>
      <c r="X28" s="337"/>
      <c r="Z28" s="335"/>
      <c r="AA28" s="311">
        <v>1962</v>
      </c>
      <c r="AB28" s="336"/>
      <c r="AC28" s="336"/>
      <c r="AD28" s="336"/>
      <c r="AE28" s="310"/>
      <c r="AG28" s="335"/>
      <c r="AH28" s="311">
        <v>1962</v>
      </c>
      <c r="AI28" s="309"/>
      <c r="AJ28" s="309"/>
      <c r="AK28" s="309"/>
      <c r="AL28" s="337"/>
      <c r="AM28" s="13"/>
      <c r="AN28" s="323"/>
      <c r="AO28" s="311">
        <v>1962</v>
      </c>
      <c r="AP28" s="309"/>
      <c r="AQ28" s="309"/>
      <c r="AR28" s="309" t="str">
        <f t="shared" si="8"/>
        <v xml:space="preserve"> </v>
      </c>
      <c r="AS28" s="377">
        <f t="shared" si="2"/>
        <v>186.14938201357143</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9"/>
        <v xml:space="preserve"> </v>
      </c>
      <c r="BQ28" s="377">
        <f t="shared" si="3"/>
        <v>8780.919601472237</v>
      </c>
      <c r="BR28" s="309"/>
      <c r="BS28" s="309"/>
      <c r="BT28" s="310"/>
      <c r="BV28" s="323"/>
      <c r="BW28" s="311">
        <v>1962</v>
      </c>
      <c r="BX28" s="359">
        <f t="shared" si="4"/>
        <v>8780.919601472237</v>
      </c>
      <c r="BY28" s="359">
        <f t="shared" si="5"/>
        <v>0</v>
      </c>
      <c r="BZ28" s="360">
        <f t="shared" si="6"/>
        <v>0</v>
      </c>
      <c r="CA28" s="310"/>
    </row>
    <row r="29" spans="2:79" s="5" customFormat="1" ht="12.75">
      <c r="B29" s="323"/>
      <c r="C29" s="311">
        <v>1963</v>
      </c>
      <c r="D29" s="309"/>
      <c r="E29" s="309"/>
      <c r="F29" s="309"/>
      <c r="G29" s="337"/>
      <c r="I29" s="323"/>
      <c r="J29" s="311">
        <v>1963</v>
      </c>
      <c r="K29" s="309"/>
      <c r="L29" s="309"/>
      <c r="M29" s="309"/>
      <c r="N29" s="337"/>
      <c r="O29" s="13"/>
      <c r="P29" s="323"/>
      <c r="Q29" s="311">
        <v>1963</v>
      </c>
      <c r="R29" s="309"/>
      <c r="S29" s="309"/>
      <c r="T29" s="309" t="str">
        <f t="shared" si="7"/>
        <v xml:space="preserve"> </v>
      </c>
      <c r="U29" s="377">
        <f t="shared" si="1"/>
        <v>8594.770219458665</v>
      </c>
      <c r="V29" s="309"/>
      <c r="W29" s="309"/>
      <c r="X29" s="337"/>
      <c r="Z29" s="335"/>
      <c r="AA29" s="311">
        <v>1963</v>
      </c>
      <c r="AB29" s="336"/>
      <c r="AC29" s="336"/>
      <c r="AD29" s="336"/>
      <c r="AE29" s="310"/>
      <c r="AG29" s="335"/>
      <c r="AH29" s="311">
        <v>1963</v>
      </c>
      <c r="AI29" s="309"/>
      <c r="AJ29" s="309"/>
      <c r="AK29" s="309"/>
      <c r="AL29" s="337"/>
      <c r="AM29" s="13"/>
      <c r="AN29" s="323"/>
      <c r="AO29" s="311">
        <v>1963</v>
      </c>
      <c r="AP29" s="309"/>
      <c r="AQ29" s="309"/>
      <c r="AR29" s="309" t="str">
        <f t="shared" si="8"/>
        <v xml:space="preserve"> </v>
      </c>
      <c r="AS29" s="377">
        <f t="shared" si="2"/>
        <v>186.14938201357143</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9"/>
        <v xml:space="preserve"> </v>
      </c>
      <c r="BQ29" s="377">
        <f t="shared" si="3"/>
        <v>8780.919601472237</v>
      </c>
      <c r="BR29" s="309"/>
      <c r="BS29" s="309"/>
      <c r="BT29" s="310"/>
      <c r="BV29" s="323"/>
      <c r="BW29" s="311">
        <v>1963</v>
      </c>
      <c r="BX29" s="359">
        <f aca="true" t="shared" si="10" ref="BX29:BX81">BQ29</f>
        <v>8780.919601472237</v>
      </c>
      <c r="BY29" s="359">
        <f t="shared" si="0"/>
        <v>0</v>
      </c>
      <c r="BZ29" s="360">
        <f aca="true" t="shared" si="11" ref="BZ29:BZ81">IF(ISNUMBER(BY29/BX29),BY29/BX29,0)</f>
        <v>0</v>
      </c>
      <c r="CA29" s="310"/>
    </row>
    <row r="30" spans="2:79" s="5" customFormat="1" ht="12.75">
      <c r="B30" s="323"/>
      <c r="C30" s="311">
        <v>1964</v>
      </c>
      <c r="D30" s="309"/>
      <c r="E30" s="309"/>
      <c r="F30" s="309"/>
      <c r="G30" s="337"/>
      <c r="I30" s="323"/>
      <c r="J30" s="311">
        <v>1964</v>
      </c>
      <c r="K30" s="309"/>
      <c r="L30" s="309"/>
      <c r="M30" s="309"/>
      <c r="N30" s="337"/>
      <c r="O30" s="13"/>
      <c r="P30" s="323"/>
      <c r="Q30" s="311">
        <v>1964</v>
      </c>
      <c r="R30" s="309"/>
      <c r="S30" s="309"/>
      <c r="T30" s="309" t="str">
        <f t="shared" si="7"/>
        <v xml:space="preserve"> </v>
      </c>
      <c r="U30" s="377">
        <f t="shared" si="1"/>
        <v>8594.770219458665</v>
      </c>
      <c r="V30" s="309"/>
      <c r="W30" s="309"/>
      <c r="X30" s="337"/>
      <c r="Z30" s="335"/>
      <c r="AA30" s="311">
        <v>1964</v>
      </c>
      <c r="AB30" s="336"/>
      <c r="AC30" s="336"/>
      <c r="AD30" s="336"/>
      <c r="AE30" s="310"/>
      <c r="AG30" s="335"/>
      <c r="AH30" s="311">
        <v>1964</v>
      </c>
      <c r="AI30" s="309"/>
      <c r="AJ30" s="309"/>
      <c r="AK30" s="309"/>
      <c r="AL30" s="337"/>
      <c r="AM30" s="13"/>
      <c r="AN30" s="323"/>
      <c r="AO30" s="311">
        <v>1964</v>
      </c>
      <c r="AP30" s="309"/>
      <c r="AQ30" s="309"/>
      <c r="AR30" s="309" t="str">
        <f t="shared" si="8"/>
        <v xml:space="preserve"> </v>
      </c>
      <c r="AS30" s="377">
        <f t="shared" si="2"/>
        <v>186.14938201357143</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9"/>
        <v xml:space="preserve"> </v>
      </c>
      <c r="BQ30" s="377">
        <f t="shared" si="3"/>
        <v>8780.919601472237</v>
      </c>
      <c r="BR30" s="309"/>
      <c r="BS30" s="309"/>
      <c r="BT30" s="310"/>
      <c r="BV30" s="323"/>
      <c r="BW30" s="311">
        <v>1964</v>
      </c>
      <c r="BX30" s="359">
        <f t="shared" si="10"/>
        <v>8780.919601472237</v>
      </c>
      <c r="BY30" s="359">
        <f t="shared" si="0"/>
        <v>0</v>
      </c>
      <c r="BZ30" s="360">
        <f t="shared" si="11"/>
        <v>0</v>
      </c>
      <c r="CA30" s="310"/>
    </row>
    <row r="31" spans="2:79" s="5" customFormat="1" ht="12.75">
      <c r="B31" s="323"/>
      <c r="C31" s="311">
        <v>1965</v>
      </c>
      <c r="D31" s="309"/>
      <c r="E31" s="309"/>
      <c r="F31" s="309"/>
      <c r="G31" s="337"/>
      <c r="I31" s="323"/>
      <c r="J31" s="311">
        <v>1965</v>
      </c>
      <c r="K31" s="309"/>
      <c r="L31" s="327"/>
      <c r="M31" s="327"/>
      <c r="N31" s="338"/>
      <c r="O31" s="14"/>
      <c r="P31" s="324"/>
      <c r="Q31" s="311">
        <v>1965</v>
      </c>
      <c r="R31" s="327"/>
      <c r="S31" s="327"/>
      <c r="T31" s="309" t="str">
        <f t="shared" si="7"/>
        <v xml:space="preserve"> </v>
      </c>
      <c r="U31" s="377">
        <f t="shared" si="1"/>
        <v>8594.770219458665</v>
      </c>
      <c r="V31" s="309"/>
      <c r="W31" s="309"/>
      <c r="X31" s="337"/>
      <c r="Z31" s="335"/>
      <c r="AA31" s="311">
        <v>1965</v>
      </c>
      <c r="AB31" s="336"/>
      <c r="AC31" s="336"/>
      <c r="AD31" s="336"/>
      <c r="AE31" s="310"/>
      <c r="AG31" s="335"/>
      <c r="AH31" s="311">
        <v>1965</v>
      </c>
      <c r="AI31" s="309"/>
      <c r="AJ31" s="327"/>
      <c r="AK31" s="327"/>
      <c r="AL31" s="338"/>
      <c r="AM31" s="14"/>
      <c r="AN31" s="324"/>
      <c r="AO31" s="311">
        <v>1965</v>
      </c>
      <c r="AP31" s="327"/>
      <c r="AQ31" s="327"/>
      <c r="AR31" s="309" t="str">
        <f t="shared" si="8"/>
        <v xml:space="preserve"> </v>
      </c>
      <c r="AS31" s="377">
        <f t="shared" si="2"/>
        <v>186.14938201357143</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9"/>
        <v xml:space="preserve"> </v>
      </c>
      <c r="BQ31" s="377">
        <f t="shared" si="3"/>
        <v>8780.919601472237</v>
      </c>
      <c r="BR31" s="309"/>
      <c r="BS31" s="309"/>
      <c r="BT31" s="310"/>
      <c r="BV31" s="324"/>
      <c r="BW31" s="311">
        <v>1965</v>
      </c>
      <c r="BX31" s="359">
        <f t="shared" si="10"/>
        <v>8780.919601472237</v>
      </c>
      <c r="BY31" s="359">
        <f t="shared" si="0"/>
        <v>0</v>
      </c>
      <c r="BZ31" s="360">
        <f t="shared" si="11"/>
        <v>0</v>
      </c>
      <c r="CA31" s="310"/>
    </row>
    <row r="32" spans="2:79" s="5" customFormat="1" ht="12.75">
      <c r="B32" s="323"/>
      <c r="C32" s="311">
        <v>1966</v>
      </c>
      <c r="D32" s="309"/>
      <c r="E32" s="309"/>
      <c r="F32" s="309"/>
      <c r="G32" s="337"/>
      <c r="I32" s="323"/>
      <c r="J32" s="311">
        <v>1966</v>
      </c>
      <c r="K32" s="309"/>
      <c r="L32" s="327"/>
      <c r="M32" s="327"/>
      <c r="N32" s="338"/>
      <c r="O32" s="14"/>
      <c r="P32" s="324"/>
      <c r="Q32" s="311">
        <v>1966</v>
      </c>
      <c r="R32" s="327"/>
      <c r="S32" s="327"/>
      <c r="T32" s="309" t="str">
        <f t="shared" si="7"/>
        <v xml:space="preserve"> </v>
      </c>
      <c r="U32" s="377">
        <f t="shared" si="1"/>
        <v>8594.770219458665</v>
      </c>
      <c r="V32" s="309"/>
      <c r="W32" s="309"/>
      <c r="X32" s="337"/>
      <c r="Z32" s="335"/>
      <c r="AA32" s="311">
        <v>1966</v>
      </c>
      <c r="AB32" s="336"/>
      <c r="AC32" s="336"/>
      <c r="AD32" s="336"/>
      <c r="AE32" s="310"/>
      <c r="AG32" s="335"/>
      <c r="AH32" s="311">
        <v>1966</v>
      </c>
      <c r="AI32" s="309"/>
      <c r="AJ32" s="327"/>
      <c r="AK32" s="327"/>
      <c r="AL32" s="338"/>
      <c r="AM32" s="14"/>
      <c r="AN32" s="324"/>
      <c r="AO32" s="311">
        <v>1966</v>
      </c>
      <c r="AP32" s="328"/>
      <c r="AQ32" s="328"/>
      <c r="AR32" s="309" t="str">
        <f t="shared" si="8"/>
        <v xml:space="preserve"> </v>
      </c>
      <c r="AS32" s="377">
        <f t="shared" si="2"/>
        <v>186.14938201357143</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9"/>
        <v xml:space="preserve"> </v>
      </c>
      <c r="BQ32" s="377">
        <f t="shared" si="3"/>
        <v>8780.919601472237</v>
      </c>
      <c r="BR32" s="309"/>
      <c r="BS32" s="309"/>
      <c r="BT32" s="310"/>
      <c r="BV32" s="324"/>
      <c r="BW32" s="311">
        <v>1966</v>
      </c>
      <c r="BX32" s="359">
        <f t="shared" si="10"/>
        <v>8780.919601472237</v>
      </c>
      <c r="BY32" s="359">
        <f t="shared" si="0"/>
        <v>0</v>
      </c>
      <c r="BZ32" s="360">
        <f t="shared" si="11"/>
        <v>0</v>
      </c>
      <c r="CA32" s="310"/>
    </row>
    <row r="33" spans="2:79" s="5" customFormat="1" ht="12.75">
      <c r="B33" s="323"/>
      <c r="C33" s="311">
        <v>1967</v>
      </c>
      <c r="D33" s="309"/>
      <c r="E33" s="309"/>
      <c r="F33" s="309"/>
      <c r="G33" s="337"/>
      <c r="I33" s="323"/>
      <c r="J33" s="311">
        <v>1967</v>
      </c>
      <c r="K33" s="309"/>
      <c r="L33" s="327"/>
      <c r="M33" s="327"/>
      <c r="N33" s="338"/>
      <c r="O33" s="14"/>
      <c r="P33" s="324"/>
      <c r="Q33" s="311">
        <v>1967</v>
      </c>
      <c r="R33" s="327"/>
      <c r="S33" s="327"/>
      <c r="T33" s="309" t="str">
        <f t="shared" si="7"/>
        <v xml:space="preserve"> </v>
      </c>
      <c r="U33" s="377">
        <f t="shared" si="1"/>
        <v>8594.770219458665</v>
      </c>
      <c r="V33" s="309"/>
      <c r="W33" s="309"/>
      <c r="X33" s="337"/>
      <c r="Z33" s="335"/>
      <c r="AA33" s="311">
        <v>1967</v>
      </c>
      <c r="AB33" s="336"/>
      <c r="AC33" s="336"/>
      <c r="AD33" s="336"/>
      <c r="AE33" s="310"/>
      <c r="AG33" s="335"/>
      <c r="AH33" s="311">
        <v>1967</v>
      </c>
      <c r="AI33" s="309"/>
      <c r="AJ33" s="327"/>
      <c r="AK33" s="327"/>
      <c r="AL33" s="338"/>
      <c r="AM33" s="14"/>
      <c r="AN33" s="324"/>
      <c r="AO33" s="311">
        <v>1967</v>
      </c>
      <c r="AP33" s="328"/>
      <c r="AQ33" s="328"/>
      <c r="AR33" s="309" t="str">
        <f t="shared" si="8"/>
        <v xml:space="preserve"> </v>
      </c>
      <c r="AS33" s="377">
        <f t="shared" si="2"/>
        <v>186.14938201357143</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9"/>
        <v xml:space="preserve"> </v>
      </c>
      <c r="BQ33" s="377">
        <f t="shared" si="3"/>
        <v>8780.919601472237</v>
      </c>
      <c r="BR33" s="309"/>
      <c r="BS33" s="309"/>
      <c r="BT33" s="310"/>
      <c r="BV33" s="324"/>
      <c r="BW33" s="311">
        <v>1967</v>
      </c>
      <c r="BX33" s="359">
        <f t="shared" si="10"/>
        <v>8780.919601472237</v>
      </c>
      <c r="BY33" s="359">
        <f t="shared" si="0"/>
        <v>0</v>
      </c>
      <c r="BZ33" s="360">
        <f t="shared" si="11"/>
        <v>0</v>
      </c>
      <c r="CA33" s="310"/>
    </row>
    <row r="34" spans="2:79" s="5" customFormat="1" ht="12.75">
      <c r="B34" s="323"/>
      <c r="C34" s="311">
        <v>1968</v>
      </c>
      <c r="D34" s="309"/>
      <c r="E34" s="309"/>
      <c r="F34" s="309"/>
      <c r="G34" s="337"/>
      <c r="I34" s="323"/>
      <c r="J34" s="311">
        <v>1968</v>
      </c>
      <c r="K34" s="309"/>
      <c r="L34" s="327"/>
      <c r="M34" s="327"/>
      <c r="N34" s="338"/>
      <c r="O34" s="14"/>
      <c r="P34" s="324"/>
      <c r="Q34" s="311">
        <v>1968</v>
      </c>
      <c r="R34" s="327"/>
      <c r="S34" s="327"/>
      <c r="T34" s="309" t="str">
        <f t="shared" si="7"/>
        <v xml:space="preserve"> </v>
      </c>
      <c r="U34" s="377">
        <f t="shared" si="1"/>
        <v>8594.770219458665</v>
      </c>
      <c r="V34" s="309"/>
      <c r="W34" s="309"/>
      <c r="X34" s="337"/>
      <c r="Z34" s="335"/>
      <c r="AA34" s="311">
        <v>1968</v>
      </c>
      <c r="AB34" s="336"/>
      <c r="AC34" s="336"/>
      <c r="AD34" s="336"/>
      <c r="AE34" s="310"/>
      <c r="AG34" s="335"/>
      <c r="AH34" s="311">
        <v>1968</v>
      </c>
      <c r="AI34" s="309"/>
      <c r="AJ34" s="327"/>
      <c r="AK34" s="327"/>
      <c r="AL34" s="338"/>
      <c r="AM34" s="14"/>
      <c r="AN34" s="324"/>
      <c r="AO34" s="311">
        <v>1968</v>
      </c>
      <c r="AP34" s="328"/>
      <c r="AQ34" s="328"/>
      <c r="AR34" s="309" t="str">
        <f t="shared" si="8"/>
        <v xml:space="preserve"> </v>
      </c>
      <c r="AS34" s="377">
        <f t="shared" si="2"/>
        <v>186.14938201357143</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9"/>
        <v xml:space="preserve"> </v>
      </c>
      <c r="BQ34" s="377">
        <f t="shared" si="3"/>
        <v>8780.919601472237</v>
      </c>
      <c r="BR34" s="309"/>
      <c r="BS34" s="309"/>
      <c r="BT34" s="310"/>
      <c r="BV34" s="324"/>
      <c r="BW34" s="311">
        <v>1968</v>
      </c>
      <c r="BX34" s="359">
        <f t="shared" si="10"/>
        <v>8780.919601472237</v>
      </c>
      <c r="BY34" s="359">
        <f t="shared" si="0"/>
        <v>0</v>
      </c>
      <c r="BZ34" s="360">
        <f t="shared" si="11"/>
        <v>0</v>
      </c>
      <c r="CA34" s="310"/>
    </row>
    <row r="35" spans="2:79" s="5" customFormat="1" ht="12.75">
      <c r="B35" s="323"/>
      <c r="C35" s="311">
        <v>1969</v>
      </c>
      <c r="D35" s="309"/>
      <c r="E35" s="309"/>
      <c r="F35" s="309"/>
      <c r="G35" s="337"/>
      <c r="I35" s="323"/>
      <c r="J35" s="311">
        <v>1969</v>
      </c>
      <c r="K35" s="309"/>
      <c r="L35" s="327"/>
      <c r="M35" s="327"/>
      <c r="N35" s="338"/>
      <c r="O35" s="14"/>
      <c r="P35" s="324"/>
      <c r="Q35" s="311">
        <v>1969</v>
      </c>
      <c r="R35" s="327"/>
      <c r="S35" s="327"/>
      <c r="T35" s="309" t="str">
        <f t="shared" si="7"/>
        <v xml:space="preserve"> </v>
      </c>
      <c r="U35" s="377">
        <f t="shared" si="1"/>
        <v>8594.770219458665</v>
      </c>
      <c r="V35" s="309"/>
      <c r="W35" s="309"/>
      <c r="X35" s="337"/>
      <c r="Z35" s="335"/>
      <c r="AA35" s="311">
        <v>1969</v>
      </c>
      <c r="AB35" s="336"/>
      <c r="AC35" s="336"/>
      <c r="AD35" s="336"/>
      <c r="AE35" s="310"/>
      <c r="AG35" s="335"/>
      <c r="AH35" s="311">
        <v>1969</v>
      </c>
      <c r="AI35" s="309"/>
      <c r="AJ35" s="327"/>
      <c r="AK35" s="327"/>
      <c r="AL35" s="338"/>
      <c r="AM35" s="14"/>
      <c r="AN35" s="324"/>
      <c r="AO35" s="311">
        <v>1969</v>
      </c>
      <c r="AP35" s="328"/>
      <c r="AQ35" s="328"/>
      <c r="AR35" s="309" t="str">
        <f t="shared" si="8"/>
        <v xml:space="preserve"> </v>
      </c>
      <c r="AS35" s="377">
        <f t="shared" si="2"/>
        <v>186.14938201357143</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9"/>
        <v xml:space="preserve"> </v>
      </c>
      <c r="BQ35" s="377">
        <f t="shared" si="3"/>
        <v>8780.919601472237</v>
      </c>
      <c r="BR35" s="309"/>
      <c r="BS35" s="309"/>
      <c r="BT35" s="310"/>
      <c r="BV35" s="324"/>
      <c r="BW35" s="311">
        <v>1969</v>
      </c>
      <c r="BX35" s="359">
        <f t="shared" si="10"/>
        <v>8780.919601472237</v>
      </c>
      <c r="BY35" s="359">
        <f t="shared" si="0"/>
        <v>0</v>
      </c>
      <c r="BZ35" s="360">
        <f t="shared" si="11"/>
        <v>0</v>
      </c>
      <c r="CA35" s="310"/>
    </row>
    <row r="36" spans="2:79" s="5" customFormat="1" ht="12.75">
      <c r="B36" s="323"/>
      <c r="C36" s="311">
        <v>1970</v>
      </c>
      <c r="D36" s="309"/>
      <c r="E36" s="309"/>
      <c r="F36" s="309"/>
      <c r="G36" s="337"/>
      <c r="I36" s="323"/>
      <c r="J36" s="311">
        <v>1970</v>
      </c>
      <c r="K36" s="309"/>
      <c r="L36" s="327"/>
      <c r="M36" s="327"/>
      <c r="N36" s="338"/>
      <c r="O36" s="14"/>
      <c r="P36" s="324"/>
      <c r="Q36" s="311">
        <v>1970</v>
      </c>
      <c r="R36" s="327"/>
      <c r="S36" s="327"/>
      <c r="T36" s="309" t="str">
        <f t="shared" si="7"/>
        <v xml:space="preserve"> </v>
      </c>
      <c r="U36" s="377">
        <f t="shared" si="1"/>
        <v>8594.770219458665</v>
      </c>
      <c r="V36" s="309"/>
      <c r="W36" s="309"/>
      <c r="X36" s="337"/>
      <c r="Z36" s="335"/>
      <c r="AA36" s="311">
        <v>1970</v>
      </c>
      <c r="AB36" s="336"/>
      <c r="AC36" s="336"/>
      <c r="AD36" s="336"/>
      <c r="AE36" s="310"/>
      <c r="AG36" s="335"/>
      <c r="AH36" s="311">
        <v>1970</v>
      </c>
      <c r="AI36" s="309"/>
      <c r="AJ36" s="327"/>
      <c r="AK36" s="327"/>
      <c r="AL36" s="338"/>
      <c r="AM36" s="14"/>
      <c r="AN36" s="324"/>
      <c r="AO36" s="311">
        <v>1970</v>
      </c>
      <c r="AP36" s="328"/>
      <c r="AQ36" s="328"/>
      <c r="AR36" s="309" t="str">
        <f t="shared" si="8"/>
        <v xml:space="preserve"> </v>
      </c>
      <c r="AS36" s="377">
        <f t="shared" si="2"/>
        <v>186.14938201357143</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9"/>
        <v xml:space="preserve"> </v>
      </c>
      <c r="BQ36" s="377">
        <f t="shared" si="3"/>
        <v>8780.919601472237</v>
      </c>
      <c r="BR36" s="309"/>
      <c r="BS36" s="309"/>
      <c r="BT36" s="310"/>
      <c r="BV36" s="324"/>
      <c r="BW36" s="311">
        <v>1970</v>
      </c>
      <c r="BX36" s="359">
        <f t="shared" si="10"/>
        <v>8780.919601472237</v>
      </c>
      <c r="BY36" s="359">
        <f t="shared" si="0"/>
        <v>0</v>
      </c>
      <c r="BZ36" s="360">
        <f t="shared" si="11"/>
        <v>0</v>
      </c>
      <c r="CA36" s="310"/>
    </row>
    <row r="37" spans="2:79" s="5" customFormat="1" ht="12.75">
      <c r="B37" s="323"/>
      <c r="C37" s="311">
        <v>1971</v>
      </c>
      <c r="D37" s="309"/>
      <c r="E37" s="309"/>
      <c r="F37" s="309"/>
      <c r="G37" s="337"/>
      <c r="I37" s="323"/>
      <c r="J37" s="311">
        <v>1971</v>
      </c>
      <c r="K37" s="309"/>
      <c r="L37" s="327"/>
      <c r="M37" s="327"/>
      <c r="N37" s="338"/>
      <c r="O37" s="14"/>
      <c r="P37" s="324"/>
      <c r="Q37" s="311">
        <v>1971</v>
      </c>
      <c r="R37" s="327"/>
      <c r="S37" s="327"/>
      <c r="T37" s="309" t="str">
        <f t="shared" si="7"/>
        <v xml:space="preserve"> </v>
      </c>
      <c r="U37" s="377">
        <f t="shared" si="1"/>
        <v>8594.770219458665</v>
      </c>
      <c r="V37" s="309"/>
      <c r="W37" s="309"/>
      <c r="X37" s="337"/>
      <c r="Z37" s="335"/>
      <c r="AA37" s="311">
        <v>1971</v>
      </c>
      <c r="AB37" s="336"/>
      <c r="AC37" s="336"/>
      <c r="AD37" s="336"/>
      <c r="AE37" s="310"/>
      <c r="AG37" s="335"/>
      <c r="AH37" s="311">
        <v>1971</v>
      </c>
      <c r="AI37" s="309"/>
      <c r="AJ37" s="327"/>
      <c r="AK37" s="327"/>
      <c r="AL37" s="338"/>
      <c r="AM37" s="14"/>
      <c r="AN37" s="324"/>
      <c r="AO37" s="311">
        <v>1971</v>
      </c>
      <c r="AP37" s="328"/>
      <c r="AQ37" s="328"/>
      <c r="AR37" s="309" t="str">
        <f t="shared" si="8"/>
        <v xml:space="preserve"> </v>
      </c>
      <c r="AS37" s="377">
        <f t="shared" si="2"/>
        <v>186.14938201357143</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9"/>
        <v xml:space="preserve"> </v>
      </c>
      <c r="BQ37" s="377">
        <f t="shared" si="3"/>
        <v>8780.919601472237</v>
      </c>
      <c r="BR37" s="309"/>
      <c r="BS37" s="309"/>
      <c r="BT37" s="310"/>
      <c r="BV37" s="324"/>
      <c r="BW37" s="311">
        <v>1971</v>
      </c>
      <c r="BX37" s="359">
        <f t="shared" si="10"/>
        <v>8780.919601472237</v>
      </c>
      <c r="BY37" s="359">
        <f t="shared" si="0"/>
        <v>0</v>
      </c>
      <c r="BZ37" s="360">
        <f t="shared" si="11"/>
        <v>0</v>
      </c>
      <c r="CA37" s="310"/>
    </row>
    <row r="38" spans="2:79" s="5" customFormat="1" ht="12.75">
      <c r="B38" s="323"/>
      <c r="C38" s="311">
        <v>1972</v>
      </c>
      <c r="D38" s="309"/>
      <c r="E38" s="309"/>
      <c r="F38" s="309"/>
      <c r="G38" s="337"/>
      <c r="I38" s="323"/>
      <c r="J38" s="311">
        <v>1972</v>
      </c>
      <c r="K38" s="309"/>
      <c r="L38" s="327"/>
      <c r="M38" s="327"/>
      <c r="N38" s="338"/>
      <c r="O38" s="14"/>
      <c r="P38" s="324"/>
      <c r="Q38" s="311">
        <v>1972</v>
      </c>
      <c r="R38" s="327"/>
      <c r="S38" s="327"/>
      <c r="T38" s="309" t="str">
        <f t="shared" si="7"/>
        <v xml:space="preserve"> </v>
      </c>
      <c r="U38" s="377">
        <f t="shared" si="1"/>
        <v>8594.770219458665</v>
      </c>
      <c r="V38" s="309"/>
      <c r="W38" s="309"/>
      <c r="X38" s="337"/>
      <c r="Z38" s="335"/>
      <c r="AA38" s="311">
        <v>1972</v>
      </c>
      <c r="AB38" s="336"/>
      <c r="AC38" s="336"/>
      <c r="AD38" s="336"/>
      <c r="AE38" s="310"/>
      <c r="AG38" s="335"/>
      <c r="AH38" s="311">
        <v>1972</v>
      </c>
      <c r="AI38" s="309"/>
      <c r="AJ38" s="327"/>
      <c r="AK38" s="327"/>
      <c r="AL38" s="338"/>
      <c r="AM38" s="14"/>
      <c r="AN38" s="324"/>
      <c r="AO38" s="311">
        <v>1972</v>
      </c>
      <c r="AP38" s="328"/>
      <c r="AQ38" s="328"/>
      <c r="AR38" s="309" t="str">
        <f t="shared" si="8"/>
        <v xml:space="preserve"> </v>
      </c>
      <c r="AS38" s="377">
        <f t="shared" si="2"/>
        <v>186.14938201357143</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9"/>
        <v xml:space="preserve"> </v>
      </c>
      <c r="BQ38" s="377">
        <f t="shared" si="3"/>
        <v>8780.919601472237</v>
      </c>
      <c r="BR38" s="309"/>
      <c r="BS38" s="309"/>
      <c r="BT38" s="310"/>
      <c r="BV38" s="324"/>
      <c r="BW38" s="311">
        <v>1972</v>
      </c>
      <c r="BX38" s="359">
        <f t="shared" si="10"/>
        <v>8780.919601472237</v>
      </c>
      <c r="BY38" s="359">
        <f t="shared" si="0"/>
        <v>0</v>
      </c>
      <c r="BZ38" s="360">
        <f t="shared" si="11"/>
        <v>0</v>
      </c>
      <c r="CA38" s="310"/>
    </row>
    <row r="39" spans="2:79" s="5" customFormat="1" ht="12.75">
      <c r="B39" s="323"/>
      <c r="C39" s="311">
        <v>1973</v>
      </c>
      <c r="D39" s="309"/>
      <c r="E39" s="309"/>
      <c r="F39" s="309"/>
      <c r="G39" s="337"/>
      <c r="I39" s="323"/>
      <c r="J39" s="311">
        <v>1973</v>
      </c>
      <c r="K39" s="309"/>
      <c r="L39" s="327"/>
      <c r="M39" s="327"/>
      <c r="N39" s="338"/>
      <c r="O39" s="14"/>
      <c r="P39" s="324"/>
      <c r="Q39" s="311">
        <v>1973</v>
      </c>
      <c r="R39" s="327"/>
      <c r="S39" s="327"/>
      <c r="T39" s="309" t="str">
        <f t="shared" si="7"/>
        <v xml:space="preserve"> </v>
      </c>
      <c r="U39" s="377">
        <f t="shared" si="1"/>
        <v>8594.770219458665</v>
      </c>
      <c r="V39" s="309"/>
      <c r="W39" s="309"/>
      <c r="X39" s="337"/>
      <c r="Z39" s="335"/>
      <c r="AA39" s="311">
        <v>1973</v>
      </c>
      <c r="AB39" s="336"/>
      <c r="AC39" s="336"/>
      <c r="AD39" s="336"/>
      <c r="AE39" s="310"/>
      <c r="AG39" s="335"/>
      <c r="AH39" s="311">
        <v>1973</v>
      </c>
      <c r="AI39" s="309"/>
      <c r="AJ39" s="327"/>
      <c r="AK39" s="327"/>
      <c r="AL39" s="338"/>
      <c r="AM39" s="14"/>
      <c r="AN39" s="324"/>
      <c r="AO39" s="311">
        <v>1973</v>
      </c>
      <c r="AP39" s="328"/>
      <c r="AQ39" s="328"/>
      <c r="AR39" s="309" t="str">
        <f t="shared" si="8"/>
        <v xml:space="preserve"> </v>
      </c>
      <c r="AS39" s="377">
        <f t="shared" si="2"/>
        <v>186.14938201357143</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9"/>
        <v xml:space="preserve"> </v>
      </c>
      <c r="BQ39" s="377">
        <f t="shared" si="3"/>
        <v>8780.919601472237</v>
      </c>
      <c r="BR39" s="309"/>
      <c r="BS39" s="309"/>
      <c r="BT39" s="310"/>
      <c r="BV39" s="324"/>
      <c r="BW39" s="311">
        <v>1973</v>
      </c>
      <c r="BX39" s="359">
        <f t="shared" si="10"/>
        <v>8780.919601472237</v>
      </c>
      <c r="BY39" s="359">
        <f t="shared" si="0"/>
        <v>0</v>
      </c>
      <c r="BZ39" s="360">
        <f t="shared" si="11"/>
        <v>0</v>
      </c>
      <c r="CA39" s="310"/>
    </row>
    <row r="40" spans="2:79" s="5" customFormat="1" ht="12.75">
      <c r="B40" s="323"/>
      <c r="C40" s="311">
        <v>1974</v>
      </c>
      <c r="D40" s="309"/>
      <c r="E40" s="309"/>
      <c r="F40" s="309"/>
      <c r="G40" s="337"/>
      <c r="I40" s="323"/>
      <c r="J40" s="311">
        <v>1974</v>
      </c>
      <c r="K40" s="309"/>
      <c r="L40" s="327"/>
      <c r="M40" s="327"/>
      <c r="N40" s="338"/>
      <c r="O40" s="14"/>
      <c r="P40" s="324"/>
      <c r="Q40" s="311">
        <v>1974</v>
      </c>
      <c r="R40" s="327"/>
      <c r="S40" s="327"/>
      <c r="T40" s="309" t="str">
        <f t="shared" si="7"/>
        <v xml:space="preserve"> </v>
      </c>
      <c r="U40" s="377">
        <f t="shared" si="1"/>
        <v>8594.770219458665</v>
      </c>
      <c r="V40" s="309"/>
      <c r="W40" s="309"/>
      <c r="X40" s="337"/>
      <c r="Z40" s="335"/>
      <c r="AA40" s="311">
        <v>1974</v>
      </c>
      <c r="AB40" s="336"/>
      <c r="AC40" s="336"/>
      <c r="AD40" s="336"/>
      <c r="AE40" s="310"/>
      <c r="AG40" s="335"/>
      <c r="AH40" s="311">
        <v>1974</v>
      </c>
      <c r="AI40" s="309"/>
      <c r="AJ40" s="327"/>
      <c r="AK40" s="327"/>
      <c r="AL40" s="338"/>
      <c r="AM40" s="14"/>
      <c r="AN40" s="324"/>
      <c r="AO40" s="311">
        <v>1974</v>
      </c>
      <c r="AP40" s="328"/>
      <c r="AQ40" s="328"/>
      <c r="AR40" s="309" t="str">
        <f t="shared" si="8"/>
        <v xml:space="preserve"> </v>
      </c>
      <c r="AS40" s="377">
        <f t="shared" si="2"/>
        <v>186.14938201357143</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9"/>
        <v xml:space="preserve"> </v>
      </c>
      <c r="BQ40" s="377">
        <f t="shared" si="3"/>
        <v>8780.919601472237</v>
      </c>
      <c r="BR40" s="309"/>
      <c r="BS40" s="309"/>
      <c r="BT40" s="310"/>
      <c r="BV40" s="324"/>
      <c r="BW40" s="311">
        <v>1974</v>
      </c>
      <c r="BX40" s="359">
        <f t="shared" si="10"/>
        <v>8780.919601472237</v>
      </c>
      <c r="BY40" s="359">
        <f t="shared" si="0"/>
        <v>0</v>
      </c>
      <c r="BZ40" s="360">
        <f t="shared" si="11"/>
        <v>0</v>
      </c>
      <c r="CA40" s="310"/>
    </row>
    <row r="41" spans="2:79" s="5" customFormat="1" ht="12.75">
      <c r="B41" s="323"/>
      <c r="C41" s="311">
        <v>1975</v>
      </c>
      <c r="D41" s="309"/>
      <c r="E41" s="309"/>
      <c r="F41" s="309"/>
      <c r="G41" s="337"/>
      <c r="I41" s="323"/>
      <c r="J41" s="311">
        <v>1975</v>
      </c>
      <c r="K41" s="309"/>
      <c r="L41" s="327"/>
      <c r="M41" s="327"/>
      <c r="N41" s="338"/>
      <c r="O41" s="14"/>
      <c r="P41" s="324"/>
      <c r="Q41" s="311">
        <v>1975</v>
      </c>
      <c r="R41" s="327"/>
      <c r="S41" s="327"/>
      <c r="T41" s="309" t="str">
        <f t="shared" si="7"/>
        <v xml:space="preserve"> </v>
      </c>
      <c r="U41" s="377">
        <f t="shared" si="1"/>
        <v>8594.770219458665</v>
      </c>
      <c r="V41" s="309"/>
      <c r="W41" s="309"/>
      <c r="X41" s="337"/>
      <c r="Z41" s="335"/>
      <c r="AA41" s="311">
        <v>1975</v>
      </c>
      <c r="AB41" s="336"/>
      <c r="AC41" s="336"/>
      <c r="AD41" s="336"/>
      <c r="AE41" s="310"/>
      <c r="AG41" s="335"/>
      <c r="AH41" s="311">
        <v>1975</v>
      </c>
      <c r="AI41" s="309"/>
      <c r="AJ41" s="327"/>
      <c r="AK41" s="327"/>
      <c r="AL41" s="338"/>
      <c r="AM41" s="14"/>
      <c r="AN41" s="324"/>
      <c r="AO41" s="311">
        <v>1975</v>
      </c>
      <c r="AP41" s="328"/>
      <c r="AQ41" s="328"/>
      <c r="AR41" s="309" t="str">
        <f t="shared" si="8"/>
        <v xml:space="preserve"> </v>
      </c>
      <c r="AS41" s="377">
        <f t="shared" si="2"/>
        <v>186.14938201357143</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9"/>
        <v xml:space="preserve"> </v>
      </c>
      <c r="BQ41" s="377">
        <f t="shared" si="3"/>
        <v>8780.919601472237</v>
      </c>
      <c r="BR41" s="309"/>
      <c r="BS41" s="309"/>
      <c r="BT41" s="310"/>
      <c r="BV41" s="324"/>
      <c r="BW41" s="311">
        <v>1975</v>
      </c>
      <c r="BX41" s="359">
        <f t="shared" si="10"/>
        <v>8780.919601472237</v>
      </c>
      <c r="BY41" s="359">
        <f t="shared" si="0"/>
        <v>0</v>
      </c>
      <c r="BZ41" s="360">
        <f t="shared" si="11"/>
        <v>0</v>
      </c>
      <c r="CA41" s="310"/>
    </row>
    <row r="42" spans="2:79" s="5" customFormat="1" ht="12.75">
      <c r="B42" s="323"/>
      <c r="C42" s="311">
        <v>1976</v>
      </c>
      <c r="D42" s="309"/>
      <c r="E42" s="309"/>
      <c r="F42" s="309"/>
      <c r="G42" s="337"/>
      <c r="I42" s="323"/>
      <c r="J42" s="311">
        <v>1976</v>
      </c>
      <c r="K42" s="309"/>
      <c r="L42" s="327"/>
      <c r="M42" s="327"/>
      <c r="N42" s="338"/>
      <c r="O42" s="14"/>
      <c r="P42" s="324"/>
      <c r="Q42" s="311">
        <v>1976</v>
      </c>
      <c r="R42" s="327"/>
      <c r="S42" s="327"/>
      <c r="T42" s="309" t="str">
        <f t="shared" si="7"/>
        <v xml:space="preserve"> </v>
      </c>
      <c r="U42" s="377">
        <f t="shared" si="1"/>
        <v>8594.770219458665</v>
      </c>
      <c r="V42" s="309"/>
      <c r="W42" s="309"/>
      <c r="X42" s="337"/>
      <c r="Z42" s="335"/>
      <c r="AA42" s="311">
        <v>1976</v>
      </c>
      <c r="AB42" s="336"/>
      <c r="AC42" s="336"/>
      <c r="AD42" s="336"/>
      <c r="AE42" s="310"/>
      <c r="AG42" s="335"/>
      <c r="AH42" s="311">
        <v>1976</v>
      </c>
      <c r="AI42" s="309"/>
      <c r="AJ42" s="327"/>
      <c r="AK42" s="327"/>
      <c r="AL42" s="338"/>
      <c r="AM42" s="14"/>
      <c r="AN42" s="324"/>
      <c r="AO42" s="311">
        <v>1976</v>
      </c>
      <c r="AP42" s="328"/>
      <c r="AQ42" s="328"/>
      <c r="AR42" s="309" t="str">
        <f t="shared" si="8"/>
        <v xml:space="preserve"> </v>
      </c>
      <c r="AS42" s="377">
        <f t="shared" si="2"/>
        <v>186.14938201357143</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9"/>
        <v xml:space="preserve"> </v>
      </c>
      <c r="BQ42" s="377">
        <f t="shared" si="3"/>
        <v>8780.919601472237</v>
      </c>
      <c r="BR42" s="309"/>
      <c r="BS42" s="309"/>
      <c r="BT42" s="310"/>
      <c r="BV42" s="324"/>
      <c r="BW42" s="311">
        <v>1976</v>
      </c>
      <c r="BX42" s="359">
        <f t="shared" si="10"/>
        <v>8780.919601472237</v>
      </c>
      <c r="BY42" s="359">
        <f t="shared" si="0"/>
        <v>0</v>
      </c>
      <c r="BZ42" s="360">
        <f t="shared" si="11"/>
        <v>0</v>
      </c>
      <c r="CA42" s="310"/>
    </row>
    <row r="43" spans="2:79" s="5" customFormat="1" ht="12.75">
      <c r="B43" s="323"/>
      <c r="C43" s="311">
        <v>1977</v>
      </c>
      <c r="D43" s="309"/>
      <c r="E43" s="309"/>
      <c r="F43" s="309"/>
      <c r="G43" s="337"/>
      <c r="I43" s="323"/>
      <c r="J43" s="311">
        <v>1977</v>
      </c>
      <c r="K43" s="309"/>
      <c r="L43" s="327"/>
      <c r="M43" s="327"/>
      <c r="N43" s="338"/>
      <c r="O43" s="14"/>
      <c r="P43" s="324"/>
      <c r="Q43" s="311">
        <v>1977</v>
      </c>
      <c r="R43" s="327"/>
      <c r="S43" s="327"/>
      <c r="T43" s="309" t="str">
        <f t="shared" si="7"/>
        <v xml:space="preserve"> </v>
      </c>
      <c r="U43" s="377">
        <f t="shared" si="1"/>
        <v>8594.770219458665</v>
      </c>
      <c r="V43" s="309"/>
      <c r="W43" s="309"/>
      <c r="X43" s="337"/>
      <c r="Z43" s="335"/>
      <c r="AA43" s="311">
        <v>1977</v>
      </c>
      <c r="AB43" s="336"/>
      <c r="AC43" s="336"/>
      <c r="AD43" s="336"/>
      <c r="AE43" s="310"/>
      <c r="AG43" s="335"/>
      <c r="AH43" s="311">
        <v>1977</v>
      </c>
      <c r="AI43" s="309"/>
      <c r="AJ43" s="327"/>
      <c r="AK43" s="327"/>
      <c r="AL43" s="338"/>
      <c r="AM43" s="14"/>
      <c r="AN43" s="324"/>
      <c r="AO43" s="311">
        <v>1977</v>
      </c>
      <c r="AP43" s="328"/>
      <c r="AQ43" s="328"/>
      <c r="AR43" s="309" t="str">
        <f t="shared" si="8"/>
        <v xml:space="preserve"> </v>
      </c>
      <c r="AS43" s="377">
        <f t="shared" si="2"/>
        <v>186.14938201357143</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9"/>
        <v xml:space="preserve"> </v>
      </c>
      <c r="BQ43" s="377">
        <f t="shared" si="3"/>
        <v>8780.919601472237</v>
      </c>
      <c r="BR43" s="309"/>
      <c r="BS43" s="309"/>
      <c r="BT43" s="310"/>
      <c r="BV43" s="324"/>
      <c r="BW43" s="311">
        <v>1977</v>
      </c>
      <c r="BX43" s="359">
        <f t="shared" si="10"/>
        <v>8780.919601472237</v>
      </c>
      <c r="BY43" s="359">
        <f t="shared" si="0"/>
        <v>0</v>
      </c>
      <c r="BZ43" s="360">
        <f t="shared" si="11"/>
        <v>0</v>
      </c>
      <c r="CA43" s="310"/>
    </row>
    <row r="44" spans="2:79" s="5" customFormat="1" ht="12.75">
      <c r="B44" s="323"/>
      <c r="C44" s="311">
        <v>1978</v>
      </c>
      <c r="D44" s="309"/>
      <c r="E44" s="309"/>
      <c r="F44" s="309"/>
      <c r="G44" s="337"/>
      <c r="I44" s="323"/>
      <c r="J44" s="311">
        <v>1978</v>
      </c>
      <c r="K44" s="309"/>
      <c r="L44" s="327"/>
      <c r="M44" s="327"/>
      <c r="N44" s="338"/>
      <c r="O44" s="14"/>
      <c r="P44" s="324"/>
      <c r="Q44" s="311">
        <v>1978</v>
      </c>
      <c r="R44" s="327"/>
      <c r="S44" s="327"/>
      <c r="T44" s="309" t="str">
        <f t="shared" si="7"/>
        <v xml:space="preserve"> </v>
      </c>
      <c r="U44" s="377">
        <f t="shared" si="1"/>
        <v>8594.770219458665</v>
      </c>
      <c r="V44" s="309"/>
      <c r="W44" s="309"/>
      <c r="X44" s="337"/>
      <c r="Z44" s="335"/>
      <c r="AA44" s="311">
        <v>1978</v>
      </c>
      <c r="AB44" s="336"/>
      <c r="AC44" s="336"/>
      <c r="AD44" s="336"/>
      <c r="AE44" s="310"/>
      <c r="AG44" s="335"/>
      <c r="AH44" s="311">
        <v>1978</v>
      </c>
      <c r="AI44" s="309"/>
      <c r="AJ44" s="327"/>
      <c r="AK44" s="327"/>
      <c r="AL44" s="338"/>
      <c r="AM44" s="14"/>
      <c r="AN44" s="324"/>
      <c r="AO44" s="311">
        <v>1978</v>
      </c>
      <c r="AP44" s="328"/>
      <c r="AQ44" s="328"/>
      <c r="AR44" s="309" t="str">
        <f t="shared" si="8"/>
        <v xml:space="preserve"> </v>
      </c>
      <c r="AS44" s="377">
        <f t="shared" si="2"/>
        <v>186.14938201357143</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9"/>
        <v xml:space="preserve"> </v>
      </c>
      <c r="BQ44" s="377">
        <f t="shared" si="3"/>
        <v>8780.919601472237</v>
      </c>
      <c r="BR44" s="309"/>
      <c r="BS44" s="309"/>
      <c r="BT44" s="310"/>
      <c r="BV44" s="324"/>
      <c r="BW44" s="311">
        <v>1978</v>
      </c>
      <c r="BX44" s="359">
        <f t="shared" si="10"/>
        <v>8780.919601472237</v>
      </c>
      <c r="BY44" s="359">
        <f t="shared" si="0"/>
        <v>0</v>
      </c>
      <c r="BZ44" s="360">
        <f t="shared" si="11"/>
        <v>0</v>
      </c>
      <c r="CA44" s="310"/>
    </row>
    <row r="45" spans="2:79" s="5" customFormat="1" ht="12.75">
      <c r="B45" s="323"/>
      <c r="C45" s="311">
        <v>1979</v>
      </c>
      <c r="D45" s="309"/>
      <c r="E45" s="309"/>
      <c r="F45" s="309"/>
      <c r="G45" s="337"/>
      <c r="I45" s="323"/>
      <c r="J45" s="311">
        <v>1979</v>
      </c>
      <c r="K45" s="309"/>
      <c r="L45" s="327"/>
      <c r="M45" s="327"/>
      <c r="N45" s="338"/>
      <c r="O45" s="14"/>
      <c r="P45" s="324"/>
      <c r="Q45" s="311">
        <v>1979</v>
      </c>
      <c r="R45" s="374"/>
      <c r="S45" s="327"/>
      <c r="T45" s="309" t="str">
        <f t="shared" si="7"/>
        <v xml:space="preserve"> </v>
      </c>
      <c r="U45" s="377">
        <f t="shared" si="1"/>
        <v>8594.770219458665</v>
      </c>
      <c r="V45" s="309"/>
      <c r="W45" s="309"/>
      <c r="X45" s="337"/>
      <c r="Z45" s="335"/>
      <c r="AA45" s="311">
        <v>1979</v>
      </c>
      <c r="AB45" s="336"/>
      <c r="AC45" s="336"/>
      <c r="AD45" s="336"/>
      <c r="AE45" s="310"/>
      <c r="AG45" s="335"/>
      <c r="AH45" s="311">
        <v>1979</v>
      </c>
      <c r="AI45" s="309"/>
      <c r="AJ45" s="327"/>
      <c r="AK45" s="327"/>
      <c r="AL45" s="338"/>
      <c r="AM45" s="14"/>
      <c r="AN45" s="324"/>
      <c r="AO45" s="311">
        <v>1979</v>
      </c>
      <c r="AP45" s="328"/>
      <c r="AQ45" s="328"/>
      <c r="AR45" s="309" t="str">
        <f t="shared" si="8"/>
        <v xml:space="preserve"> </v>
      </c>
      <c r="AS45" s="377">
        <f t="shared" si="2"/>
        <v>186.14938201357143</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9"/>
        <v xml:space="preserve"> </v>
      </c>
      <c r="BQ45" s="377">
        <f t="shared" si="3"/>
        <v>8780.919601472237</v>
      </c>
      <c r="BR45" s="309"/>
      <c r="BS45" s="309"/>
      <c r="BT45" s="310"/>
      <c r="BV45" s="324"/>
      <c r="BW45" s="311">
        <v>1979</v>
      </c>
      <c r="BX45" s="359">
        <f t="shared" si="10"/>
        <v>8780.919601472237</v>
      </c>
      <c r="BY45" s="359">
        <f t="shared" si="0"/>
        <v>0</v>
      </c>
      <c r="BZ45" s="360">
        <f t="shared" si="11"/>
        <v>0</v>
      </c>
      <c r="CA45" s="310"/>
    </row>
    <row r="46" spans="2:79" ht="13.5" thickBot="1">
      <c r="B46" s="362"/>
      <c r="C46" s="311">
        <v>1980</v>
      </c>
      <c r="D46" s="345">
        <f aca="true" t="shared" si="12" ref="D46:D81">INDEX(HOUSING_STOCK,MATCH(C46,HOUSING_STOCK_YEARS,0)+2,MATCH(B$6,HOUSING_STOCK_BLDG,0)+MATCH(D$10,HOUSING_STOCK_CATEGORY,0)-1)</f>
        <v>0</v>
      </c>
      <c r="E46" s="345">
        <f aca="true" t="shared" si="13" ref="E46:E81">INDEX(HOUSING_STOCK,MATCH(C46,HOUSING_STOCK_YEARS,0)+2,MATCH(B$6,HOUSING_STOCK_BLDG,0)+MATCH(E$10,HOUSING_STOCK_CATEGORY,0)-1)</f>
        <v>0</v>
      </c>
      <c r="F46" s="345">
        <f aca="true" t="shared" si="14" ref="F46:F81">INDEX(HOUSING_STOCK,MATCH(C46,HOUSING_STOCK_YEARS,0)+2,MATCH(B$6,HOUSING_STOCK_BLDG,0)+MATCH(F$10,HOUSING_STOCK_CATEGORY,0)-1)</f>
        <v>2612400</v>
      </c>
      <c r="G46" s="364"/>
      <c r="H46" s="12"/>
      <c r="I46" s="370"/>
      <c r="J46" s="311">
        <v>1980</v>
      </c>
      <c r="K46" s="346">
        <f>FORECAST(J46,K$58:K$77,J$58:J$77)</f>
        <v>0.10527968420711886</v>
      </c>
      <c r="L46" s="352">
        <f>F46*K46</f>
        <v>275032.6470226773</v>
      </c>
      <c r="M46" s="327"/>
      <c r="N46" s="371"/>
      <c r="O46" s="15"/>
      <c r="P46" s="375"/>
      <c r="Q46" s="311">
        <v>1980</v>
      </c>
      <c r="R46" s="327"/>
      <c r="S46" s="327"/>
      <c r="T46" s="327" t="str">
        <f t="shared" si="7"/>
        <v xml:space="preserve"> </v>
      </c>
      <c r="U46" s="378">
        <f t="shared" si="1"/>
        <v>8594.770219458665</v>
      </c>
      <c r="V46" s="327"/>
      <c r="W46" s="327"/>
      <c r="X46" s="373"/>
      <c r="Z46" s="343"/>
      <c r="AA46" s="311">
        <v>1980</v>
      </c>
      <c r="AB46" s="345">
        <f aca="true" t="shared" si="15" ref="AB46:AB81">INDEX(HOUSING_STOCK,MATCH(AA46,HOUSING_STOCK_YEARS,0)+2,MATCH(Z$6,HOUSING_STOCK_BLDG,0)+MATCH(AB$10,HOUSING_STOCK_CATEGORY,0)-1)</f>
        <v>0</v>
      </c>
      <c r="AC46" s="345">
        <f aca="true" t="shared" si="16" ref="AC46:AC81">INDEX(HOUSING_STOCK,MATCH(AA46,HOUSING_STOCK_YEARS,0)+2,MATCH(Z$6,HOUSING_STOCK_BLDG,0)+MATCH(AC$10,HOUSING_STOCK_CATEGORY,0)-1)</f>
        <v>0</v>
      </c>
      <c r="AD46" s="345">
        <f aca="true" t="shared" si="17" ref="AD46:AD81">INDEX(HOUSING_STOCK,MATCH(AA46,HOUSING_STOCK_YEARS,0)+2,MATCH(Z$6,HOUSING_STOCK_BLDG,0)+MATCH(AD$10,HOUSING_STOCK_CATEGORY,0)-1)</f>
        <v>275356</v>
      </c>
      <c r="AE46" s="344"/>
      <c r="AF46" s="12"/>
      <c r="AG46" s="339"/>
      <c r="AH46" s="311">
        <v>1980</v>
      </c>
      <c r="AI46" s="346">
        <f>FORECAST(AH46,AI$58:AI$77,AH$58:AH$77)</f>
        <v>0.021633014077900192</v>
      </c>
      <c r="AJ46" s="347">
        <f>AD46*AI46</f>
        <v>5956.780224434286</v>
      </c>
      <c r="AK46" s="327"/>
      <c r="AL46" s="340"/>
      <c r="AM46" s="15"/>
      <c r="AN46" s="325"/>
      <c r="AO46" s="311">
        <v>1980</v>
      </c>
      <c r="AP46" s="329"/>
      <c r="AQ46" s="329"/>
      <c r="AR46" s="309" t="str">
        <f t="shared" si="8"/>
        <v xml:space="preserve"> </v>
      </c>
      <c r="AS46" s="378">
        <f t="shared" si="2"/>
        <v>186.14938201357143</v>
      </c>
      <c r="AT46" s="309"/>
      <c r="AU46" s="309"/>
      <c r="AV46" s="307"/>
      <c r="AX46" s="343"/>
      <c r="AY46" s="311">
        <v>1980</v>
      </c>
      <c r="AZ46" s="345">
        <f aca="true" t="shared" si="18" ref="AZ46:BB77">D46+AB46</f>
        <v>0</v>
      </c>
      <c r="BA46" s="345">
        <f t="shared" si="18"/>
        <v>0</v>
      </c>
      <c r="BB46" s="345">
        <f t="shared" si="18"/>
        <v>2887756</v>
      </c>
      <c r="BC46" s="344"/>
      <c r="BD46" s="12"/>
      <c r="BE46" s="339"/>
      <c r="BF46" s="311">
        <v>1980</v>
      </c>
      <c r="BG46" s="346">
        <f>BH46/BB46</f>
        <v>0.09730372900172714</v>
      </c>
      <c r="BH46" s="345">
        <f aca="true" t="shared" si="19" ref="BH46:BH81">L46+AJ46</f>
        <v>280989.42724711157</v>
      </c>
      <c r="BI46" s="327"/>
      <c r="BJ46" s="340"/>
      <c r="BK46" s="15"/>
      <c r="BL46" s="325"/>
      <c r="BM46" s="311">
        <v>1980</v>
      </c>
      <c r="BN46" s="329"/>
      <c r="BO46" s="329"/>
      <c r="BP46" s="309" t="str">
        <f t="shared" si="9"/>
        <v xml:space="preserve"> </v>
      </c>
      <c r="BQ46" s="378">
        <f t="shared" si="3"/>
        <v>8780.919601472237</v>
      </c>
      <c r="BR46" s="309"/>
      <c r="BS46" s="309"/>
      <c r="BT46" s="307"/>
      <c r="BV46" s="325"/>
      <c r="BW46" s="311">
        <v>1980</v>
      </c>
      <c r="BX46" s="359">
        <f t="shared" si="10"/>
        <v>8780.919601472237</v>
      </c>
      <c r="BY46" s="359">
        <f t="shared" si="0"/>
        <v>0</v>
      </c>
      <c r="BZ46" s="360">
        <f t="shared" si="11"/>
        <v>0</v>
      </c>
      <c r="CA46" s="307"/>
    </row>
    <row r="47" spans="2:79" ht="12.75">
      <c r="B47" s="362"/>
      <c r="C47" s="311">
        <v>1981</v>
      </c>
      <c r="D47" s="345">
        <f t="shared" si="12"/>
        <v>2612400</v>
      </c>
      <c r="E47" s="345">
        <f t="shared" si="13"/>
        <v>32998.3</v>
      </c>
      <c r="F47" s="345">
        <f t="shared" si="14"/>
        <v>2639466.110927178</v>
      </c>
      <c r="G47" s="364"/>
      <c r="H47" s="12"/>
      <c r="I47" s="370"/>
      <c r="J47" s="311">
        <v>1981</v>
      </c>
      <c r="K47" s="346">
        <f aca="true" t="shared" si="20" ref="K47:K57">FORECAST(J47,K$58:K$77,J$58:J$77)</f>
        <v>0.11591466213592128</v>
      </c>
      <c r="L47" s="379">
        <f>F47*K47</f>
        <v>305952.82246733794</v>
      </c>
      <c r="M47" s="351">
        <f>F47/F46-1</f>
        <v>0.010360630426878847</v>
      </c>
      <c r="N47" s="371"/>
      <c r="O47" s="15"/>
      <c r="P47" s="375"/>
      <c r="Q47" s="311">
        <v>1981</v>
      </c>
      <c r="R47" s="352">
        <f ca="1">E47*FORECAST(Q47,OFFSET('Saturations and Allocations'!$C$13,1,MATCH(B$6,SATURATIONS_HOUSING_TYPE,0)-1+MATCH(B$2,HVAC_SYSTEMS,0),2,1),'Saturations and Allocations'!$C$14:$C$15)</f>
        <v>21448.895000000004</v>
      </c>
      <c r="S47" s="352">
        <f aca="true" ca="1" t="shared" si="21" ref="S47:S81">OFFSET(U47,-U$6,0)</f>
        <v>8594.770219458665</v>
      </c>
      <c r="T47" s="352">
        <f ca="1">L47-L46-R47</f>
        <v>9471.280444660646</v>
      </c>
      <c r="U47" s="379">
        <f ca="1">SUM(R47:T47)</f>
        <v>39514.94566411932</v>
      </c>
      <c r="V47" s="352">
        <f ca="1">IF(SUM(R47,T47)&gt;0,SUM(R47,T47),0)</f>
        <v>30920.17544466065</v>
      </c>
      <c r="W47" s="352">
        <f ca="1">IF(SUM(R47,T47)&gt;0,S47,SUM(R47:T47))</f>
        <v>8594.770219458665</v>
      </c>
      <c r="X47" s="373"/>
      <c r="Z47" s="343"/>
      <c r="AA47" s="311">
        <v>1981</v>
      </c>
      <c r="AB47" s="345">
        <f t="shared" si="15"/>
        <v>275356</v>
      </c>
      <c r="AC47" s="345">
        <f t="shared" si="16"/>
        <v>10843</v>
      </c>
      <c r="AD47" s="345">
        <f t="shared" si="17"/>
        <v>283256.27415152383</v>
      </c>
      <c r="AE47" s="344"/>
      <c r="AF47" s="12"/>
      <c r="AG47" s="339"/>
      <c r="AH47" s="311">
        <v>1981</v>
      </c>
      <c r="AI47" s="346">
        <f aca="true" t="shared" si="22" ref="AI47:AI57">FORECAST(AH47,AI$58:AI$77,AH$58:AH$77)</f>
        <v>0.023818303946355535</v>
      </c>
      <c r="AJ47" s="348">
        <f>AD47*AI47</f>
        <v>6746.684032453205</v>
      </c>
      <c r="AK47" s="351">
        <f>AD47/AD46-1</f>
        <v>0.02869112767298998</v>
      </c>
      <c r="AL47" s="340"/>
      <c r="AM47" s="15"/>
      <c r="AN47" s="325"/>
      <c r="AO47" s="311">
        <v>1981</v>
      </c>
      <c r="AP47" s="352">
        <f ca="1">AC47*FORECAST(AO47,OFFSET('Saturations and Allocations'!$C$13,1,MATCH(Z$6,SATURATIONS_HOUSING_TYPE,0)-1+MATCH(Z$2,HVAC_SYSTEMS,0),2,1),'Saturations and Allocations'!$C$14:$C$15)</f>
        <v>542.15</v>
      </c>
      <c r="AQ47" s="347">
        <f aca="true" ca="1" t="shared" si="23" ref="AQ47:AQ81">OFFSET(AS47,-AS$6,0)</f>
        <v>186.14938201357143</v>
      </c>
      <c r="AR47" s="347">
        <f ca="1">AJ47-AJ46-AP47</f>
        <v>247.75380801891936</v>
      </c>
      <c r="AS47" s="348">
        <f ca="1">SUM(AP47:AR47)</f>
        <v>976.0531900324908</v>
      </c>
      <c r="AT47" s="347">
        <f ca="1">AP47</f>
        <v>542.15</v>
      </c>
      <c r="AU47" s="347">
        <f ca="1">SUM(AQ47:AR47)</f>
        <v>433.9031900324908</v>
      </c>
      <c r="AV47" s="307"/>
      <c r="AX47" s="343"/>
      <c r="AY47" s="311">
        <v>1981</v>
      </c>
      <c r="AZ47" s="345">
        <f t="shared" si="18"/>
        <v>2887756</v>
      </c>
      <c r="BA47" s="345">
        <f t="shared" si="18"/>
        <v>43841.3</v>
      </c>
      <c r="BB47" s="345">
        <f t="shared" si="18"/>
        <v>2922722.385078702</v>
      </c>
      <c r="BC47" s="344"/>
      <c r="BD47" s="12"/>
      <c r="BE47" s="339"/>
      <c r="BF47" s="311">
        <v>1981</v>
      </c>
      <c r="BG47" s="346">
        <f aca="true" t="shared" si="24" ref="BG47:BG80">BH47/BB47</f>
        <v>0.10698912359798787</v>
      </c>
      <c r="BH47" s="345">
        <f t="shared" si="19"/>
        <v>312699.50649979117</v>
      </c>
      <c r="BI47" s="351">
        <f>BB47/BB46-1</f>
        <v>0.012108497074788227</v>
      </c>
      <c r="BJ47" s="340"/>
      <c r="BK47" s="15"/>
      <c r="BL47" s="325"/>
      <c r="BM47" s="311">
        <v>1981</v>
      </c>
      <c r="BN47" s="345">
        <f aca="true" t="shared" si="25" ref="BN47:BS78">R47+AP47</f>
        <v>21991.045000000006</v>
      </c>
      <c r="BO47" s="345">
        <f ca="1" t="shared" si="25"/>
        <v>8780.919601472237</v>
      </c>
      <c r="BP47" s="345">
        <f ca="1" t="shared" si="25"/>
        <v>9719.034252679565</v>
      </c>
      <c r="BQ47" s="345">
        <f aca="true" t="shared" si="26" ref="BQ47:BQ52">U47+AS47</f>
        <v>40490.99885415181</v>
      </c>
      <c r="BR47" s="345">
        <f aca="true" t="shared" si="27" ref="BR47:BS52">V47+AT47</f>
        <v>31462.32544466065</v>
      </c>
      <c r="BS47" s="345">
        <f ca="1" t="shared" si="27"/>
        <v>9028.673409491155</v>
      </c>
      <c r="BT47" s="307"/>
      <c r="BV47" s="325"/>
      <c r="BW47" s="311">
        <v>1981</v>
      </c>
      <c r="BX47" s="359">
        <f ca="1" t="shared" si="10"/>
        <v>40490.99885415181</v>
      </c>
      <c r="BY47" s="359">
        <f t="shared" si="0"/>
        <v>0</v>
      </c>
      <c r="BZ47" s="360">
        <f ca="1" t="shared" si="11"/>
        <v>0</v>
      </c>
      <c r="CA47" s="307"/>
    </row>
    <row r="48" spans="2:79" ht="12.75">
      <c r="B48" s="362"/>
      <c r="C48" s="311">
        <v>1982</v>
      </c>
      <c r="D48" s="345">
        <f t="shared" si="12"/>
        <v>2639466.110927178</v>
      </c>
      <c r="E48" s="345">
        <f t="shared" si="13"/>
        <v>22690.6</v>
      </c>
      <c r="F48" s="345">
        <f t="shared" si="14"/>
        <v>2656237.9925583815</v>
      </c>
      <c r="G48" s="364"/>
      <c r="H48" s="12"/>
      <c r="I48" s="370"/>
      <c r="J48" s="311">
        <v>1982</v>
      </c>
      <c r="K48" s="346">
        <f t="shared" si="20"/>
        <v>0.1265496400647237</v>
      </c>
      <c r="L48" s="352">
        <f aca="true" t="shared" si="28" ref="L48:L81">F48*K48</f>
        <v>336145.9618845074</v>
      </c>
      <c r="M48" s="351">
        <f aca="true" t="shared" si="29" ref="M48:M81">F48/F47-1</f>
        <v>0.006354270494994818</v>
      </c>
      <c r="N48" s="371"/>
      <c r="O48" s="15"/>
      <c r="P48" s="375"/>
      <c r="Q48" s="311">
        <v>1982</v>
      </c>
      <c r="R48" s="352">
        <f ca="1">E48*FORECAST(Q48,OFFSET('Saturations and Allocations'!$C$13,1,MATCH(B$6,SATURATIONS_HOUSING_TYPE,0)-1+MATCH(B$2,HVAC_SYSTEMS,0),2,1),'Saturations and Allocations'!$C$14:$C$15)</f>
        <v>14748.89</v>
      </c>
      <c r="S48" s="352">
        <f ca="1" t="shared" si="21"/>
        <v>8594.770219458665</v>
      </c>
      <c r="T48" s="352">
        <f aca="true" t="shared" si="30" ref="T48:T81">L48-L47-R48</f>
        <v>15444.249417169442</v>
      </c>
      <c r="U48" s="352">
        <f aca="true" t="shared" si="31" ref="U48:U81">SUM(R48:T48)</f>
        <v>38787.90963662811</v>
      </c>
      <c r="V48" s="352">
        <f aca="true" t="shared" si="32" ref="V48:V81">IF(SUM(R48,T48)&gt;0,SUM(R48,T48),0)</f>
        <v>30193.13941716944</v>
      </c>
      <c r="W48" s="352">
        <f aca="true" t="shared" si="33" ref="W48:W81">IF(SUM(R48,T48)&gt;0,S48,SUM(R48:T48))</f>
        <v>8594.770219458665</v>
      </c>
      <c r="X48" s="373"/>
      <c r="Z48" s="343"/>
      <c r="AA48" s="311">
        <v>1982</v>
      </c>
      <c r="AB48" s="345">
        <f t="shared" si="15"/>
        <v>283256.27415152383</v>
      </c>
      <c r="AC48" s="345">
        <f t="shared" si="16"/>
        <v>8758</v>
      </c>
      <c r="AD48" s="345">
        <f t="shared" si="17"/>
        <v>289102.99717439705</v>
      </c>
      <c r="AE48" s="344"/>
      <c r="AF48" s="12"/>
      <c r="AG48" s="339"/>
      <c r="AH48" s="311">
        <v>1982</v>
      </c>
      <c r="AI48" s="346">
        <f t="shared" si="22"/>
        <v>0.02600359381480999</v>
      </c>
      <c r="AJ48" s="347">
        <f aca="true" t="shared" si="34" ref="AJ48:AJ81">AD48*AI48</f>
        <v>7517.716909167181</v>
      </c>
      <c r="AK48" s="351">
        <f aca="true" t="shared" si="35" ref="AK48:AK81">AD48/AD47-1</f>
        <v>0.020641106857691716</v>
      </c>
      <c r="AL48" s="340"/>
      <c r="AM48" s="15"/>
      <c r="AN48" s="325"/>
      <c r="AO48" s="311">
        <v>1982</v>
      </c>
      <c r="AP48" s="352">
        <f ca="1">AC48*FORECAST(AO48,OFFSET('Saturations and Allocations'!$C$13,1,MATCH(Z$6,SATURATIONS_HOUSING_TYPE,0)-1+MATCH(Z$2,HVAC_SYSTEMS,0),2,1),'Saturations and Allocations'!$C$14:$C$15)</f>
        <v>437.90000000000003</v>
      </c>
      <c r="AQ48" s="347">
        <f ca="1" t="shared" si="23"/>
        <v>186.14938201357143</v>
      </c>
      <c r="AR48" s="347">
        <f aca="true" t="shared" si="36" ref="AR48:AR81">AJ48-AJ47-AP48</f>
        <v>333.13287671397626</v>
      </c>
      <c r="AS48" s="347">
        <f aca="true" t="shared" si="37" ref="AS48:AS76">SUM(AP48:AR48)</f>
        <v>957.1822587275476</v>
      </c>
      <c r="AT48" s="347">
        <f aca="true" t="shared" si="38" ref="AT48:AT81">AP48</f>
        <v>437.90000000000003</v>
      </c>
      <c r="AU48" s="347">
        <f aca="true" t="shared" si="39" ref="AU48:AU81">SUM(AQ48:AR48)</f>
        <v>519.2822587275477</v>
      </c>
      <c r="AV48" s="307"/>
      <c r="AX48" s="343"/>
      <c r="AY48" s="311">
        <v>1982</v>
      </c>
      <c r="AZ48" s="345">
        <f t="shared" si="18"/>
        <v>2922722.385078702</v>
      </c>
      <c r="BA48" s="345">
        <f t="shared" si="18"/>
        <v>31448.6</v>
      </c>
      <c r="BB48" s="345">
        <f t="shared" si="18"/>
        <v>2945340.9897327786</v>
      </c>
      <c r="BC48" s="344"/>
      <c r="BD48" s="12"/>
      <c r="BE48" s="339"/>
      <c r="BF48" s="311">
        <v>1982</v>
      </c>
      <c r="BG48" s="346">
        <f t="shared" si="24"/>
        <v>0.11668043869679554</v>
      </c>
      <c r="BH48" s="345">
        <f t="shared" si="19"/>
        <v>343663.67879367457</v>
      </c>
      <c r="BI48" s="351">
        <f aca="true" t="shared" si="40" ref="BI48:BI81">BB48/BB47-1</f>
        <v>0.0077388823411865815</v>
      </c>
      <c r="BJ48" s="340"/>
      <c r="BK48" s="15"/>
      <c r="BL48" s="325"/>
      <c r="BM48" s="311">
        <v>1982</v>
      </c>
      <c r="BN48" s="345">
        <f ca="1" t="shared" si="25"/>
        <v>15186.789999999999</v>
      </c>
      <c r="BO48" s="345">
        <f ca="1" t="shared" si="25"/>
        <v>8780.919601472237</v>
      </c>
      <c r="BP48" s="345">
        <f ca="1" t="shared" si="25"/>
        <v>15777.382293883418</v>
      </c>
      <c r="BQ48" s="345">
        <f ca="1" t="shared" si="26"/>
        <v>39745.091895355654</v>
      </c>
      <c r="BR48" s="345">
        <f ca="1" t="shared" si="27"/>
        <v>30631.039417169442</v>
      </c>
      <c r="BS48" s="345">
        <f ca="1" t="shared" si="27"/>
        <v>9114.052478186213</v>
      </c>
      <c r="BT48" s="307"/>
      <c r="BV48" s="325"/>
      <c r="BW48" s="311">
        <v>1982</v>
      </c>
      <c r="BX48" s="359">
        <f ca="1" t="shared" si="10"/>
        <v>39745.091895355654</v>
      </c>
      <c r="BY48" s="359">
        <f t="shared" si="0"/>
        <v>0</v>
      </c>
      <c r="BZ48" s="360">
        <f ca="1" t="shared" si="11"/>
        <v>0</v>
      </c>
      <c r="CA48" s="307"/>
    </row>
    <row r="49" spans="2:79" ht="12.75">
      <c r="B49" s="362"/>
      <c r="C49" s="311">
        <v>1983</v>
      </c>
      <c r="D49" s="345">
        <f t="shared" si="12"/>
        <v>2656237.9925583815</v>
      </c>
      <c r="E49" s="345">
        <f t="shared" si="13"/>
        <v>35193.1</v>
      </c>
      <c r="F49" s="345">
        <f t="shared" si="14"/>
        <v>2685525.8143045874</v>
      </c>
      <c r="G49" s="364"/>
      <c r="H49" s="12"/>
      <c r="I49" s="370"/>
      <c r="J49" s="311">
        <v>1983</v>
      </c>
      <c r="K49" s="346">
        <f t="shared" si="20"/>
        <v>0.1371846179935261</v>
      </c>
      <c r="L49" s="352">
        <f t="shared" si="28"/>
        <v>368412.8329471279</v>
      </c>
      <c r="M49" s="351">
        <f t="shared" si="29"/>
        <v>0.011026053323631935</v>
      </c>
      <c r="N49" s="371"/>
      <c r="O49" s="15"/>
      <c r="P49" s="375"/>
      <c r="Q49" s="311">
        <v>1983</v>
      </c>
      <c r="R49" s="352">
        <f ca="1">E49*FORECAST(Q49,OFFSET('Saturations and Allocations'!$C$13,1,MATCH(B$6,SATURATIONS_HOUSING_TYPE,0)-1+MATCH(B$2,HVAC_SYSTEMS,0),2,1),'Saturations and Allocations'!$C$14:$C$15)</f>
        <v>22875.515</v>
      </c>
      <c r="S49" s="352">
        <f ca="1" t="shared" si="21"/>
        <v>8594.770219458665</v>
      </c>
      <c r="T49" s="352">
        <f ca="1" t="shared" si="30"/>
        <v>9391.356062620544</v>
      </c>
      <c r="U49" s="352">
        <f ca="1" t="shared" si="31"/>
        <v>40861.64128207921</v>
      </c>
      <c r="V49" s="352">
        <f ca="1" t="shared" si="32"/>
        <v>32266.871062620543</v>
      </c>
      <c r="W49" s="352">
        <f ca="1" t="shared" si="33"/>
        <v>8594.770219458665</v>
      </c>
      <c r="X49" s="373"/>
      <c r="Z49" s="343"/>
      <c r="AA49" s="311">
        <v>1983</v>
      </c>
      <c r="AB49" s="345">
        <f t="shared" si="15"/>
        <v>289102.99717439705</v>
      </c>
      <c r="AC49" s="345">
        <f t="shared" si="16"/>
        <v>12114</v>
      </c>
      <c r="AD49" s="345">
        <f t="shared" si="17"/>
        <v>298336.8329749569</v>
      </c>
      <c r="AE49" s="344"/>
      <c r="AF49" s="12"/>
      <c r="AG49" s="339"/>
      <c r="AH49" s="311">
        <v>1983</v>
      </c>
      <c r="AI49" s="346">
        <f t="shared" si="22"/>
        <v>0.02818888368326533</v>
      </c>
      <c r="AJ49" s="347">
        <f t="shared" si="34"/>
        <v>8409.782283164817</v>
      </c>
      <c r="AK49" s="351">
        <f t="shared" si="35"/>
        <v>0.031939605921794234</v>
      </c>
      <c r="AL49" s="340"/>
      <c r="AM49" s="15"/>
      <c r="AN49" s="325"/>
      <c r="AO49" s="311">
        <v>1983</v>
      </c>
      <c r="AP49" s="352">
        <f ca="1">AC49*FORECAST(AO49,OFFSET('Saturations and Allocations'!$C$13,1,MATCH(Z$6,SATURATIONS_HOUSING_TYPE,0)-1+MATCH(Z$2,HVAC_SYSTEMS,0),2,1),'Saturations and Allocations'!$C$14:$C$15)</f>
        <v>605.7</v>
      </c>
      <c r="AQ49" s="347">
        <f ca="1" t="shared" si="23"/>
        <v>186.14938201357143</v>
      </c>
      <c r="AR49" s="347">
        <f ca="1" t="shared" si="36"/>
        <v>286.36537399763597</v>
      </c>
      <c r="AS49" s="347">
        <f ca="1" t="shared" si="37"/>
        <v>1078.2147560112076</v>
      </c>
      <c r="AT49" s="347">
        <f ca="1" t="shared" si="38"/>
        <v>605.7</v>
      </c>
      <c r="AU49" s="347">
        <f ca="1" t="shared" si="39"/>
        <v>472.5147560112074</v>
      </c>
      <c r="AV49" s="307"/>
      <c r="AX49" s="343"/>
      <c r="AY49" s="311">
        <v>1983</v>
      </c>
      <c r="AZ49" s="345">
        <f t="shared" si="18"/>
        <v>2945340.9897327786</v>
      </c>
      <c r="BA49" s="345">
        <f t="shared" si="18"/>
        <v>47307.1</v>
      </c>
      <c r="BB49" s="345">
        <f t="shared" si="18"/>
        <v>2983862.6472795443</v>
      </c>
      <c r="BC49" s="344"/>
      <c r="BD49" s="12"/>
      <c r="BE49" s="339"/>
      <c r="BF49" s="311">
        <v>1983</v>
      </c>
      <c r="BG49" s="346">
        <f t="shared" si="24"/>
        <v>0.12628685022544536</v>
      </c>
      <c r="BH49" s="345">
        <f t="shared" si="19"/>
        <v>376822.6152302927</v>
      </c>
      <c r="BI49" s="351">
        <f t="shared" si="40"/>
        <v>0.013078844752118401</v>
      </c>
      <c r="BJ49" s="340"/>
      <c r="BK49" s="15"/>
      <c r="BL49" s="325"/>
      <c r="BM49" s="311">
        <v>1983</v>
      </c>
      <c r="BN49" s="345">
        <f ca="1" t="shared" si="25"/>
        <v>23481.215</v>
      </c>
      <c r="BO49" s="345">
        <f ca="1" t="shared" si="25"/>
        <v>8780.919601472237</v>
      </c>
      <c r="BP49" s="345">
        <f ca="1" t="shared" si="25"/>
        <v>9677.72143661818</v>
      </c>
      <c r="BQ49" s="345">
        <f ca="1" t="shared" si="26"/>
        <v>41939.85603809042</v>
      </c>
      <c r="BR49" s="345">
        <f ca="1" t="shared" si="27"/>
        <v>32872.57106262054</v>
      </c>
      <c r="BS49" s="345">
        <f ca="1" t="shared" si="27"/>
        <v>9067.284975469873</v>
      </c>
      <c r="BT49" s="307"/>
      <c r="BV49" s="325"/>
      <c r="BW49" s="311">
        <v>1983</v>
      </c>
      <c r="BX49" s="359">
        <f ca="1" t="shared" si="10"/>
        <v>41939.85603809042</v>
      </c>
      <c r="BY49" s="359">
        <f t="shared" si="0"/>
        <v>0</v>
      </c>
      <c r="BZ49" s="360">
        <f ca="1" t="shared" si="11"/>
        <v>0</v>
      </c>
      <c r="CA49" s="307"/>
    </row>
    <row r="50" spans="2:79" ht="12.75">
      <c r="B50" s="362"/>
      <c r="C50" s="311">
        <v>1984</v>
      </c>
      <c r="D50" s="345">
        <f t="shared" si="12"/>
        <v>2685525.8143045874</v>
      </c>
      <c r="E50" s="345">
        <f t="shared" si="13"/>
        <v>32702.6</v>
      </c>
      <c r="F50" s="345">
        <f t="shared" si="14"/>
        <v>2712336.545646234</v>
      </c>
      <c r="G50" s="364"/>
      <c r="H50" s="12"/>
      <c r="I50" s="370"/>
      <c r="J50" s="311">
        <v>1984</v>
      </c>
      <c r="K50" s="346">
        <f t="shared" si="20"/>
        <v>0.14781959592232852</v>
      </c>
      <c r="L50" s="352">
        <f t="shared" si="28"/>
        <v>400936.49218279065</v>
      </c>
      <c r="M50" s="351">
        <f t="shared" si="29"/>
        <v>0.009983419708288643</v>
      </c>
      <c r="N50" s="371"/>
      <c r="O50" s="15"/>
      <c r="P50" s="375"/>
      <c r="Q50" s="311">
        <v>1984</v>
      </c>
      <c r="R50" s="352">
        <f ca="1">E50*FORECAST(Q50,OFFSET('Saturations and Allocations'!$C$13,1,MATCH(B$6,SATURATIONS_HOUSING_TYPE,0)-1+MATCH(B$2,HVAC_SYSTEMS,0),2,1),'Saturations and Allocations'!$C$14:$C$15)</f>
        <v>21256.69</v>
      </c>
      <c r="S50" s="352">
        <f ca="1" t="shared" si="21"/>
        <v>8594.770219458665</v>
      </c>
      <c r="T50" s="352">
        <f ca="1" t="shared" si="30"/>
        <v>11266.969235662724</v>
      </c>
      <c r="U50" s="352">
        <f ca="1" t="shared" si="31"/>
        <v>41118.42945512138</v>
      </c>
      <c r="V50" s="352">
        <f ca="1" t="shared" si="32"/>
        <v>32523.659235662722</v>
      </c>
      <c r="W50" s="352">
        <f ca="1" t="shared" si="33"/>
        <v>8594.770219458665</v>
      </c>
      <c r="X50" s="373"/>
      <c r="Z50" s="343"/>
      <c r="AA50" s="311">
        <v>1984</v>
      </c>
      <c r="AB50" s="345">
        <f t="shared" si="15"/>
        <v>298336.8329749569</v>
      </c>
      <c r="AC50" s="345">
        <f t="shared" si="16"/>
        <v>11892</v>
      </c>
      <c r="AD50" s="345">
        <f t="shared" si="17"/>
        <v>307379.44905136887</v>
      </c>
      <c r="AE50" s="344"/>
      <c r="AF50" s="12"/>
      <c r="AG50" s="339"/>
      <c r="AH50" s="311">
        <v>1984</v>
      </c>
      <c r="AI50" s="346">
        <f t="shared" si="22"/>
        <v>0.030374173551719785</v>
      </c>
      <c r="AJ50" s="347">
        <f t="shared" si="34"/>
        <v>9336.396731718287</v>
      </c>
      <c r="AK50" s="351">
        <f t="shared" si="35"/>
        <v>0.03031008939204982</v>
      </c>
      <c r="AL50" s="340"/>
      <c r="AM50" s="15"/>
      <c r="AN50" s="325"/>
      <c r="AO50" s="311">
        <v>1984</v>
      </c>
      <c r="AP50" s="352">
        <f ca="1">AC50*FORECAST(AO50,OFFSET('Saturations and Allocations'!$C$13,1,MATCH(Z$6,SATURATIONS_HOUSING_TYPE,0)-1+MATCH(Z$2,HVAC_SYSTEMS,0),2,1),'Saturations and Allocations'!$C$14:$C$15)</f>
        <v>594.6</v>
      </c>
      <c r="AQ50" s="347">
        <f ca="1" t="shared" si="23"/>
        <v>186.14938201357143</v>
      </c>
      <c r="AR50" s="347">
        <f ca="1" t="shared" si="36"/>
        <v>332.0144485534696</v>
      </c>
      <c r="AS50" s="347">
        <f ca="1" t="shared" si="37"/>
        <v>1112.7638305670412</v>
      </c>
      <c r="AT50" s="347">
        <f ca="1" t="shared" si="38"/>
        <v>594.6</v>
      </c>
      <c r="AU50" s="347">
        <f ca="1" t="shared" si="39"/>
        <v>518.163830567041</v>
      </c>
      <c r="AV50" s="307"/>
      <c r="AX50" s="343"/>
      <c r="AY50" s="311">
        <v>1984</v>
      </c>
      <c r="AZ50" s="345">
        <f t="shared" si="18"/>
        <v>2983862.6472795443</v>
      </c>
      <c r="BA50" s="345">
        <f t="shared" si="18"/>
        <v>44594.6</v>
      </c>
      <c r="BB50" s="345">
        <f t="shared" si="18"/>
        <v>3019715.994697603</v>
      </c>
      <c r="BC50" s="344"/>
      <c r="BD50" s="12"/>
      <c r="BE50" s="339"/>
      <c r="BF50" s="311">
        <v>1984</v>
      </c>
      <c r="BG50" s="346">
        <f t="shared" si="24"/>
        <v>0.135864726893164</v>
      </c>
      <c r="BH50" s="345">
        <f t="shared" si="19"/>
        <v>410272.8889145089</v>
      </c>
      <c r="BI50" s="351">
        <f t="shared" si="40"/>
        <v>0.012015749937667852</v>
      </c>
      <c r="BJ50" s="340"/>
      <c r="BK50" s="15"/>
      <c r="BL50" s="325"/>
      <c r="BM50" s="311">
        <v>1984</v>
      </c>
      <c r="BN50" s="345">
        <f ca="1" t="shared" si="25"/>
        <v>21851.289999999997</v>
      </c>
      <c r="BO50" s="345">
        <f ca="1" t="shared" si="25"/>
        <v>8780.919601472237</v>
      </c>
      <c r="BP50" s="345">
        <f ca="1" t="shared" si="25"/>
        <v>11598.983684216193</v>
      </c>
      <c r="BQ50" s="345">
        <f ca="1" t="shared" si="26"/>
        <v>42231.19328568842</v>
      </c>
      <c r="BR50" s="345">
        <f ca="1" t="shared" si="27"/>
        <v>33118.25923566272</v>
      </c>
      <c r="BS50" s="345">
        <f ca="1" t="shared" si="27"/>
        <v>9112.934050025706</v>
      </c>
      <c r="BT50" s="307"/>
      <c r="BV50" s="325"/>
      <c r="BW50" s="311">
        <v>1984</v>
      </c>
      <c r="BX50" s="359">
        <f ca="1" t="shared" si="10"/>
        <v>42231.19328568842</v>
      </c>
      <c r="BY50" s="359">
        <f t="shared" si="0"/>
        <v>0</v>
      </c>
      <c r="BZ50" s="360">
        <f ca="1" t="shared" si="11"/>
        <v>0</v>
      </c>
      <c r="CA50" s="307"/>
    </row>
    <row r="51" spans="2:79" ht="12.75">
      <c r="B51" s="362"/>
      <c r="C51" s="311">
        <v>1985</v>
      </c>
      <c r="D51" s="345">
        <f t="shared" si="12"/>
        <v>2712336.545646234</v>
      </c>
      <c r="E51" s="345">
        <f t="shared" si="13"/>
        <v>31199.2</v>
      </c>
      <c r="F51" s="345">
        <f t="shared" si="14"/>
        <v>2737657.2561330628</v>
      </c>
      <c r="G51" s="364"/>
      <c r="H51" s="12"/>
      <c r="I51" s="370"/>
      <c r="J51" s="311">
        <v>1985</v>
      </c>
      <c r="K51" s="346">
        <f t="shared" si="20"/>
        <v>0.15845457385113093</v>
      </c>
      <c r="L51" s="352">
        <f t="shared" si="28"/>
        <v>433794.31387102086</v>
      </c>
      <c r="M51" s="351">
        <f t="shared" si="29"/>
        <v>0.009335386689927061</v>
      </c>
      <c r="N51" s="371"/>
      <c r="O51" s="15"/>
      <c r="P51" s="375"/>
      <c r="Q51" s="311">
        <v>1985</v>
      </c>
      <c r="R51" s="352">
        <f ca="1">E51*FORECAST(Q51,OFFSET('Saturations and Allocations'!$C$13,1,MATCH(B$6,SATURATIONS_HOUSING_TYPE,0)-1+MATCH(B$2,HVAC_SYSTEMS,0),2,1),'Saturations and Allocations'!$C$14:$C$15)</f>
        <v>20279.48</v>
      </c>
      <c r="S51" s="352">
        <f ca="1" t="shared" si="21"/>
        <v>8594.770219458665</v>
      </c>
      <c r="T51" s="352">
        <f ca="1" t="shared" si="30"/>
        <v>12578.341688230208</v>
      </c>
      <c r="U51" s="352">
        <f ca="1" t="shared" si="31"/>
        <v>41452.59190768887</v>
      </c>
      <c r="V51" s="352">
        <f ca="1" t="shared" si="32"/>
        <v>32857.82168823021</v>
      </c>
      <c r="W51" s="352">
        <f ca="1" t="shared" si="33"/>
        <v>8594.770219458665</v>
      </c>
      <c r="X51" s="373"/>
      <c r="Z51" s="343"/>
      <c r="AA51" s="311">
        <v>1985</v>
      </c>
      <c r="AB51" s="345">
        <f t="shared" si="15"/>
        <v>307379.44905136887</v>
      </c>
      <c r="AC51" s="345">
        <f t="shared" si="16"/>
        <v>10090</v>
      </c>
      <c r="AD51" s="345">
        <f t="shared" si="17"/>
        <v>314650.51645524125</v>
      </c>
      <c r="AE51" s="344"/>
      <c r="AF51" s="12"/>
      <c r="AG51" s="339"/>
      <c r="AH51" s="311">
        <v>1985</v>
      </c>
      <c r="AI51" s="346">
        <f t="shared" si="22"/>
        <v>0.03255946342017513</v>
      </c>
      <c r="AJ51" s="347">
        <f t="shared" si="34"/>
        <v>10244.85198066364</v>
      </c>
      <c r="AK51" s="351">
        <f t="shared" si="35"/>
        <v>0.023655021265449827</v>
      </c>
      <c r="AL51" s="340"/>
      <c r="AM51" s="15"/>
      <c r="AN51" s="325"/>
      <c r="AO51" s="311">
        <v>1985</v>
      </c>
      <c r="AP51" s="352">
        <f ca="1">AC51*FORECAST(AO51,OFFSET('Saturations and Allocations'!$C$13,1,MATCH(Z$6,SATURATIONS_HOUSING_TYPE,0)-1+MATCH(Z$2,HVAC_SYSTEMS,0),2,1),'Saturations and Allocations'!$C$14:$C$15)</f>
        <v>504.5</v>
      </c>
      <c r="AQ51" s="347">
        <f ca="1" t="shared" si="23"/>
        <v>186.14938201357143</v>
      </c>
      <c r="AR51" s="347">
        <f ca="1" t="shared" si="36"/>
        <v>403.95524894535265</v>
      </c>
      <c r="AS51" s="347">
        <f ca="1" t="shared" si="37"/>
        <v>1094.6046309589242</v>
      </c>
      <c r="AT51" s="347">
        <f ca="1" t="shared" si="38"/>
        <v>504.5</v>
      </c>
      <c r="AU51" s="347">
        <f ca="1" t="shared" si="39"/>
        <v>590.1046309589241</v>
      </c>
      <c r="AV51" s="307"/>
      <c r="AX51" s="343"/>
      <c r="AY51" s="311">
        <v>1985</v>
      </c>
      <c r="AZ51" s="345">
        <f t="shared" si="18"/>
        <v>3019715.994697603</v>
      </c>
      <c r="BA51" s="345">
        <f t="shared" si="18"/>
        <v>41289.2</v>
      </c>
      <c r="BB51" s="345">
        <f t="shared" si="18"/>
        <v>3052307.7725883042</v>
      </c>
      <c r="BC51" s="344"/>
      <c r="BD51" s="12"/>
      <c r="BE51" s="339"/>
      <c r="BF51" s="311">
        <v>1985</v>
      </c>
      <c r="BG51" s="346">
        <f t="shared" si="24"/>
        <v>0.14547653740538327</v>
      </c>
      <c r="BH51" s="345">
        <f t="shared" si="19"/>
        <v>444039.1658516845</v>
      </c>
      <c r="BI51" s="351">
        <f t="shared" si="40"/>
        <v>0.0107929944232934</v>
      </c>
      <c r="BJ51" s="340"/>
      <c r="BK51" s="15"/>
      <c r="BL51" s="325"/>
      <c r="BM51" s="311">
        <v>1985</v>
      </c>
      <c r="BN51" s="345">
        <f ca="1" t="shared" si="25"/>
        <v>20783.98</v>
      </c>
      <c r="BO51" s="345">
        <f ca="1" t="shared" si="25"/>
        <v>8780.919601472237</v>
      </c>
      <c r="BP51" s="345">
        <f ca="1" t="shared" si="25"/>
        <v>12982.29693717556</v>
      </c>
      <c r="BQ51" s="345">
        <f ca="1" t="shared" si="26"/>
        <v>42547.19653864779</v>
      </c>
      <c r="BR51" s="345">
        <f ca="1" t="shared" si="27"/>
        <v>33362.32168823021</v>
      </c>
      <c r="BS51" s="345">
        <f ca="1" t="shared" si="27"/>
        <v>9184.87485041759</v>
      </c>
      <c r="BT51" s="307"/>
      <c r="BV51" s="325"/>
      <c r="BW51" s="311">
        <v>1985</v>
      </c>
      <c r="BX51" s="359">
        <f ca="1" t="shared" si="10"/>
        <v>42547.19653864779</v>
      </c>
      <c r="BY51" s="359">
        <f t="shared" si="0"/>
        <v>0</v>
      </c>
      <c r="BZ51" s="360">
        <f ca="1" t="shared" si="11"/>
        <v>0</v>
      </c>
      <c r="CA51" s="307"/>
    </row>
    <row r="52" spans="2:79" ht="12.75">
      <c r="B52" s="362"/>
      <c r="C52" s="311">
        <v>1986</v>
      </c>
      <c r="D52" s="345">
        <f t="shared" si="12"/>
        <v>2737657.2561330628</v>
      </c>
      <c r="E52" s="345">
        <f t="shared" si="13"/>
        <v>33696.6</v>
      </c>
      <c r="F52" s="345">
        <f t="shared" si="14"/>
        <v>2765488.715383961</v>
      </c>
      <c r="G52" s="364"/>
      <c r="H52" s="12"/>
      <c r="I52" s="370"/>
      <c r="J52" s="311">
        <v>1986</v>
      </c>
      <c r="K52" s="346">
        <f t="shared" si="20"/>
        <v>0.16908955177993334</v>
      </c>
      <c r="L52" s="352">
        <f t="shared" si="28"/>
        <v>467615.2473367376</v>
      </c>
      <c r="M52" s="351">
        <f t="shared" si="29"/>
        <v>0.010166159108686346</v>
      </c>
      <c r="N52" s="371"/>
      <c r="O52" s="15"/>
      <c r="P52" s="375"/>
      <c r="Q52" s="311">
        <v>1986</v>
      </c>
      <c r="R52" s="352">
        <f ca="1">E52*FORECAST(Q52,OFFSET('Saturations and Allocations'!$C$13,1,MATCH(B$6,SATURATIONS_HOUSING_TYPE,0)-1+MATCH(B$2,HVAC_SYSTEMS,0),2,1),'Saturations and Allocations'!$C$14:$C$15)</f>
        <v>21902.79</v>
      </c>
      <c r="S52" s="352">
        <f ca="1" t="shared" si="21"/>
        <v>8594.770219458665</v>
      </c>
      <c r="T52" s="352">
        <f ca="1" t="shared" si="30"/>
        <v>11918.14346571672</v>
      </c>
      <c r="U52" s="352">
        <f ca="1" t="shared" si="31"/>
        <v>42415.70368517539</v>
      </c>
      <c r="V52" s="352">
        <f ca="1" t="shared" si="32"/>
        <v>33820.93346571672</v>
      </c>
      <c r="W52" s="352">
        <f ca="1" t="shared" si="33"/>
        <v>8594.770219458665</v>
      </c>
      <c r="X52" s="373"/>
      <c r="Z52" s="343"/>
      <c r="AA52" s="311">
        <v>1986</v>
      </c>
      <c r="AB52" s="345">
        <f t="shared" si="15"/>
        <v>314650.51645524125</v>
      </c>
      <c r="AC52" s="345">
        <f t="shared" si="16"/>
        <v>8352</v>
      </c>
      <c r="AD52" s="345">
        <f t="shared" si="17"/>
        <v>320213.7097536492</v>
      </c>
      <c r="AE52" s="344"/>
      <c r="AF52" s="12"/>
      <c r="AG52" s="339"/>
      <c r="AH52" s="311">
        <v>1986</v>
      </c>
      <c r="AI52" s="346">
        <f t="shared" si="22"/>
        <v>0.03474475328862958</v>
      </c>
      <c r="AJ52" s="347">
        <f t="shared" si="34"/>
        <v>11125.74634502738</v>
      </c>
      <c r="AK52" s="351">
        <f t="shared" si="35"/>
        <v>0.017680547170496386</v>
      </c>
      <c r="AL52" s="340"/>
      <c r="AM52" s="15"/>
      <c r="AN52" s="325"/>
      <c r="AO52" s="311">
        <v>1986</v>
      </c>
      <c r="AP52" s="352">
        <f ca="1">AC52*FORECAST(AO52,OFFSET('Saturations and Allocations'!$C$13,1,MATCH(Z$6,SATURATIONS_HOUSING_TYPE,0)-1+MATCH(Z$2,HVAC_SYSTEMS,0),2,1),'Saturations and Allocations'!$C$14:$C$15)</f>
        <v>417.6</v>
      </c>
      <c r="AQ52" s="347">
        <f ca="1" t="shared" si="23"/>
        <v>186.14938201357143</v>
      </c>
      <c r="AR52" s="347">
        <f ca="1" t="shared" si="36"/>
        <v>463.29436436374124</v>
      </c>
      <c r="AS52" s="347">
        <f ca="1" t="shared" si="37"/>
        <v>1067.0437463773128</v>
      </c>
      <c r="AT52" s="347">
        <f ca="1" t="shared" si="38"/>
        <v>417.6</v>
      </c>
      <c r="AU52" s="347">
        <f ca="1" t="shared" si="39"/>
        <v>649.4437463773127</v>
      </c>
      <c r="AV52" s="307"/>
      <c r="AX52" s="343"/>
      <c r="AY52" s="311">
        <v>1986</v>
      </c>
      <c r="AZ52" s="345">
        <f t="shared" si="18"/>
        <v>3052307.7725883042</v>
      </c>
      <c r="BA52" s="345">
        <f t="shared" si="18"/>
        <v>42048.6</v>
      </c>
      <c r="BB52" s="345">
        <f t="shared" si="18"/>
        <v>3085702.42513761</v>
      </c>
      <c r="BC52" s="344"/>
      <c r="BD52" s="12"/>
      <c r="BE52" s="339"/>
      <c r="BF52" s="311">
        <v>1986</v>
      </c>
      <c r="BG52" s="346">
        <f t="shared" si="24"/>
        <v>0.15514814059246657</v>
      </c>
      <c r="BH52" s="345">
        <f t="shared" si="19"/>
        <v>478740.993681765</v>
      </c>
      <c r="BI52" s="351">
        <f t="shared" si="40"/>
        <v>0.01094078809784893</v>
      </c>
      <c r="BJ52" s="340"/>
      <c r="BK52" s="15"/>
      <c r="BL52" s="325"/>
      <c r="BM52" s="311">
        <v>1986</v>
      </c>
      <c r="BN52" s="345">
        <f ca="1" t="shared" si="25"/>
        <v>22320.39</v>
      </c>
      <c r="BO52" s="345">
        <f ca="1" t="shared" si="25"/>
        <v>8780.919601472237</v>
      </c>
      <c r="BP52" s="345">
        <f ca="1" t="shared" si="25"/>
        <v>12381.43783008046</v>
      </c>
      <c r="BQ52" s="345">
        <f ca="1" t="shared" si="26"/>
        <v>43482.7474315527</v>
      </c>
      <c r="BR52" s="345">
        <f ca="1" t="shared" si="27"/>
        <v>34238.53346571672</v>
      </c>
      <c r="BS52" s="345">
        <f ca="1" t="shared" si="27"/>
        <v>9244.213965835977</v>
      </c>
      <c r="BT52" s="307"/>
      <c r="BV52" s="325"/>
      <c r="BW52" s="311">
        <v>1986</v>
      </c>
      <c r="BX52" s="359">
        <f ca="1" t="shared" si="10"/>
        <v>43482.7474315527</v>
      </c>
      <c r="BY52" s="359">
        <f t="shared" si="0"/>
        <v>0</v>
      </c>
      <c r="BZ52" s="360">
        <f ca="1" t="shared" si="11"/>
        <v>0</v>
      </c>
      <c r="CA52" s="307"/>
    </row>
    <row r="53" spans="2:79" ht="12.75">
      <c r="B53" s="362"/>
      <c r="C53" s="311">
        <v>1987</v>
      </c>
      <c r="D53" s="345">
        <f t="shared" si="12"/>
        <v>2765488.715383961</v>
      </c>
      <c r="E53" s="345">
        <f t="shared" si="13"/>
        <v>33896.5</v>
      </c>
      <c r="F53" s="345">
        <f t="shared" si="14"/>
        <v>2793533.3930868045</v>
      </c>
      <c r="G53" s="364"/>
      <c r="H53" s="12"/>
      <c r="I53" s="370"/>
      <c r="J53" s="311">
        <v>1987</v>
      </c>
      <c r="K53" s="346">
        <f t="shared" si="20"/>
        <v>0.17972452970873576</v>
      </c>
      <c r="L53" s="352">
        <f t="shared" si="28"/>
        <v>502066.47529817483</v>
      </c>
      <c r="M53" s="351">
        <f t="shared" si="29"/>
        <v>0.010140948161110108</v>
      </c>
      <c r="N53" s="371"/>
      <c r="O53" s="15"/>
      <c r="P53" s="375"/>
      <c r="Q53" s="311">
        <v>1987</v>
      </c>
      <c r="R53" s="352">
        <f ca="1">E53*FORECAST(Q53,OFFSET('Saturations and Allocations'!$C$13,1,MATCH(B$6,SATURATIONS_HOUSING_TYPE,0)-1+MATCH(B$2,HVAC_SYSTEMS,0),2,1),'Saturations and Allocations'!$C$14:$C$15)</f>
        <v>22032.725000000002</v>
      </c>
      <c r="S53" s="352">
        <f ca="1" t="shared" si="21"/>
        <v>8594.770219458665</v>
      </c>
      <c r="T53" s="352">
        <f ca="1" t="shared" si="30"/>
        <v>12418.50296143725</v>
      </c>
      <c r="U53" s="352">
        <f ca="1" t="shared" si="31"/>
        <v>43045.99818089591</v>
      </c>
      <c r="V53" s="352">
        <f ca="1" t="shared" si="32"/>
        <v>34451.22796143725</v>
      </c>
      <c r="W53" s="352">
        <f ca="1" t="shared" si="33"/>
        <v>8594.770219458665</v>
      </c>
      <c r="X53" s="373"/>
      <c r="Z53" s="343"/>
      <c r="AA53" s="311">
        <v>1987</v>
      </c>
      <c r="AB53" s="345">
        <f t="shared" si="15"/>
        <v>320213.7097536492</v>
      </c>
      <c r="AC53" s="345">
        <f t="shared" si="16"/>
        <v>7902</v>
      </c>
      <c r="AD53" s="345">
        <f t="shared" si="17"/>
        <v>325356.7069915652</v>
      </c>
      <c r="AE53" s="344"/>
      <c r="AF53" s="12"/>
      <c r="AG53" s="339"/>
      <c r="AH53" s="311">
        <v>1987</v>
      </c>
      <c r="AI53" s="346">
        <f t="shared" si="22"/>
        <v>0.036930043157084036</v>
      </c>
      <c r="AJ53" s="347">
        <f t="shared" si="34"/>
        <v>12015.437230645248</v>
      </c>
      <c r="AK53" s="351">
        <f t="shared" si="35"/>
        <v>0.016061140048852618</v>
      </c>
      <c r="AL53" s="340"/>
      <c r="AM53" s="15"/>
      <c r="AN53" s="325"/>
      <c r="AO53" s="311">
        <v>1987</v>
      </c>
      <c r="AP53" s="352">
        <f ca="1">AC53*FORECAST(AO53,OFFSET('Saturations and Allocations'!$C$13,1,MATCH(Z$6,SATURATIONS_HOUSING_TYPE,0)-1+MATCH(Z$2,HVAC_SYSTEMS,0),2,1),'Saturations and Allocations'!$C$14:$C$15)</f>
        <v>395.1</v>
      </c>
      <c r="AQ53" s="347">
        <f ca="1" t="shared" si="23"/>
        <v>186.14938201357143</v>
      </c>
      <c r="AR53" s="347">
        <f ca="1" t="shared" si="36"/>
        <v>494.590885617867</v>
      </c>
      <c r="AS53" s="347">
        <f ca="1" t="shared" si="37"/>
        <v>1075.8402676314386</v>
      </c>
      <c r="AT53" s="347">
        <f ca="1" t="shared" si="38"/>
        <v>395.1</v>
      </c>
      <c r="AU53" s="347">
        <f ca="1" t="shared" si="39"/>
        <v>680.7402676314384</v>
      </c>
      <c r="AV53" s="307"/>
      <c r="AX53" s="343"/>
      <c r="AY53" s="311">
        <v>1987</v>
      </c>
      <c r="AZ53" s="345">
        <f t="shared" si="18"/>
        <v>3085702.42513761</v>
      </c>
      <c r="BA53" s="345">
        <f t="shared" si="18"/>
        <v>41798.5</v>
      </c>
      <c r="BB53" s="345">
        <f t="shared" si="18"/>
        <v>3118890.1000783695</v>
      </c>
      <c r="BC53" s="344"/>
      <c r="BD53" s="12"/>
      <c r="BE53" s="339"/>
      <c r="BF53" s="311">
        <v>1987</v>
      </c>
      <c r="BG53" s="346">
        <f t="shared" si="24"/>
        <v>0.16482847937344844</v>
      </c>
      <c r="BH53" s="345">
        <f t="shared" si="19"/>
        <v>514081.9125288201</v>
      </c>
      <c r="BI53" s="351">
        <f t="shared" si="40"/>
        <v>0.010755306367327133</v>
      </c>
      <c r="BJ53" s="340"/>
      <c r="BK53" s="15"/>
      <c r="BL53" s="325"/>
      <c r="BM53" s="311">
        <v>1987</v>
      </c>
      <c r="BN53" s="345">
        <f ca="1" t="shared" si="25"/>
        <v>22427.825</v>
      </c>
      <c r="BO53" s="345">
        <f ca="1" t="shared" si="25"/>
        <v>8780.919601472237</v>
      </c>
      <c r="BP53" s="345">
        <f ca="1" t="shared" si="25"/>
        <v>12913.093847055117</v>
      </c>
      <c r="BQ53" s="345">
        <f ca="1" t="shared" si="25"/>
        <v>44121.83844852735</v>
      </c>
      <c r="BR53" s="345">
        <f ca="1" t="shared" si="25"/>
        <v>34846.32796143725</v>
      </c>
      <c r="BS53" s="345">
        <f ca="1" t="shared" si="25"/>
        <v>9275.510487090103</v>
      </c>
      <c r="BT53" s="307"/>
      <c r="BV53" s="325"/>
      <c r="BW53" s="311">
        <v>1987</v>
      </c>
      <c r="BX53" s="359">
        <f ca="1" t="shared" si="10"/>
        <v>44121.83844852735</v>
      </c>
      <c r="BY53" s="359">
        <f t="shared" si="0"/>
        <v>0</v>
      </c>
      <c r="BZ53" s="360">
        <f ca="1" t="shared" si="11"/>
        <v>0</v>
      </c>
      <c r="CA53" s="307"/>
    </row>
    <row r="54" spans="2:79" ht="12.75">
      <c r="B54" s="362"/>
      <c r="C54" s="311">
        <v>1988</v>
      </c>
      <c r="D54" s="345">
        <f t="shared" si="12"/>
        <v>2793533.3930868045</v>
      </c>
      <c r="E54" s="345">
        <f t="shared" si="13"/>
        <v>37379.9</v>
      </c>
      <c r="F54" s="345">
        <f t="shared" si="14"/>
        <v>2825074.758998302</v>
      </c>
      <c r="G54" s="364"/>
      <c r="H54" s="12"/>
      <c r="I54" s="370"/>
      <c r="J54" s="311">
        <v>1988</v>
      </c>
      <c r="K54" s="346">
        <f t="shared" si="20"/>
        <v>0.19035950763753817</v>
      </c>
      <c r="L54" s="352">
        <f t="shared" si="28"/>
        <v>537779.8401621536</v>
      </c>
      <c r="M54" s="351">
        <f t="shared" si="29"/>
        <v>0.011290849785276613</v>
      </c>
      <c r="N54" s="371"/>
      <c r="O54" s="15"/>
      <c r="P54" s="375"/>
      <c r="Q54" s="311">
        <v>1988</v>
      </c>
      <c r="R54" s="352">
        <f ca="1">E54*FORECAST(Q54,OFFSET('Saturations and Allocations'!$C$13,1,MATCH(B$6,SATURATIONS_HOUSING_TYPE,0)-1+MATCH(B$2,HVAC_SYSTEMS,0),2,1),'Saturations and Allocations'!$C$14:$C$15)</f>
        <v>24296.935</v>
      </c>
      <c r="S54" s="352">
        <f ca="1" t="shared" si="21"/>
        <v>8594.770219458665</v>
      </c>
      <c r="T54" s="352">
        <f ca="1" t="shared" si="30"/>
        <v>11416.429863978756</v>
      </c>
      <c r="U54" s="352">
        <f ca="1" t="shared" si="31"/>
        <v>44308.13508343742</v>
      </c>
      <c r="V54" s="352">
        <f ca="1" t="shared" si="32"/>
        <v>35713.36486397876</v>
      </c>
      <c r="W54" s="352">
        <f ca="1" t="shared" si="33"/>
        <v>8594.770219458665</v>
      </c>
      <c r="X54" s="373"/>
      <c r="Z54" s="343"/>
      <c r="AA54" s="311">
        <v>1988</v>
      </c>
      <c r="AB54" s="345">
        <f t="shared" si="15"/>
        <v>325356.7069915652</v>
      </c>
      <c r="AC54" s="345">
        <f t="shared" si="16"/>
        <v>9049</v>
      </c>
      <c r="AD54" s="345">
        <f t="shared" si="17"/>
        <v>331676.1896546907</v>
      </c>
      <c r="AE54" s="344"/>
      <c r="AF54" s="12"/>
      <c r="AG54" s="339"/>
      <c r="AH54" s="311">
        <v>1988</v>
      </c>
      <c r="AI54" s="346">
        <f t="shared" si="22"/>
        <v>0.03911533302553938</v>
      </c>
      <c r="AJ54" s="347">
        <f t="shared" si="34"/>
        <v>12973.624614985185</v>
      </c>
      <c r="AK54" s="351">
        <f t="shared" si="35"/>
        <v>0.019423243865353435</v>
      </c>
      <c r="AL54" s="340"/>
      <c r="AM54" s="15"/>
      <c r="AN54" s="325"/>
      <c r="AO54" s="311">
        <v>1988</v>
      </c>
      <c r="AP54" s="352">
        <f ca="1">AC54*FORECAST(AO54,OFFSET('Saturations and Allocations'!$C$13,1,MATCH(Z$6,SATURATIONS_HOUSING_TYPE,0)-1+MATCH(Z$2,HVAC_SYSTEMS,0),2,1),'Saturations and Allocations'!$C$14:$C$15)</f>
        <v>452.45000000000005</v>
      </c>
      <c r="AQ54" s="347">
        <f ca="1" t="shared" si="23"/>
        <v>186.14938201357143</v>
      </c>
      <c r="AR54" s="347">
        <f ca="1" t="shared" si="36"/>
        <v>505.7373843399371</v>
      </c>
      <c r="AS54" s="347">
        <f ca="1" t="shared" si="37"/>
        <v>1144.3367663535087</v>
      </c>
      <c r="AT54" s="347">
        <f ca="1" t="shared" si="38"/>
        <v>452.45000000000005</v>
      </c>
      <c r="AU54" s="347">
        <f ca="1" t="shared" si="39"/>
        <v>691.8867663535085</v>
      </c>
      <c r="AV54" s="307"/>
      <c r="AX54" s="343"/>
      <c r="AY54" s="311">
        <v>1988</v>
      </c>
      <c r="AZ54" s="345">
        <f t="shared" si="18"/>
        <v>3118890.1000783695</v>
      </c>
      <c r="BA54" s="345">
        <f t="shared" si="18"/>
        <v>46428.9</v>
      </c>
      <c r="BB54" s="345">
        <f t="shared" si="18"/>
        <v>3156750.9486529925</v>
      </c>
      <c r="BC54" s="344"/>
      <c r="BD54" s="12"/>
      <c r="BE54" s="339"/>
      <c r="BF54" s="311">
        <v>1988</v>
      </c>
      <c r="BG54" s="346">
        <f t="shared" si="24"/>
        <v>0.17446845624997726</v>
      </c>
      <c r="BH54" s="345">
        <f t="shared" si="19"/>
        <v>550753.4647771388</v>
      </c>
      <c r="BI54" s="351">
        <f t="shared" si="40"/>
        <v>0.012139205730163916</v>
      </c>
      <c r="BJ54" s="340"/>
      <c r="BK54" s="15"/>
      <c r="BL54" s="325"/>
      <c r="BM54" s="311">
        <v>1988</v>
      </c>
      <c r="BN54" s="345">
        <f ca="1" t="shared" si="25"/>
        <v>24749.385000000002</v>
      </c>
      <c r="BO54" s="345">
        <f ca="1" t="shared" si="25"/>
        <v>8780.919601472237</v>
      </c>
      <c r="BP54" s="345">
        <f ca="1" t="shared" si="25"/>
        <v>11922.167248318692</v>
      </c>
      <c r="BQ54" s="345">
        <f ca="1" t="shared" si="25"/>
        <v>45452.47184979093</v>
      </c>
      <c r="BR54" s="345">
        <f ca="1" t="shared" si="25"/>
        <v>36165.814863978754</v>
      </c>
      <c r="BS54" s="345">
        <f ca="1" t="shared" si="25"/>
        <v>9286.656985812175</v>
      </c>
      <c r="BT54" s="307"/>
      <c r="BV54" s="325"/>
      <c r="BW54" s="311">
        <v>1988</v>
      </c>
      <c r="BX54" s="359">
        <f ca="1" t="shared" si="10"/>
        <v>45452.47184979093</v>
      </c>
      <c r="BY54" s="359">
        <f t="shared" si="0"/>
        <v>0</v>
      </c>
      <c r="BZ54" s="360">
        <f ca="1" t="shared" si="11"/>
        <v>0</v>
      </c>
      <c r="CA54" s="307"/>
    </row>
    <row r="55" spans="2:79" ht="12.75">
      <c r="B55" s="362"/>
      <c r="C55" s="311">
        <v>1989</v>
      </c>
      <c r="D55" s="345">
        <f t="shared" si="12"/>
        <v>2825074.758998302</v>
      </c>
      <c r="E55" s="345">
        <f t="shared" si="13"/>
        <v>45933.1</v>
      </c>
      <c r="F55" s="345">
        <f t="shared" si="14"/>
        <v>2865182.582943837</v>
      </c>
      <c r="G55" s="364"/>
      <c r="H55" s="12"/>
      <c r="I55" s="370"/>
      <c r="J55" s="311">
        <v>1989</v>
      </c>
      <c r="K55" s="346">
        <f t="shared" si="20"/>
        <v>0.20099448556634059</v>
      </c>
      <c r="L55" s="352">
        <f t="shared" si="28"/>
        <v>575885.8993124355</v>
      </c>
      <c r="M55" s="351">
        <f t="shared" si="29"/>
        <v>0.01419708410115006</v>
      </c>
      <c r="N55" s="371"/>
      <c r="O55" s="15"/>
      <c r="P55" s="375"/>
      <c r="Q55" s="311">
        <v>1989</v>
      </c>
      <c r="R55" s="352">
        <f ca="1">E55*FORECAST(Q55,OFFSET('Saturations and Allocations'!$C$13,1,MATCH(B$6,SATURATIONS_HOUSING_TYPE,0)-1+MATCH(B$2,HVAC_SYSTEMS,0),2,1),'Saturations and Allocations'!$C$14:$C$15)</f>
        <v>29856.515</v>
      </c>
      <c r="S55" s="352">
        <f ca="1" t="shared" si="21"/>
        <v>8594.770219458665</v>
      </c>
      <c r="T55" s="352">
        <f ca="1" t="shared" si="30"/>
        <v>8249.544150281945</v>
      </c>
      <c r="U55" s="352">
        <f ca="1" t="shared" si="31"/>
        <v>46700.82936974061</v>
      </c>
      <c r="V55" s="352">
        <f ca="1" t="shared" si="32"/>
        <v>38106.059150281944</v>
      </c>
      <c r="W55" s="352">
        <f ca="1" t="shared" si="33"/>
        <v>8594.770219458665</v>
      </c>
      <c r="X55" s="373"/>
      <c r="Z55" s="343"/>
      <c r="AA55" s="311">
        <v>1989</v>
      </c>
      <c r="AB55" s="345">
        <f t="shared" si="15"/>
        <v>331676.1896546907</v>
      </c>
      <c r="AC55" s="345">
        <f t="shared" si="16"/>
        <v>9967</v>
      </c>
      <c r="AD55" s="345">
        <f t="shared" si="17"/>
        <v>338942.84263268526</v>
      </c>
      <c r="AE55" s="344"/>
      <c r="AF55" s="12"/>
      <c r="AG55" s="339"/>
      <c r="AH55" s="311">
        <v>1989</v>
      </c>
      <c r="AI55" s="346">
        <f t="shared" si="22"/>
        <v>0.04130062289399383</v>
      </c>
      <c r="AJ55" s="347">
        <f t="shared" si="34"/>
        <v>13998.55052619083</v>
      </c>
      <c r="AK55" s="351">
        <f t="shared" si="35"/>
        <v>0.02190887740708769</v>
      </c>
      <c r="AL55" s="340"/>
      <c r="AM55" s="15"/>
      <c r="AN55" s="325"/>
      <c r="AO55" s="311">
        <v>1989</v>
      </c>
      <c r="AP55" s="352">
        <f ca="1">AC55*FORECAST(AO55,OFFSET('Saturations and Allocations'!$C$13,1,MATCH(Z$6,SATURATIONS_HOUSING_TYPE,0)-1+MATCH(Z$2,HVAC_SYSTEMS,0),2,1),'Saturations and Allocations'!$C$14:$C$15)</f>
        <v>498.35</v>
      </c>
      <c r="AQ55" s="347">
        <f ca="1" t="shared" si="23"/>
        <v>186.14938201357143</v>
      </c>
      <c r="AR55" s="347">
        <f ca="1" t="shared" si="36"/>
        <v>526.5759112056443</v>
      </c>
      <c r="AS55" s="347">
        <f ca="1" t="shared" si="37"/>
        <v>1211.0752932192158</v>
      </c>
      <c r="AT55" s="347">
        <f ca="1" t="shared" si="38"/>
        <v>498.35</v>
      </c>
      <c r="AU55" s="347">
        <f ca="1" t="shared" si="39"/>
        <v>712.7252932192157</v>
      </c>
      <c r="AV55" s="307"/>
      <c r="AX55" s="343"/>
      <c r="AY55" s="311">
        <v>1989</v>
      </c>
      <c r="AZ55" s="345">
        <f t="shared" si="18"/>
        <v>3156750.9486529925</v>
      </c>
      <c r="BA55" s="345">
        <f t="shared" si="18"/>
        <v>55900.1</v>
      </c>
      <c r="BB55" s="345">
        <f t="shared" si="18"/>
        <v>3204125.4255765225</v>
      </c>
      <c r="BC55" s="344"/>
      <c r="BD55" s="12"/>
      <c r="BE55" s="339"/>
      <c r="BF55" s="311">
        <v>1989</v>
      </c>
      <c r="BG55" s="346">
        <f t="shared" si="24"/>
        <v>0.18410154768909762</v>
      </c>
      <c r="BH55" s="345">
        <f t="shared" si="19"/>
        <v>589884.4498386263</v>
      </c>
      <c r="BI55" s="351">
        <f t="shared" si="40"/>
        <v>0.01500735334972969</v>
      </c>
      <c r="BJ55" s="340"/>
      <c r="BK55" s="15"/>
      <c r="BL55" s="325"/>
      <c r="BM55" s="311">
        <v>1989</v>
      </c>
      <c r="BN55" s="345">
        <f ca="1" t="shared" si="25"/>
        <v>30354.864999999998</v>
      </c>
      <c r="BO55" s="345">
        <f ca="1" t="shared" si="25"/>
        <v>8780.919601472237</v>
      </c>
      <c r="BP55" s="345">
        <f ca="1" t="shared" si="25"/>
        <v>8776.120061487589</v>
      </c>
      <c r="BQ55" s="345">
        <f ca="1" t="shared" si="25"/>
        <v>47911.90466295983</v>
      </c>
      <c r="BR55" s="345">
        <f ca="1" t="shared" si="25"/>
        <v>38604.40915028194</v>
      </c>
      <c r="BS55" s="345">
        <f ca="1" t="shared" si="25"/>
        <v>9307.49551267788</v>
      </c>
      <c r="BT55" s="307"/>
      <c r="BV55" s="325"/>
      <c r="BW55" s="311">
        <v>1989</v>
      </c>
      <c r="BX55" s="359">
        <f ca="1" t="shared" si="10"/>
        <v>47911.90466295983</v>
      </c>
      <c r="BY55" s="359">
        <f t="shared" si="0"/>
        <v>0</v>
      </c>
      <c r="BZ55" s="360">
        <f ca="1" t="shared" si="11"/>
        <v>0</v>
      </c>
      <c r="CA55" s="307"/>
    </row>
    <row r="56" spans="2:79" ht="12.75">
      <c r="B56" s="362"/>
      <c r="C56" s="311">
        <v>1990</v>
      </c>
      <c r="D56" s="345">
        <f t="shared" si="12"/>
        <v>2865182.582943837</v>
      </c>
      <c r="E56" s="345">
        <f t="shared" si="13"/>
        <v>52299.2</v>
      </c>
      <c r="F56" s="345">
        <f t="shared" si="14"/>
        <v>2911669.734817315</v>
      </c>
      <c r="G56" s="364"/>
      <c r="H56" s="12"/>
      <c r="I56" s="370"/>
      <c r="J56" s="311">
        <v>1990</v>
      </c>
      <c r="K56" s="346">
        <f t="shared" si="20"/>
        <v>0.211629463495143</v>
      </c>
      <c r="L56" s="352">
        <f t="shared" si="28"/>
        <v>616195.1038544336</v>
      </c>
      <c r="M56" s="351">
        <f t="shared" si="29"/>
        <v>0.016224847990564895</v>
      </c>
      <c r="N56" s="371"/>
      <c r="O56" s="15"/>
      <c r="P56" s="375"/>
      <c r="Q56" s="311">
        <v>1990</v>
      </c>
      <c r="R56" s="352">
        <f ca="1">E56*FORECAST(Q56,OFFSET('Saturations and Allocations'!$C$13,1,MATCH(B$6,SATURATIONS_HOUSING_TYPE,0)-1+MATCH(B$2,HVAC_SYSTEMS,0),2,1),'Saturations and Allocations'!$C$14:$C$15)</f>
        <v>33994.479999999996</v>
      </c>
      <c r="S56" s="352">
        <f ca="1" t="shared" si="21"/>
        <v>8594.770219458665</v>
      </c>
      <c r="T56" s="352">
        <f ca="1" t="shared" si="30"/>
        <v>6314.7245419981045</v>
      </c>
      <c r="U56" s="352">
        <f ca="1" t="shared" si="31"/>
        <v>48903.97476145677</v>
      </c>
      <c r="V56" s="352">
        <f ca="1" t="shared" si="32"/>
        <v>40309.2045419981</v>
      </c>
      <c r="W56" s="352">
        <f ca="1" t="shared" si="33"/>
        <v>8594.770219458665</v>
      </c>
      <c r="X56" s="373"/>
      <c r="Z56" s="343"/>
      <c r="AA56" s="311">
        <v>1990</v>
      </c>
      <c r="AB56" s="345">
        <f t="shared" si="15"/>
        <v>338942.84263268526</v>
      </c>
      <c r="AC56" s="345">
        <f t="shared" si="16"/>
        <v>11875</v>
      </c>
      <c r="AD56" s="345">
        <f t="shared" si="17"/>
        <v>348146.35418278835</v>
      </c>
      <c r="AE56" s="344"/>
      <c r="AF56" s="12"/>
      <c r="AG56" s="339"/>
      <c r="AH56" s="311">
        <v>1990</v>
      </c>
      <c r="AI56" s="346">
        <f t="shared" si="22"/>
        <v>0.043485912762449175</v>
      </c>
      <c r="AJ56" s="347">
        <f t="shared" si="34"/>
        <v>15139.461986557466</v>
      </c>
      <c r="AK56" s="351">
        <f t="shared" si="35"/>
        <v>0.027153579873869793</v>
      </c>
      <c r="AL56" s="340"/>
      <c r="AM56" s="15"/>
      <c r="AN56" s="325"/>
      <c r="AO56" s="311">
        <v>1990</v>
      </c>
      <c r="AP56" s="352">
        <f ca="1">AC56*FORECAST(AO56,OFFSET('Saturations and Allocations'!$C$13,1,MATCH(Z$6,SATURATIONS_HOUSING_TYPE,0)-1+MATCH(Z$2,HVAC_SYSTEMS,0),2,1),'Saturations and Allocations'!$C$14:$C$15)</f>
        <v>593.75</v>
      </c>
      <c r="AQ56" s="347">
        <f ca="1" t="shared" si="23"/>
        <v>186.14938201357143</v>
      </c>
      <c r="AR56" s="347">
        <f ca="1" t="shared" si="36"/>
        <v>547.1614603666367</v>
      </c>
      <c r="AS56" s="347">
        <f ca="1" t="shared" si="37"/>
        <v>1327.0608423802082</v>
      </c>
      <c r="AT56" s="347">
        <f ca="1" t="shared" si="38"/>
        <v>593.75</v>
      </c>
      <c r="AU56" s="347">
        <f ca="1" t="shared" si="39"/>
        <v>733.3108423802081</v>
      </c>
      <c r="AV56" s="307"/>
      <c r="AX56" s="343"/>
      <c r="AY56" s="311">
        <v>1990</v>
      </c>
      <c r="AZ56" s="345">
        <f t="shared" si="18"/>
        <v>3204125.4255765225</v>
      </c>
      <c r="BA56" s="345">
        <f t="shared" si="18"/>
        <v>64174.2</v>
      </c>
      <c r="BB56" s="345">
        <f t="shared" si="18"/>
        <v>3259816.089000103</v>
      </c>
      <c r="BC56" s="344"/>
      <c r="BD56" s="12"/>
      <c r="BE56" s="339"/>
      <c r="BF56" s="311">
        <v>1990</v>
      </c>
      <c r="BG56" s="346">
        <f t="shared" si="24"/>
        <v>0.19367183565090107</v>
      </c>
      <c r="BH56" s="345">
        <f t="shared" si="19"/>
        <v>631334.5658409911</v>
      </c>
      <c r="BI56" s="351">
        <f t="shared" si="40"/>
        <v>0.01738092490981691</v>
      </c>
      <c r="BJ56" s="340"/>
      <c r="BK56" s="15"/>
      <c r="BL56" s="325"/>
      <c r="BM56" s="311">
        <v>1990</v>
      </c>
      <c r="BN56" s="345">
        <f ca="1" t="shared" si="25"/>
        <v>34588.229999999996</v>
      </c>
      <c r="BO56" s="345">
        <f ca="1" t="shared" si="25"/>
        <v>8780.919601472237</v>
      </c>
      <c r="BP56" s="345">
        <f ca="1" t="shared" si="25"/>
        <v>6861.886002364741</v>
      </c>
      <c r="BQ56" s="345">
        <f ca="1" t="shared" si="25"/>
        <v>50231.03560383698</v>
      </c>
      <c r="BR56" s="345">
        <f ca="1" t="shared" si="25"/>
        <v>40902.9545419981</v>
      </c>
      <c r="BS56" s="345">
        <f ca="1" t="shared" si="25"/>
        <v>9328.081061838873</v>
      </c>
      <c r="BT56" s="307"/>
      <c r="BV56" s="325"/>
      <c r="BW56" s="311">
        <v>1990</v>
      </c>
      <c r="BX56" s="359">
        <f ca="1" t="shared" si="10"/>
        <v>50231.03560383698</v>
      </c>
      <c r="BY56" s="359">
        <f t="shared" si="0"/>
        <v>0</v>
      </c>
      <c r="BZ56" s="360">
        <f ca="1" t="shared" si="11"/>
        <v>0</v>
      </c>
      <c r="CA56" s="307"/>
    </row>
    <row r="57" spans="2:79" ht="13.5" thickBot="1">
      <c r="B57" s="362"/>
      <c r="C57" s="311">
        <v>1991</v>
      </c>
      <c r="D57" s="345">
        <f t="shared" si="12"/>
        <v>2911669.734817315</v>
      </c>
      <c r="E57" s="345">
        <f t="shared" si="13"/>
        <v>45813.8</v>
      </c>
      <c r="F57" s="345">
        <f t="shared" si="14"/>
        <v>2951684.684581003</v>
      </c>
      <c r="G57" s="364"/>
      <c r="H57" s="12"/>
      <c r="I57" s="370"/>
      <c r="J57" s="311">
        <v>1991</v>
      </c>
      <c r="K57" s="346">
        <f t="shared" si="20"/>
        <v>0.2222644414239454</v>
      </c>
      <c r="L57" s="352">
        <f t="shared" si="28"/>
        <v>656054.5476780111</v>
      </c>
      <c r="M57" s="351">
        <f t="shared" si="29"/>
        <v>0.013742956244382931</v>
      </c>
      <c r="N57" s="371"/>
      <c r="O57" s="15"/>
      <c r="P57" s="375"/>
      <c r="Q57" s="311">
        <v>1991</v>
      </c>
      <c r="R57" s="352">
        <f ca="1">E57*FORECAST(Q57,OFFSET('Saturations and Allocations'!$C$13,1,MATCH(B$6,SATURATIONS_HOUSING_TYPE,0)-1+MATCH(B$2,HVAC_SYSTEMS,0),2,1),'Saturations and Allocations'!$C$14:$C$15)</f>
        <v>29778.97</v>
      </c>
      <c r="S57" s="352">
        <f ca="1" t="shared" si="21"/>
        <v>8594.770219458665</v>
      </c>
      <c r="T57" s="352">
        <f ca="1" t="shared" si="30"/>
        <v>10080.473823577486</v>
      </c>
      <c r="U57" s="352">
        <f ca="1" t="shared" si="31"/>
        <v>48454.214043036154</v>
      </c>
      <c r="V57" s="352">
        <f ca="1" t="shared" si="32"/>
        <v>39859.44382357749</v>
      </c>
      <c r="W57" s="352">
        <f ca="1" t="shared" si="33"/>
        <v>8594.770219458665</v>
      </c>
      <c r="X57" s="373"/>
      <c r="Z57" s="343"/>
      <c r="AA57" s="311">
        <v>1991</v>
      </c>
      <c r="AB57" s="345">
        <f t="shared" si="15"/>
        <v>348146.35418278835</v>
      </c>
      <c r="AC57" s="345">
        <f t="shared" si="16"/>
        <v>11815</v>
      </c>
      <c r="AD57" s="345">
        <f t="shared" si="17"/>
        <v>357318.41589383007</v>
      </c>
      <c r="AE57" s="344"/>
      <c r="AF57" s="12"/>
      <c r="AG57" s="339"/>
      <c r="AH57" s="311">
        <v>1991</v>
      </c>
      <c r="AI57" s="346">
        <f t="shared" si="22"/>
        <v>0.04567120263090363</v>
      </c>
      <c r="AJ57" s="347">
        <f t="shared" si="34"/>
        <v>16319.16177604061</v>
      </c>
      <c r="AK57" s="351">
        <f t="shared" si="35"/>
        <v>0.026345419392862723</v>
      </c>
      <c r="AL57" s="340"/>
      <c r="AM57" s="15"/>
      <c r="AN57" s="325"/>
      <c r="AO57" s="311">
        <v>1991</v>
      </c>
      <c r="AP57" s="352">
        <f ca="1">AC57*FORECAST(AO57,OFFSET('Saturations and Allocations'!$C$13,1,MATCH(Z$6,SATURATIONS_HOUSING_TYPE,0)-1+MATCH(Z$2,HVAC_SYSTEMS,0),2,1),'Saturations and Allocations'!$C$14:$C$15)</f>
        <v>590.75</v>
      </c>
      <c r="AQ57" s="347">
        <f ca="1" t="shared" si="23"/>
        <v>186.14938201357143</v>
      </c>
      <c r="AR57" s="347">
        <f ca="1" t="shared" si="36"/>
        <v>588.9497894831438</v>
      </c>
      <c r="AS57" s="347">
        <f ca="1" t="shared" si="37"/>
        <v>1365.8491714967154</v>
      </c>
      <c r="AT57" s="347">
        <f ca="1" t="shared" si="38"/>
        <v>590.75</v>
      </c>
      <c r="AU57" s="347">
        <f ca="1" t="shared" si="39"/>
        <v>775.0991714967153</v>
      </c>
      <c r="AV57" s="307"/>
      <c r="AX57" s="343"/>
      <c r="AY57" s="311">
        <v>1991</v>
      </c>
      <c r="AZ57" s="345">
        <f t="shared" si="18"/>
        <v>3259816.089000103</v>
      </c>
      <c r="BA57" s="345">
        <f t="shared" si="18"/>
        <v>57628.8</v>
      </c>
      <c r="BB57" s="345">
        <f t="shared" si="18"/>
        <v>3309003.100474833</v>
      </c>
      <c r="BC57" s="344"/>
      <c r="BD57" s="12"/>
      <c r="BE57" s="339"/>
      <c r="BF57" s="311">
        <v>1991</v>
      </c>
      <c r="BG57" s="346">
        <f t="shared" si="24"/>
        <v>0.20319524915451662</v>
      </c>
      <c r="BH57" s="345">
        <f t="shared" si="19"/>
        <v>672373.7094540517</v>
      </c>
      <c r="BI57" s="351">
        <f t="shared" si="40"/>
        <v>0.015088891560694595</v>
      </c>
      <c r="BJ57" s="340"/>
      <c r="BK57" s="15"/>
      <c r="BL57" s="325"/>
      <c r="BM57" s="311">
        <v>1991</v>
      </c>
      <c r="BN57" s="345">
        <f ca="1" t="shared" si="25"/>
        <v>30369.72</v>
      </c>
      <c r="BO57" s="345">
        <f ca="1" t="shared" si="25"/>
        <v>8780.919601472237</v>
      </c>
      <c r="BP57" s="345">
        <f ca="1" t="shared" si="25"/>
        <v>10669.42361306063</v>
      </c>
      <c r="BQ57" s="345">
        <f ca="1" t="shared" si="25"/>
        <v>49820.06321453287</v>
      </c>
      <c r="BR57" s="345">
        <f ca="1" t="shared" si="25"/>
        <v>40450.19382357749</v>
      </c>
      <c r="BS57" s="345">
        <f ca="1" t="shared" si="25"/>
        <v>9369.86939095538</v>
      </c>
      <c r="BT57" s="307"/>
      <c r="BV57" s="325"/>
      <c r="BW57" s="311">
        <v>1991</v>
      </c>
      <c r="BX57" s="359">
        <f ca="1" t="shared" si="10"/>
        <v>49820.06321453287</v>
      </c>
      <c r="BY57" s="359">
        <f t="shared" si="0"/>
        <v>0</v>
      </c>
      <c r="BZ57" s="360">
        <f ca="1" t="shared" si="11"/>
        <v>0</v>
      </c>
      <c r="CA57" s="307"/>
    </row>
    <row r="58" spans="2:79" ht="13.5" thickBot="1">
      <c r="B58" s="362"/>
      <c r="C58" s="311">
        <v>1992</v>
      </c>
      <c r="D58" s="345">
        <f t="shared" si="12"/>
        <v>2951684.684581003</v>
      </c>
      <c r="E58" s="345">
        <f t="shared" si="13"/>
        <v>56749.3</v>
      </c>
      <c r="F58" s="345">
        <f t="shared" si="14"/>
        <v>3002648.30226538</v>
      </c>
      <c r="G58" s="364"/>
      <c r="H58" s="12"/>
      <c r="I58" s="370"/>
      <c r="J58" s="311">
        <v>1992</v>
      </c>
      <c r="K58" s="349">
        <f>INDEX(SATURATIONS_TABLE,MATCH(J58,SATURATIONS_YEARS,0),MATCH(B$6,SATURATIONS_HOUSING_TYPE,0)-1+MATCH(B$2,HVAC_SYSTEMS,0))</f>
        <v>0.23289941935275071</v>
      </c>
      <c r="L58" s="352">
        <f t="shared" si="28"/>
        <v>699315.0461181297</v>
      </c>
      <c r="M58" s="351">
        <f t="shared" si="29"/>
        <v>0.017265942378805077</v>
      </c>
      <c r="N58" s="371"/>
      <c r="O58" s="15"/>
      <c r="P58" s="375"/>
      <c r="Q58" s="311">
        <v>1992</v>
      </c>
      <c r="R58" s="352">
        <f ca="1">E58*FORECAST(Q58,OFFSET('Saturations and Allocations'!$C$13,1,MATCH(B$6,SATURATIONS_HOUSING_TYPE,0)-1+MATCH(B$2,HVAC_SYSTEMS,0),2,1),'Saturations and Allocations'!$C$14:$C$15)</f>
        <v>36887.045000000006</v>
      </c>
      <c r="S58" s="352">
        <f ca="1" t="shared" si="21"/>
        <v>8594.770219458665</v>
      </c>
      <c r="T58" s="352">
        <f ca="1" t="shared" si="30"/>
        <v>6373.453440118617</v>
      </c>
      <c r="U58" s="352">
        <f ca="1" t="shared" si="31"/>
        <v>51855.26865957729</v>
      </c>
      <c r="V58" s="352">
        <f ca="1" t="shared" si="32"/>
        <v>43260.49844011862</v>
      </c>
      <c r="W58" s="352">
        <f ca="1" t="shared" si="33"/>
        <v>8594.770219458665</v>
      </c>
      <c r="X58" s="373"/>
      <c r="Z58" s="343"/>
      <c r="AA58" s="311">
        <v>1992</v>
      </c>
      <c r="AB58" s="345">
        <f t="shared" si="15"/>
        <v>357318.41589383007</v>
      </c>
      <c r="AC58" s="345">
        <f t="shared" si="16"/>
        <v>13784</v>
      </c>
      <c r="AD58" s="345">
        <f t="shared" si="17"/>
        <v>368487.72265062656</v>
      </c>
      <c r="AE58" s="344"/>
      <c r="AF58" s="12"/>
      <c r="AG58" s="339"/>
      <c r="AH58" s="311">
        <v>1992</v>
      </c>
      <c r="AI58" s="349">
        <f>INDEX(SATURATIONS_TABLE,MATCH(AH58,SATURATIONS_YEARS,0),MATCH(Z$6,SATURATIONS_HOUSING_TYPE,0)-1+MATCH(Z$2,HVAC_SYSTEMS,0))</f>
        <v>0.04785649249935811</v>
      </c>
      <c r="AJ58" s="347">
        <f t="shared" si="34"/>
        <v>17634.529935135262</v>
      </c>
      <c r="AK58" s="351">
        <f t="shared" si="35"/>
        <v>0.031258693255024506</v>
      </c>
      <c r="AL58" s="340"/>
      <c r="AM58" s="15"/>
      <c r="AN58" s="325"/>
      <c r="AO58" s="311">
        <v>1992</v>
      </c>
      <c r="AP58" s="352">
        <f ca="1">AC58*FORECAST(AO58,OFFSET('Saturations and Allocations'!$C$13,1,MATCH(Z$6,SATURATIONS_HOUSING_TYPE,0)-1+MATCH(Z$2,HVAC_SYSTEMS,0),2,1),'Saturations and Allocations'!$C$14:$C$15)</f>
        <v>689.2</v>
      </c>
      <c r="AQ58" s="347">
        <f ca="1" t="shared" si="23"/>
        <v>186.14938201357143</v>
      </c>
      <c r="AR58" s="347">
        <f ca="1" t="shared" si="36"/>
        <v>626.1681590946525</v>
      </c>
      <c r="AS58" s="347">
        <f ca="1" t="shared" si="37"/>
        <v>1501.5175411082241</v>
      </c>
      <c r="AT58" s="347">
        <f ca="1" t="shared" si="38"/>
        <v>689.2</v>
      </c>
      <c r="AU58" s="347">
        <f ca="1" t="shared" si="39"/>
        <v>812.317541108224</v>
      </c>
      <c r="AV58" s="307"/>
      <c r="AX58" s="343"/>
      <c r="AY58" s="311">
        <v>1992</v>
      </c>
      <c r="AZ58" s="345">
        <f t="shared" si="18"/>
        <v>3309003.100474833</v>
      </c>
      <c r="BA58" s="345">
        <f t="shared" si="18"/>
        <v>70533.3</v>
      </c>
      <c r="BB58" s="345">
        <f t="shared" si="18"/>
        <v>3371136.0249160067</v>
      </c>
      <c r="BC58" s="344"/>
      <c r="BD58" s="12"/>
      <c r="BE58" s="339"/>
      <c r="BF58" s="311">
        <v>1992</v>
      </c>
      <c r="BG58" s="346">
        <f t="shared" si="24"/>
        <v>0.2126729893882369</v>
      </c>
      <c r="BH58" s="345">
        <f t="shared" si="19"/>
        <v>716949.576053265</v>
      </c>
      <c r="BI58" s="351">
        <f t="shared" si="40"/>
        <v>0.018776931466838898</v>
      </c>
      <c r="BJ58" s="340"/>
      <c r="BK58" s="15"/>
      <c r="BL58" s="325"/>
      <c r="BM58" s="311">
        <v>1992</v>
      </c>
      <c r="BN58" s="345">
        <f ca="1" t="shared" si="25"/>
        <v>37576.245</v>
      </c>
      <c r="BO58" s="345">
        <f ca="1" t="shared" si="25"/>
        <v>8780.919601472237</v>
      </c>
      <c r="BP58" s="345">
        <f ca="1" t="shared" si="25"/>
        <v>6999.62159921327</v>
      </c>
      <c r="BQ58" s="345">
        <f ca="1" t="shared" si="25"/>
        <v>53356.786200685514</v>
      </c>
      <c r="BR58" s="345">
        <f ca="1" t="shared" si="25"/>
        <v>43949.69844011862</v>
      </c>
      <c r="BS58" s="345">
        <f ca="1" t="shared" si="25"/>
        <v>9407.08776056689</v>
      </c>
      <c r="BT58" s="307"/>
      <c r="BV58" s="325"/>
      <c r="BW58" s="311">
        <v>1992</v>
      </c>
      <c r="BX58" s="359">
        <f ca="1" t="shared" si="10"/>
        <v>53356.786200685514</v>
      </c>
      <c r="BY58" s="359">
        <f t="shared" si="0"/>
        <v>0</v>
      </c>
      <c r="BZ58" s="360">
        <f ca="1" t="shared" si="11"/>
        <v>0</v>
      </c>
      <c r="CA58" s="307"/>
    </row>
    <row r="59" spans="2:79" ht="12.75">
      <c r="B59" s="362"/>
      <c r="C59" s="311">
        <v>1993</v>
      </c>
      <c r="D59" s="345">
        <f t="shared" si="12"/>
        <v>3002648.30226538</v>
      </c>
      <c r="E59" s="345">
        <f t="shared" si="13"/>
        <v>62971.3</v>
      </c>
      <c r="F59" s="345">
        <f t="shared" si="14"/>
        <v>3059847.0579689774</v>
      </c>
      <c r="G59" s="364"/>
      <c r="H59" s="12"/>
      <c r="I59" s="370"/>
      <c r="J59" s="311">
        <v>1993</v>
      </c>
      <c r="K59" s="346">
        <f>(K$77-K$58)/(J$77-J$58)+K58</f>
        <v>0.24353439728155332</v>
      </c>
      <c r="L59" s="352">
        <f t="shared" si="28"/>
        <v>745178.0090362091</v>
      </c>
      <c r="M59" s="351">
        <f t="shared" si="29"/>
        <v>0.0190494356799773</v>
      </c>
      <c r="N59" s="371"/>
      <c r="O59" s="15"/>
      <c r="P59" s="375"/>
      <c r="Q59" s="311">
        <v>1993</v>
      </c>
      <c r="R59" s="352">
        <f ca="1">E59*FORECAST(Q59,OFFSET('Saturations and Allocations'!$C$13,1,MATCH(B$6,SATURATIONS_HOUSING_TYPE,0)-1+MATCH(B$2,HVAC_SYSTEMS,0),2,1),'Saturations and Allocations'!$C$14:$C$15)</f>
        <v>40931.345</v>
      </c>
      <c r="S59" s="352">
        <f ca="1" t="shared" si="21"/>
        <v>8594.770219458665</v>
      </c>
      <c r="T59" s="352">
        <f ca="1">L59-L58-R59</f>
        <v>4931.617918079341</v>
      </c>
      <c r="U59" s="352">
        <f ca="1" t="shared" si="31"/>
        <v>54457.73313753801</v>
      </c>
      <c r="V59" s="352">
        <f ca="1" t="shared" si="32"/>
        <v>45862.96291807934</v>
      </c>
      <c r="W59" s="352">
        <f ca="1" t="shared" si="33"/>
        <v>8594.770219458665</v>
      </c>
      <c r="X59" s="373"/>
      <c r="Z59" s="343"/>
      <c r="AA59" s="311">
        <v>1993</v>
      </c>
      <c r="AB59" s="345">
        <f t="shared" si="15"/>
        <v>368487.72265062656</v>
      </c>
      <c r="AC59" s="345">
        <f t="shared" si="16"/>
        <v>17535</v>
      </c>
      <c r="AD59" s="345">
        <f t="shared" si="17"/>
        <v>383435.97259875573</v>
      </c>
      <c r="AE59" s="344"/>
      <c r="AF59" s="12"/>
      <c r="AG59" s="339"/>
      <c r="AH59" s="311">
        <v>1993</v>
      </c>
      <c r="AI59" s="346">
        <f>(AI$77-AI$58)/(AH$77-AH$58)+AI58</f>
        <v>0.05004178236781295</v>
      </c>
      <c r="AJ59" s="347">
        <f t="shared" si="34"/>
        <v>19187.819492777624</v>
      </c>
      <c r="AK59" s="351">
        <f t="shared" si="35"/>
        <v>0.04056648031745147</v>
      </c>
      <c r="AL59" s="340"/>
      <c r="AM59" s="15"/>
      <c r="AN59" s="325"/>
      <c r="AO59" s="311">
        <v>1993</v>
      </c>
      <c r="AP59" s="352">
        <f ca="1">AC59*FORECAST(AO59,OFFSET('Saturations and Allocations'!$C$13,1,MATCH(Z$6,SATURATIONS_HOUSING_TYPE,0)-1+MATCH(Z$2,HVAC_SYSTEMS,0),2,1),'Saturations and Allocations'!$C$14:$C$15)</f>
        <v>876.75</v>
      </c>
      <c r="AQ59" s="347">
        <f ca="1" t="shared" si="23"/>
        <v>186.14938201357143</v>
      </c>
      <c r="AR59" s="347">
        <f ca="1" t="shared" si="36"/>
        <v>676.5395576423616</v>
      </c>
      <c r="AS59" s="347">
        <f ca="1" t="shared" si="37"/>
        <v>1739.4389396559332</v>
      </c>
      <c r="AT59" s="347">
        <f ca="1" t="shared" si="38"/>
        <v>876.75</v>
      </c>
      <c r="AU59" s="347">
        <f ca="1" t="shared" si="39"/>
        <v>862.688939655933</v>
      </c>
      <c r="AV59" s="307"/>
      <c r="AX59" s="343"/>
      <c r="AY59" s="311">
        <v>1993</v>
      </c>
      <c r="AZ59" s="345">
        <f t="shared" si="18"/>
        <v>3371136.0249160067</v>
      </c>
      <c r="BA59" s="345">
        <f t="shared" si="18"/>
        <v>80506.3</v>
      </c>
      <c r="BB59" s="345">
        <f t="shared" si="18"/>
        <v>3443283.030567733</v>
      </c>
      <c r="BC59" s="344"/>
      <c r="BD59" s="12"/>
      <c r="BE59" s="339"/>
      <c r="BF59" s="311">
        <v>1993</v>
      </c>
      <c r="BG59" s="346">
        <f t="shared" si="24"/>
        <v>0.22198751068190783</v>
      </c>
      <c r="BH59" s="345">
        <f t="shared" si="19"/>
        <v>764365.8285289867</v>
      </c>
      <c r="BI59" s="351">
        <f t="shared" si="40"/>
        <v>0.021401392622097948</v>
      </c>
      <c r="BJ59" s="340"/>
      <c r="BK59" s="15"/>
      <c r="BL59" s="325"/>
      <c r="BM59" s="311">
        <v>1993</v>
      </c>
      <c r="BN59" s="345">
        <f ca="1" t="shared" si="25"/>
        <v>41808.095</v>
      </c>
      <c r="BO59" s="345">
        <f ca="1" t="shared" si="25"/>
        <v>8780.919601472237</v>
      </c>
      <c r="BP59" s="345">
        <f ca="1" t="shared" si="25"/>
        <v>5608.157475721702</v>
      </c>
      <c r="BQ59" s="345">
        <f ca="1" t="shared" si="25"/>
        <v>56197.17207719394</v>
      </c>
      <c r="BR59" s="345">
        <f ca="1" t="shared" si="25"/>
        <v>46739.71291807934</v>
      </c>
      <c r="BS59" s="345">
        <f ca="1" t="shared" si="25"/>
        <v>9457.459159114598</v>
      </c>
      <c r="BT59" s="307"/>
      <c r="BV59" s="325"/>
      <c r="BW59" s="311">
        <v>1993</v>
      </c>
      <c r="BX59" s="359">
        <f ca="1" t="shared" si="10"/>
        <v>56197.17207719394</v>
      </c>
      <c r="BY59" s="359">
        <f t="shared" si="0"/>
        <v>0</v>
      </c>
      <c r="BZ59" s="360">
        <f ca="1" t="shared" si="11"/>
        <v>0</v>
      </c>
      <c r="CA59" s="307"/>
    </row>
    <row r="60" spans="2:79" ht="12.75">
      <c r="B60" s="362"/>
      <c r="C60" s="311">
        <v>1994</v>
      </c>
      <c r="D60" s="345">
        <f t="shared" si="12"/>
        <v>3059847.0579689774</v>
      </c>
      <c r="E60" s="345">
        <f t="shared" si="13"/>
        <v>66755.1</v>
      </c>
      <c r="F60" s="345">
        <f t="shared" si="14"/>
        <v>3120842.721858227</v>
      </c>
      <c r="G60" s="364"/>
      <c r="H60" s="12"/>
      <c r="I60" s="370"/>
      <c r="J60" s="311">
        <v>1994</v>
      </c>
      <c r="K60" s="346">
        <f aca="true" t="shared" si="41" ref="K60:K76">(K$77-K$58)/(J$77-J$58)+K59</f>
        <v>0.25416937521035593</v>
      </c>
      <c r="L60" s="352">
        <f t="shared" si="28"/>
        <v>793222.6447444923</v>
      </c>
      <c r="M60" s="351">
        <f t="shared" si="29"/>
        <v>0.019934219826574173</v>
      </c>
      <c r="N60" s="371"/>
      <c r="O60" s="15"/>
      <c r="P60" s="375"/>
      <c r="Q60" s="311">
        <v>1994</v>
      </c>
      <c r="R60" s="352">
        <f ca="1">E60*FORECAST(Q60,OFFSET('Saturations and Allocations'!$C$13,1,MATCH(B$6,SATURATIONS_HOUSING_TYPE,0)-1+MATCH(B$2,HVAC_SYSTEMS,0),2,1),'Saturations and Allocations'!$C$14:$C$15)</f>
        <v>43390.815</v>
      </c>
      <c r="S60" s="352">
        <f ca="1" t="shared" si="21"/>
        <v>8594.770219458665</v>
      </c>
      <c r="T60" s="352">
        <f ca="1" t="shared" si="30"/>
        <v>4653.820708283165</v>
      </c>
      <c r="U60" s="352">
        <f ca="1" t="shared" si="31"/>
        <v>56639.405927741835</v>
      </c>
      <c r="V60" s="352">
        <f ca="1" t="shared" si="32"/>
        <v>48044.63570828317</v>
      </c>
      <c r="W60" s="352">
        <f ca="1" t="shared" si="33"/>
        <v>8594.770219458665</v>
      </c>
      <c r="X60" s="373"/>
      <c r="Z60" s="343"/>
      <c r="AA60" s="311">
        <v>1994</v>
      </c>
      <c r="AB60" s="345">
        <f t="shared" si="15"/>
        <v>383435.97259875573</v>
      </c>
      <c r="AC60" s="345">
        <f t="shared" si="16"/>
        <v>20512</v>
      </c>
      <c r="AD60" s="345">
        <f t="shared" si="17"/>
        <v>401388.8671097097</v>
      </c>
      <c r="AE60" s="344"/>
      <c r="AF60" s="12"/>
      <c r="AG60" s="339"/>
      <c r="AH60" s="311">
        <v>1994</v>
      </c>
      <c r="AI60" s="346">
        <f aca="true" t="shared" si="42" ref="AI60:AI76">(AI$77-AI$58)/(AH$77-AH$58)+AI59</f>
        <v>0.05222707223626778</v>
      </c>
      <c r="AJ60" s="347">
        <f t="shared" si="34"/>
        <v>20963.3653573725</v>
      </c>
      <c r="AK60" s="351">
        <f t="shared" si="35"/>
        <v>0.04682110128916017</v>
      </c>
      <c r="AL60" s="340"/>
      <c r="AM60" s="15"/>
      <c r="AN60" s="325"/>
      <c r="AO60" s="311">
        <v>1994</v>
      </c>
      <c r="AP60" s="352">
        <f ca="1">AC60*FORECAST(AO60,OFFSET('Saturations and Allocations'!$C$13,1,MATCH(Z$6,SATURATIONS_HOUSING_TYPE,0)-1+MATCH(Z$2,HVAC_SYSTEMS,0),2,1),'Saturations and Allocations'!$C$14:$C$15)</f>
        <v>1025.6000000000001</v>
      </c>
      <c r="AQ60" s="347">
        <f ca="1" t="shared" si="23"/>
        <v>186.14938201357143</v>
      </c>
      <c r="AR60" s="347">
        <f ca="1" t="shared" si="36"/>
        <v>749.9458645948746</v>
      </c>
      <c r="AS60" s="347">
        <f ca="1" t="shared" si="37"/>
        <v>1961.695246608446</v>
      </c>
      <c r="AT60" s="347">
        <f ca="1" t="shared" si="38"/>
        <v>1025.6000000000001</v>
      </c>
      <c r="AU60" s="347">
        <f ca="1" t="shared" si="39"/>
        <v>936.095246608446</v>
      </c>
      <c r="AV60" s="307"/>
      <c r="AX60" s="343"/>
      <c r="AY60" s="311">
        <v>1994</v>
      </c>
      <c r="AZ60" s="345">
        <f t="shared" si="18"/>
        <v>3443283.030567733</v>
      </c>
      <c r="BA60" s="345">
        <f t="shared" si="18"/>
        <v>87267.1</v>
      </c>
      <c r="BB60" s="345">
        <f t="shared" si="18"/>
        <v>3522231.588967937</v>
      </c>
      <c r="BC60" s="344"/>
      <c r="BD60" s="12"/>
      <c r="BE60" s="339"/>
      <c r="BF60" s="311">
        <v>1994</v>
      </c>
      <c r="BG60" s="346">
        <f t="shared" si="24"/>
        <v>0.23115629666487447</v>
      </c>
      <c r="BH60" s="345">
        <f t="shared" si="19"/>
        <v>814186.0101018647</v>
      </c>
      <c r="BI60" s="351">
        <f t="shared" si="40"/>
        <v>0.022928280277670687</v>
      </c>
      <c r="BJ60" s="340"/>
      <c r="BK60" s="15"/>
      <c r="BL60" s="325"/>
      <c r="BM60" s="311">
        <v>1994</v>
      </c>
      <c r="BN60" s="345">
        <f ca="1" t="shared" si="25"/>
        <v>44416.415</v>
      </c>
      <c r="BO60" s="345">
        <f ca="1" t="shared" si="25"/>
        <v>8780.919601472237</v>
      </c>
      <c r="BP60" s="345">
        <f ca="1" t="shared" si="25"/>
        <v>5403.766572878039</v>
      </c>
      <c r="BQ60" s="345">
        <f ca="1" t="shared" si="25"/>
        <v>58601.10117435028</v>
      </c>
      <c r="BR60" s="345">
        <f ca="1" t="shared" si="25"/>
        <v>49070.235708283166</v>
      </c>
      <c r="BS60" s="345">
        <f ca="1" t="shared" si="25"/>
        <v>9530.86546606711</v>
      </c>
      <c r="BT60" s="307"/>
      <c r="BV60" s="325"/>
      <c r="BW60" s="311">
        <v>1994</v>
      </c>
      <c r="BX60" s="359">
        <f ca="1" t="shared" si="10"/>
        <v>58601.10117435028</v>
      </c>
      <c r="BY60" s="359">
        <f t="shared" si="0"/>
        <v>0</v>
      </c>
      <c r="BZ60" s="360">
        <f ca="1" t="shared" si="11"/>
        <v>0</v>
      </c>
      <c r="CA60" s="307"/>
    </row>
    <row r="61" spans="2:79" ht="12.75">
      <c r="B61" s="362"/>
      <c r="C61" s="311">
        <v>1995</v>
      </c>
      <c r="D61" s="345">
        <f t="shared" si="12"/>
        <v>3120842.721858227</v>
      </c>
      <c r="E61" s="345">
        <f t="shared" si="13"/>
        <v>59583.7</v>
      </c>
      <c r="F61" s="345">
        <f t="shared" si="14"/>
        <v>3174680.0641673063</v>
      </c>
      <c r="G61" s="364"/>
      <c r="H61" s="12"/>
      <c r="I61" s="370"/>
      <c r="J61" s="311">
        <v>1995</v>
      </c>
      <c r="K61" s="346">
        <f t="shared" si="41"/>
        <v>0.2648043531391585</v>
      </c>
      <c r="L61" s="352">
        <f t="shared" si="28"/>
        <v>840669.1008156057</v>
      </c>
      <c r="M61" s="351">
        <f t="shared" si="29"/>
        <v>0.017250898910094126</v>
      </c>
      <c r="N61" s="371"/>
      <c r="O61" s="15"/>
      <c r="P61" s="375"/>
      <c r="Q61" s="311">
        <v>1995</v>
      </c>
      <c r="R61" s="352">
        <f ca="1">E61*FORECAST(Q61,OFFSET('Saturations and Allocations'!$C$13,1,MATCH(B$6,SATURATIONS_HOUSING_TYPE,0)-1+MATCH(B$2,HVAC_SYSTEMS,0),2,1),'Saturations and Allocations'!$C$14:$C$15)</f>
        <v>38729.405</v>
      </c>
      <c r="S61" s="352">
        <f ca="1" t="shared" si="21"/>
        <v>8594.770219458665</v>
      </c>
      <c r="T61" s="352">
        <f ca="1" t="shared" si="30"/>
        <v>8717.05107111347</v>
      </c>
      <c r="U61" s="352">
        <f ca="1" t="shared" si="31"/>
        <v>56041.226290572136</v>
      </c>
      <c r="V61" s="352">
        <f ca="1" t="shared" si="32"/>
        <v>47446.45607111347</v>
      </c>
      <c r="W61" s="352">
        <f ca="1" t="shared" si="33"/>
        <v>8594.770219458665</v>
      </c>
      <c r="X61" s="373"/>
      <c r="Z61" s="343"/>
      <c r="AA61" s="311">
        <v>1995</v>
      </c>
      <c r="AB61" s="345">
        <f t="shared" si="15"/>
        <v>401388.8671097097</v>
      </c>
      <c r="AC61" s="345">
        <f t="shared" si="16"/>
        <v>19641</v>
      </c>
      <c r="AD61" s="345">
        <f t="shared" si="17"/>
        <v>418498.1107464194</v>
      </c>
      <c r="AE61" s="344"/>
      <c r="AF61" s="12"/>
      <c r="AG61" s="339"/>
      <c r="AH61" s="311">
        <v>1995</v>
      </c>
      <c r="AI61" s="346">
        <f t="shared" si="42"/>
        <v>0.05441236210472262</v>
      </c>
      <c r="AJ61" s="347">
        <f t="shared" si="34"/>
        <v>22771.470742076483</v>
      </c>
      <c r="AK61" s="351">
        <f t="shared" si="35"/>
        <v>0.04262510756690552</v>
      </c>
      <c r="AL61" s="340"/>
      <c r="AM61" s="15"/>
      <c r="AN61" s="325"/>
      <c r="AO61" s="311">
        <v>1995</v>
      </c>
      <c r="AP61" s="352">
        <f ca="1">AC61*FORECAST(AO61,OFFSET('Saturations and Allocations'!$C$13,1,MATCH(Z$6,SATURATIONS_HOUSING_TYPE,0)-1+MATCH(Z$2,HVAC_SYSTEMS,0),2,1),'Saturations and Allocations'!$C$14:$C$15)</f>
        <v>982.0500000000001</v>
      </c>
      <c r="AQ61" s="347">
        <f ca="1" t="shared" si="23"/>
        <v>186.14938201357143</v>
      </c>
      <c r="AR61" s="347">
        <f ca="1" t="shared" si="36"/>
        <v>826.0553847039838</v>
      </c>
      <c r="AS61" s="347">
        <f ca="1" t="shared" si="37"/>
        <v>1994.2547667175554</v>
      </c>
      <c r="AT61" s="347">
        <f ca="1" t="shared" si="38"/>
        <v>982.0500000000001</v>
      </c>
      <c r="AU61" s="347">
        <f ca="1" t="shared" si="39"/>
        <v>1012.2047667175552</v>
      </c>
      <c r="AV61" s="307"/>
      <c r="AX61" s="343"/>
      <c r="AY61" s="311">
        <v>1995</v>
      </c>
      <c r="AZ61" s="345">
        <f t="shared" si="18"/>
        <v>3522231.588967937</v>
      </c>
      <c r="BA61" s="345">
        <f t="shared" si="18"/>
        <v>79224.7</v>
      </c>
      <c r="BB61" s="345">
        <f t="shared" si="18"/>
        <v>3593178.174913726</v>
      </c>
      <c r="BC61" s="344"/>
      <c r="BD61" s="12"/>
      <c r="BE61" s="339"/>
      <c r="BF61" s="311">
        <v>1995</v>
      </c>
      <c r="BG61" s="346">
        <f t="shared" si="24"/>
        <v>0.24029995995910053</v>
      </c>
      <c r="BH61" s="345">
        <f t="shared" si="19"/>
        <v>863440.5715576822</v>
      </c>
      <c r="BI61" s="351">
        <f t="shared" si="40"/>
        <v>0.020142510267638913</v>
      </c>
      <c r="BJ61" s="340"/>
      <c r="BK61" s="15"/>
      <c r="BL61" s="325"/>
      <c r="BM61" s="311">
        <v>1995</v>
      </c>
      <c r="BN61" s="345">
        <f ca="1" t="shared" si="25"/>
        <v>39711.455</v>
      </c>
      <c r="BO61" s="345">
        <f ca="1" t="shared" si="25"/>
        <v>8780.919601472237</v>
      </c>
      <c r="BP61" s="345">
        <f ca="1" t="shared" si="25"/>
        <v>9543.106455817455</v>
      </c>
      <c r="BQ61" s="345">
        <f ca="1" t="shared" si="25"/>
        <v>58035.48105728969</v>
      </c>
      <c r="BR61" s="345">
        <f ca="1" t="shared" si="25"/>
        <v>48428.50607111347</v>
      </c>
      <c r="BS61" s="345">
        <f ca="1" t="shared" si="25"/>
        <v>9606.974986176221</v>
      </c>
      <c r="BT61" s="307"/>
      <c r="BV61" s="325"/>
      <c r="BW61" s="311">
        <v>1995</v>
      </c>
      <c r="BX61" s="359">
        <f ca="1" t="shared" si="10"/>
        <v>58035.48105728969</v>
      </c>
      <c r="BY61" s="359">
        <f t="shared" si="0"/>
        <v>0</v>
      </c>
      <c r="BZ61" s="360">
        <f ca="1" t="shared" si="11"/>
        <v>0</v>
      </c>
      <c r="CA61" s="307"/>
    </row>
    <row r="62" spans="2:79" ht="12.75">
      <c r="B62" s="362"/>
      <c r="C62" s="311">
        <v>1996</v>
      </c>
      <c r="D62" s="345">
        <f t="shared" si="12"/>
        <v>3174680.0641673063</v>
      </c>
      <c r="E62" s="345">
        <f t="shared" si="13"/>
        <v>62109.7</v>
      </c>
      <c r="F62" s="345">
        <f t="shared" si="14"/>
        <v>3231056.4551979834</v>
      </c>
      <c r="G62" s="364"/>
      <c r="H62" s="12"/>
      <c r="I62" s="370"/>
      <c r="J62" s="311">
        <v>1996</v>
      </c>
      <c r="K62" s="346">
        <f t="shared" si="41"/>
        <v>0.2754393310679611</v>
      </c>
      <c r="L62" s="352">
        <f t="shared" si="28"/>
        <v>889960.0286625501</v>
      </c>
      <c r="M62" s="351">
        <f t="shared" si="29"/>
        <v>0.01775813306890317</v>
      </c>
      <c r="N62" s="371"/>
      <c r="O62" s="15"/>
      <c r="P62" s="375"/>
      <c r="Q62" s="311">
        <v>1996</v>
      </c>
      <c r="R62" s="352">
        <f ca="1">E62*FORECAST(Q62,OFFSET('Saturations and Allocations'!$C$13,1,MATCH(B$6,SATURATIONS_HOUSING_TYPE,0)-1+MATCH(B$2,HVAC_SYSTEMS,0),2,1),'Saturations and Allocations'!$C$14:$C$15)</f>
        <v>40371.305</v>
      </c>
      <c r="S62" s="352">
        <f ca="1" t="shared" si="21"/>
        <v>8594.770219458665</v>
      </c>
      <c r="T62" s="352">
        <f ca="1" t="shared" si="30"/>
        <v>8919.622846944425</v>
      </c>
      <c r="U62" s="352">
        <f ca="1" t="shared" si="31"/>
        <v>57885.69806640309</v>
      </c>
      <c r="V62" s="352">
        <f ca="1" t="shared" si="32"/>
        <v>49290.927846944425</v>
      </c>
      <c r="W62" s="352">
        <f ca="1" t="shared" si="33"/>
        <v>8594.770219458665</v>
      </c>
      <c r="X62" s="373"/>
      <c r="Z62" s="343"/>
      <c r="AA62" s="311">
        <v>1996</v>
      </c>
      <c r="AB62" s="345">
        <f t="shared" si="15"/>
        <v>418498.1107464194</v>
      </c>
      <c r="AC62" s="345">
        <f t="shared" si="16"/>
        <v>17125</v>
      </c>
      <c r="AD62" s="345">
        <f t="shared" si="17"/>
        <v>433118.4112291477</v>
      </c>
      <c r="AE62" s="344"/>
      <c r="AF62" s="12"/>
      <c r="AG62" s="339"/>
      <c r="AH62" s="311">
        <v>1996</v>
      </c>
      <c r="AI62" s="346">
        <f t="shared" si="42"/>
        <v>0.056597651973177454</v>
      </c>
      <c r="AJ62" s="347">
        <f t="shared" si="34"/>
        <v>24513.485101922855</v>
      </c>
      <c r="AK62" s="351">
        <f t="shared" si="35"/>
        <v>0.034935164836591426</v>
      </c>
      <c r="AL62" s="340"/>
      <c r="AM62" s="15"/>
      <c r="AN62" s="325"/>
      <c r="AO62" s="311">
        <v>1996</v>
      </c>
      <c r="AP62" s="352">
        <f ca="1">AC62*FORECAST(AO62,OFFSET('Saturations and Allocations'!$C$13,1,MATCH(Z$6,SATURATIONS_HOUSING_TYPE,0)-1+MATCH(Z$2,HVAC_SYSTEMS,0),2,1),'Saturations and Allocations'!$C$14:$C$15)</f>
        <v>856.25</v>
      </c>
      <c r="AQ62" s="347">
        <f ca="1" t="shared" si="23"/>
        <v>186.14938201357143</v>
      </c>
      <c r="AR62" s="347">
        <f ca="1" t="shared" si="36"/>
        <v>885.7643598463728</v>
      </c>
      <c r="AS62" s="347">
        <f ca="1" t="shared" si="37"/>
        <v>1928.1637418599444</v>
      </c>
      <c r="AT62" s="347">
        <f ca="1" t="shared" si="38"/>
        <v>856.25</v>
      </c>
      <c r="AU62" s="347">
        <f ca="1" t="shared" si="39"/>
        <v>1071.9137418599444</v>
      </c>
      <c r="AV62" s="307"/>
      <c r="AX62" s="343"/>
      <c r="AY62" s="311">
        <v>1996</v>
      </c>
      <c r="AZ62" s="345">
        <f t="shared" si="18"/>
        <v>3593178.174913726</v>
      </c>
      <c r="BA62" s="345">
        <f t="shared" si="18"/>
        <v>79234.7</v>
      </c>
      <c r="BB62" s="345">
        <f t="shared" si="18"/>
        <v>3664174.866427131</v>
      </c>
      <c r="BC62" s="344"/>
      <c r="BD62" s="12"/>
      <c r="BE62" s="339"/>
      <c r="BF62" s="311">
        <v>1996</v>
      </c>
      <c r="BG62" s="346">
        <f t="shared" si="24"/>
        <v>0.24957147164107896</v>
      </c>
      <c r="BH62" s="345">
        <f t="shared" si="19"/>
        <v>914473.513764473</v>
      </c>
      <c r="BI62" s="351">
        <f t="shared" si="40"/>
        <v>0.01975874506003583</v>
      </c>
      <c r="BJ62" s="340"/>
      <c r="BK62" s="15"/>
      <c r="BL62" s="325"/>
      <c r="BM62" s="311">
        <v>1996</v>
      </c>
      <c r="BN62" s="345">
        <f ca="1" t="shared" si="25"/>
        <v>41227.555</v>
      </c>
      <c r="BO62" s="345">
        <f ca="1" t="shared" si="25"/>
        <v>8780.919601472237</v>
      </c>
      <c r="BP62" s="345">
        <f ca="1" t="shared" si="25"/>
        <v>9805.387206790798</v>
      </c>
      <c r="BQ62" s="345">
        <f ca="1" t="shared" si="25"/>
        <v>59813.861808263035</v>
      </c>
      <c r="BR62" s="345">
        <f ca="1" t="shared" si="25"/>
        <v>50147.177846944425</v>
      </c>
      <c r="BS62" s="345">
        <f ca="1" t="shared" si="25"/>
        <v>9666.68396131861</v>
      </c>
      <c r="BT62" s="307"/>
      <c r="BV62" s="325"/>
      <c r="BW62" s="311">
        <v>1996</v>
      </c>
      <c r="BX62" s="359">
        <f ca="1" t="shared" si="10"/>
        <v>59813.861808263035</v>
      </c>
      <c r="BY62" s="359">
        <f t="shared" si="0"/>
        <v>0</v>
      </c>
      <c r="BZ62" s="360">
        <f ca="1" t="shared" si="11"/>
        <v>0</v>
      </c>
      <c r="CA62" s="307"/>
    </row>
    <row r="63" spans="2:79" ht="12.75">
      <c r="B63" s="362"/>
      <c r="C63" s="311">
        <v>1997</v>
      </c>
      <c r="D63" s="345">
        <f t="shared" si="12"/>
        <v>3231056.4551979834</v>
      </c>
      <c r="E63" s="345">
        <f t="shared" si="13"/>
        <v>61718.1</v>
      </c>
      <c r="F63" s="345">
        <f t="shared" si="14"/>
        <v>3287054.265319465</v>
      </c>
      <c r="G63" s="364"/>
      <c r="H63" s="12"/>
      <c r="I63" s="370"/>
      <c r="J63" s="311">
        <v>1997</v>
      </c>
      <c r="K63" s="346">
        <f t="shared" si="41"/>
        <v>0.28607430899676367</v>
      </c>
      <c r="L63" s="352">
        <f t="shared" si="28"/>
        <v>940341.7775861307</v>
      </c>
      <c r="M63" s="351">
        <f t="shared" si="29"/>
        <v>0.017331114729176145</v>
      </c>
      <c r="N63" s="371"/>
      <c r="O63" s="15"/>
      <c r="P63" s="375"/>
      <c r="Q63" s="311">
        <v>1997</v>
      </c>
      <c r="R63" s="352">
        <f ca="1">E63*FORECAST(Q63,OFFSET('Saturations and Allocations'!$C$13,1,MATCH(B$6,SATURATIONS_HOUSING_TYPE,0)-1+MATCH(B$2,HVAC_SYSTEMS,0),2,1),'Saturations and Allocations'!$C$14:$C$15)</f>
        <v>40116.765</v>
      </c>
      <c r="S63" s="352">
        <f ca="1" t="shared" si="21"/>
        <v>8594.770219458665</v>
      </c>
      <c r="T63" s="352">
        <f ca="1" t="shared" si="30"/>
        <v>10264.983923580512</v>
      </c>
      <c r="U63" s="352">
        <f ca="1" t="shared" si="31"/>
        <v>58976.51914303918</v>
      </c>
      <c r="V63" s="352">
        <f ca="1" t="shared" si="32"/>
        <v>50381.74892358051</v>
      </c>
      <c r="W63" s="352">
        <f ca="1" t="shared" si="33"/>
        <v>8594.770219458665</v>
      </c>
      <c r="X63" s="373"/>
      <c r="Z63" s="343"/>
      <c r="AA63" s="311">
        <v>1997</v>
      </c>
      <c r="AB63" s="345">
        <f t="shared" si="15"/>
        <v>433118.4112291477</v>
      </c>
      <c r="AC63" s="345">
        <f t="shared" si="16"/>
        <v>17301</v>
      </c>
      <c r="AD63" s="345">
        <f t="shared" si="17"/>
        <v>447941.4794017471</v>
      </c>
      <c r="AE63" s="344"/>
      <c r="AF63" s="12"/>
      <c r="AG63" s="339"/>
      <c r="AH63" s="311">
        <v>1997</v>
      </c>
      <c r="AI63" s="346">
        <f t="shared" si="42"/>
        <v>0.05878294184163229</v>
      </c>
      <c r="AJ63" s="347">
        <f t="shared" si="34"/>
        <v>26331.31793212763</v>
      </c>
      <c r="AK63" s="351">
        <f t="shared" si="35"/>
        <v>0.03422405464254674</v>
      </c>
      <c r="AL63" s="340"/>
      <c r="AM63" s="15"/>
      <c r="AN63" s="325"/>
      <c r="AO63" s="311">
        <v>1997</v>
      </c>
      <c r="AP63" s="352">
        <f ca="1">AC63*FORECAST(AO63,OFFSET('Saturations and Allocations'!$C$13,1,MATCH(Z$6,SATURATIONS_HOUSING_TYPE,0)-1+MATCH(Z$2,HVAC_SYSTEMS,0),2,1),'Saturations and Allocations'!$C$14:$C$15)</f>
        <v>865.0500000000001</v>
      </c>
      <c r="AQ63" s="347">
        <f ca="1" t="shared" si="23"/>
        <v>186.14938201357143</v>
      </c>
      <c r="AR63" s="347">
        <f ca="1" t="shared" si="36"/>
        <v>952.7828302047739</v>
      </c>
      <c r="AS63" s="347">
        <f ca="1" t="shared" si="37"/>
        <v>2003.9822122183455</v>
      </c>
      <c r="AT63" s="347">
        <f ca="1" t="shared" si="38"/>
        <v>865.0500000000001</v>
      </c>
      <c r="AU63" s="347">
        <f ca="1" t="shared" si="39"/>
        <v>1138.9322122183453</v>
      </c>
      <c r="AV63" s="307"/>
      <c r="AX63" s="343"/>
      <c r="AY63" s="311">
        <v>1997</v>
      </c>
      <c r="AZ63" s="345">
        <f t="shared" si="18"/>
        <v>3664174.866427131</v>
      </c>
      <c r="BA63" s="345">
        <f t="shared" si="18"/>
        <v>79019.1</v>
      </c>
      <c r="BB63" s="345">
        <f t="shared" si="18"/>
        <v>3734995.7447212124</v>
      </c>
      <c r="BC63" s="344"/>
      <c r="BD63" s="12"/>
      <c r="BE63" s="339"/>
      <c r="BF63" s="311">
        <v>1997</v>
      </c>
      <c r="BG63" s="346">
        <f t="shared" si="24"/>
        <v>0.2588150460102901</v>
      </c>
      <c r="BH63" s="345">
        <f t="shared" si="19"/>
        <v>966673.0955182583</v>
      </c>
      <c r="BI63" s="351">
        <f t="shared" si="40"/>
        <v>0.019327919893500578</v>
      </c>
      <c r="BJ63" s="340"/>
      <c r="BK63" s="15"/>
      <c r="BL63" s="325"/>
      <c r="BM63" s="311">
        <v>1997</v>
      </c>
      <c r="BN63" s="345">
        <f ca="1" t="shared" si="25"/>
        <v>40981.815</v>
      </c>
      <c r="BO63" s="345">
        <f ca="1" t="shared" si="25"/>
        <v>8780.919601472237</v>
      </c>
      <c r="BP63" s="345">
        <f ca="1" t="shared" si="25"/>
        <v>11217.766753785287</v>
      </c>
      <c r="BQ63" s="345">
        <f ca="1" t="shared" si="25"/>
        <v>60980.501355257526</v>
      </c>
      <c r="BR63" s="345">
        <f ca="1" t="shared" si="25"/>
        <v>51246.798923580514</v>
      </c>
      <c r="BS63" s="345">
        <f ca="1" t="shared" si="25"/>
        <v>9733.702431677011</v>
      </c>
      <c r="BT63" s="307"/>
      <c r="BV63" s="325"/>
      <c r="BW63" s="311">
        <v>1997</v>
      </c>
      <c r="BX63" s="359">
        <f ca="1" t="shared" si="10"/>
        <v>60980.501355257526</v>
      </c>
      <c r="BY63" s="359">
        <f t="shared" si="0"/>
        <v>0</v>
      </c>
      <c r="BZ63" s="360">
        <f ca="1" t="shared" si="11"/>
        <v>0</v>
      </c>
      <c r="CA63" s="307"/>
    </row>
    <row r="64" spans="2:79" ht="12.75">
      <c r="B64" s="362"/>
      <c r="C64" s="311">
        <v>1998</v>
      </c>
      <c r="D64" s="345">
        <f t="shared" si="12"/>
        <v>3287054.265319465</v>
      </c>
      <c r="E64" s="345">
        <f t="shared" si="13"/>
        <v>63984.7</v>
      </c>
      <c r="F64" s="345">
        <f t="shared" si="14"/>
        <v>3345331.6649682443</v>
      </c>
      <c r="G64" s="364"/>
      <c r="H64" s="12"/>
      <c r="I64" s="370"/>
      <c r="J64" s="311">
        <v>1998</v>
      </c>
      <c r="K64" s="346">
        <f t="shared" si="41"/>
        <v>0.29670928692556625</v>
      </c>
      <c r="L64" s="352">
        <f t="shared" si="28"/>
        <v>992590.972842245</v>
      </c>
      <c r="M64" s="351">
        <f t="shared" si="29"/>
        <v>0.017729369503766135</v>
      </c>
      <c r="N64" s="371"/>
      <c r="O64" s="15"/>
      <c r="P64" s="375"/>
      <c r="Q64" s="311">
        <v>1998</v>
      </c>
      <c r="R64" s="352">
        <f ca="1">E64*FORECAST(Q64,OFFSET('Saturations and Allocations'!$C$13,1,MATCH(B$6,SATURATIONS_HOUSING_TYPE,0)-1+MATCH(B$2,HVAC_SYSTEMS,0),2,1),'Saturations and Allocations'!$C$14:$C$15)</f>
        <v>41590.055</v>
      </c>
      <c r="S64" s="352">
        <f ca="1" t="shared" si="21"/>
        <v>8594.770219458665</v>
      </c>
      <c r="T64" s="352">
        <f ca="1" t="shared" si="30"/>
        <v>10659.140256114355</v>
      </c>
      <c r="U64" s="352">
        <f ca="1" t="shared" si="31"/>
        <v>60843.96547557302</v>
      </c>
      <c r="V64" s="352">
        <f ca="1" t="shared" si="32"/>
        <v>52249.195256114355</v>
      </c>
      <c r="W64" s="352">
        <f ca="1" t="shared" si="33"/>
        <v>8594.770219458665</v>
      </c>
      <c r="X64" s="373"/>
      <c r="Z64" s="343"/>
      <c r="AA64" s="311">
        <v>1998</v>
      </c>
      <c r="AB64" s="345">
        <f t="shared" si="15"/>
        <v>447941.4794017471</v>
      </c>
      <c r="AC64" s="345">
        <f t="shared" si="16"/>
        <v>17996</v>
      </c>
      <c r="AD64" s="345">
        <f t="shared" si="17"/>
        <v>463486.0291982779</v>
      </c>
      <c r="AE64" s="344"/>
      <c r="AF64" s="12"/>
      <c r="AG64" s="339"/>
      <c r="AH64" s="311">
        <v>1998</v>
      </c>
      <c r="AI64" s="346">
        <f t="shared" si="42"/>
        <v>0.060968231710087126</v>
      </c>
      <c r="AJ64" s="347">
        <f t="shared" si="34"/>
        <v>28257.923622548817</v>
      </c>
      <c r="AK64" s="351">
        <f t="shared" si="35"/>
        <v>0.03470218881558251</v>
      </c>
      <c r="AL64" s="340"/>
      <c r="AM64" s="15"/>
      <c r="AN64" s="325"/>
      <c r="AO64" s="311">
        <v>1998</v>
      </c>
      <c r="AP64" s="352">
        <f ca="1">AC64*FORECAST(AO64,OFFSET('Saturations and Allocations'!$C$13,1,MATCH(Z$6,SATURATIONS_HOUSING_TYPE,0)-1+MATCH(Z$2,HVAC_SYSTEMS,0),2,1),'Saturations and Allocations'!$C$14:$C$15)</f>
        <v>899.8000000000001</v>
      </c>
      <c r="AQ64" s="347">
        <f ca="1" t="shared" si="23"/>
        <v>186.14938201357143</v>
      </c>
      <c r="AR64" s="347">
        <f ca="1" t="shared" si="36"/>
        <v>1026.8056904211871</v>
      </c>
      <c r="AS64" s="347">
        <f ca="1" t="shared" si="37"/>
        <v>2112.7550724347584</v>
      </c>
      <c r="AT64" s="347">
        <f ca="1" t="shared" si="38"/>
        <v>899.8000000000001</v>
      </c>
      <c r="AU64" s="347">
        <f ca="1" t="shared" si="39"/>
        <v>1212.9550724347587</v>
      </c>
      <c r="AV64" s="307"/>
      <c r="AX64" s="343"/>
      <c r="AY64" s="311">
        <v>1998</v>
      </c>
      <c r="AZ64" s="345">
        <f t="shared" si="18"/>
        <v>3734995.7447212124</v>
      </c>
      <c r="BA64" s="345">
        <f t="shared" si="18"/>
        <v>81980.7</v>
      </c>
      <c r="BB64" s="345">
        <f t="shared" si="18"/>
        <v>3808817.694166522</v>
      </c>
      <c r="BC64" s="344"/>
      <c r="BD64" s="12"/>
      <c r="BE64" s="339"/>
      <c r="BF64" s="311">
        <v>1998</v>
      </c>
      <c r="BG64" s="346">
        <f t="shared" si="24"/>
        <v>0.26802251471061406</v>
      </c>
      <c r="BH64" s="345">
        <f t="shared" si="19"/>
        <v>1020848.8964647938</v>
      </c>
      <c r="BI64" s="351">
        <f t="shared" si="40"/>
        <v>0.0197649353549183</v>
      </c>
      <c r="BJ64" s="340"/>
      <c r="BK64" s="15"/>
      <c r="BL64" s="325"/>
      <c r="BM64" s="311">
        <v>1998</v>
      </c>
      <c r="BN64" s="345">
        <f ca="1" t="shared" si="25"/>
        <v>42489.855</v>
      </c>
      <c r="BO64" s="345">
        <f ca="1" t="shared" si="25"/>
        <v>8780.919601472237</v>
      </c>
      <c r="BP64" s="345">
        <f ca="1" t="shared" si="25"/>
        <v>11685.945946535543</v>
      </c>
      <c r="BQ64" s="345">
        <f ca="1" t="shared" si="25"/>
        <v>62956.72054800778</v>
      </c>
      <c r="BR64" s="345">
        <f ca="1" t="shared" si="25"/>
        <v>53148.99525611436</v>
      </c>
      <c r="BS64" s="345">
        <f ca="1" t="shared" si="25"/>
        <v>9807.725291893425</v>
      </c>
      <c r="BT64" s="307"/>
      <c r="BV64" s="325"/>
      <c r="BW64" s="311">
        <v>1998</v>
      </c>
      <c r="BX64" s="359">
        <f ca="1" t="shared" si="10"/>
        <v>62956.72054800778</v>
      </c>
      <c r="BY64" s="359">
        <f t="shared" si="0"/>
        <v>0</v>
      </c>
      <c r="BZ64" s="360">
        <f ca="1" t="shared" si="11"/>
        <v>0</v>
      </c>
      <c r="CA64" s="307"/>
    </row>
    <row r="65" spans="2:79" ht="12.75">
      <c r="B65" s="362"/>
      <c r="C65" s="311">
        <v>1999</v>
      </c>
      <c r="D65" s="345">
        <f t="shared" si="12"/>
        <v>3345331.6649682443</v>
      </c>
      <c r="E65" s="345">
        <f t="shared" si="13"/>
        <v>62690.3</v>
      </c>
      <c r="F65" s="345">
        <f t="shared" si="14"/>
        <v>3402327.6246479442</v>
      </c>
      <c r="G65" s="364"/>
      <c r="H65" s="12"/>
      <c r="I65" s="370"/>
      <c r="J65" s="311">
        <v>1999</v>
      </c>
      <c r="K65" s="346">
        <f t="shared" si="41"/>
        <v>0.30734426485436883</v>
      </c>
      <c r="L65" s="352">
        <f t="shared" si="28"/>
        <v>1045685.8825911334</v>
      </c>
      <c r="M65" s="351">
        <f t="shared" si="29"/>
        <v>0.017037461569670898</v>
      </c>
      <c r="N65" s="371"/>
      <c r="O65" s="15"/>
      <c r="P65" s="375"/>
      <c r="Q65" s="311">
        <v>1999</v>
      </c>
      <c r="R65" s="352">
        <f ca="1">E65*FORECAST(Q65,OFFSET('Saturations and Allocations'!$C$13,1,MATCH(B$6,SATURATIONS_HOUSING_TYPE,0)-1+MATCH(B$2,HVAC_SYSTEMS,0),2,1),'Saturations and Allocations'!$C$14:$C$15)</f>
        <v>40748.695</v>
      </c>
      <c r="S65" s="352">
        <f ca="1" t="shared" si="21"/>
        <v>8594.770219458665</v>
      </c>
      <c r="T65" s="352">
        <f ca="1" t="shared" si="30"/>
        <v>12346.214748888342</v>
      </c>
      <c r="U65" s="352">
        <f ca="1" t="shared" si="31"/>
        <v>61689.67996834701</v>
      </c>
      <c r="V65" s="352">
        <f ca="1" t="shared" si="32"/>
        <v>53094.90974888834</v>
      </c>
      <c r="W65" s="352">
        <f ca="1" t="shared" si="33"/>
        <v>8594.770219458665</v>
      </c>
      <c r="X65" s="373"/>
      <c r="Z65" s="343"/>
      <c r="AA65" s="311">
        <v>1999</v>
      </c>
      <c r="AB65" s="345">
        <f t="shared" si="15"/>
        <v>463486.0291982779</v>
      </c>
      <c r="AC65" s="345">
        <f t="shared" si="16"/>
        <v>14620</v>
      </c>
      <c r="AD65" s="345">
        <f t="shared" si="17"/>
        <v>475680.7776099832</v>
      </c>
      <c r="AE65" s="344"/>
      <c r="AF65" s="12"/>
      <c r="AG65" s="339"/>
      <c r="AH65" s="311">
        <v>1999</v>
      </c>
      <c r="AI65" s="346">
        <f t="shared" si="42"/>
        <v>0.06315352157854197</v>
      </c>
      <c r="AJ65" s="347">
        <f t="shared" si="34"/>
        <v>30040.9162532897</v>
      </c>
      <c r="AK65" s="351">
        <f t="shared" si="35"/>
        <v>0.026310929873764266</v>
      </c>
      <c r="AL65" s="340"/>
      <c r="AM65" s="15"/>
      <c r="AN65" s="325"/>
      <c r="AO65" s="311">
        <v>1999</v>
      </c>
      <c r="AP65" s="352">
        <f ca="1">AC65*FORECAST(AO65,OFFSET('Saturations and Allocations'!$C$13,1,MATCH(Z$6,SATURATIONS_HOUSING_TYPE,0)-1+MATCH(Z$2,HVAC_SYSTEMS,0),2,1),'Saturations and Allocations'!$C$14:$C$15)</f>
        <v>731</v>
      </c>
      <c r="AQ65" s="347">
        <f ca="1" t="shared" si="23"/>
        <v>186.14938201357143</v>
      </c>
      <c r="AR65" s="347">
        <f ca="1" t="shared" si="36"/>
        <v>1051.9926307408823</v>
      </c>
      <c r="AS65" s="347">
        <f ca="1" t="shared" si="37"/>
        <v>1969.1420127544538</v>
      </c>
      <c r="AT65" s="347">
        <f ca="1" t="shared" si="38"/>
        <v>731</v>
      </c>
      <c r="AU65" s="347">
        <f ca="1" t="shared" si="39"/>
        <v>1238.1420127544538</v>
      </c>
      <c r="AV65" s="307"/>
      <c r="AX65" s="343"/>
      <c r="AY65" s="311">
        <v>1999</v>
      </c>
      <c r="AZ65" s="345">
        <f t="shared" si="18"/>
        <v>3808817.694166522</v>
      </c>
      <c r="BA65" s="345">
        <f t="shared" si="18"/>
        <v>77310.3</v>
      </c>
      <c r="BB65" s="345">
        <f t="shared" si="18"/>
        <v>3878008.4022579277</v>
      </c>
      <c r="BC65" s="344"/>
      <c r="BD65" s="12"/>
      <c r="BE65" s="339"/>
      <c r="BF65" s="311">
        <v>1999</v>
      </c>
      <c r="BG65" s="346">
        <f t="shared" si="24"/>
        <v>0.27739155960004963</v>
      </c>
      <c r="BH65" s="345">
        <f t="shared" si="19"/>
        <v>1075726.7988444231</v>
      </c>
      <c r="BI65" s="351">
        <f t="shared" si="40"/>
        <v>0.018165928024692857</v>
      </c>
      <c r="BJ65" s="340"/>
      <c r="BK65" s="15"/>
      <c r="BL65" s="325"/>
      <c r="BM65" s="311">
        <v>1999</v>
      </c>
      <c r="BN65" s="345">
        <f ca="1" t="shared" si="25"/>
        <v>41479.695</v>
      </c>
      <c r="BO65" s="345">
        <f ca="1" t="shared" si="25"/>
        <v>8780.919601472237</v>
      </c>
      <c r="BP65" s="345">
        <f ca="1" t="shared" si="25"/>
        <v>13398.207379629224</v>
      </c>
      <c r="BQ65" s="345">
        <f ca="1" t="shared" si="25"/>
        <v>63658.821981101464</v>
      </c>
      <c r="BR65" s="345">
        <f ca="1" t="shared" si="25"/>
        <v>53825.90974888834</v>
      </c>
      <c r="BS65" s="345">
        <f ca="1" t="shared" si="25"/>
        <v>9832.912232213119</v>
      </c>
      <c r="BT65" s="307"/>
      <c r="BV65" s="325"/>
      <c r="BW65" s="311">
        <v>1999</v>
      </c>
      <c r="BX65" s="359">
        <f ca="1" t="shared" si="10"/>
        <v>63658.821981101464</v>
      </c>
      <c r="BY65" s="359">
        <f t="shared" si="0"/>
        <v>0</v>
      </c>
      <c r="BZ65" s="360">
        <f ca="1" t="shared" si="11"/>
        <v>0</v>
      </c>
      <c r="CA65" s="307"/>
    </row>
    <row r="66" spans="2:79" ht="12.75">
      <c r="B66" s="362"/>
      <c r="C66" s="311">
        <v>2000</v>
      </c>
      <c r="D66" s="345">
        <f t="shared" si="12"/>
        <v>3402327.6246479442</v>
      </c>
      <c r="E66" s="345">
        <f t="shared" si="13"/>
        <v>57727.2</v>
      </c>
      <c r="F66" s="345">
        <f t="shared" si="14"/>
        <v>3454373.41492917</v>
      </c>
      <c r="G66" s="364"/>
      <c r="H66" s="12"/>
      <c r="I66" s="370"/>
      <c r="J66" s="311">
        <v>2000</v>
      </c>
      <c r="K66" s="346">
        <f t="shared" si="41"/>
        <v>0.3179792427831714</v>
      </c>
      <c r="L66" s="352">
        <f t="shared" si="28"/>
        <v>1098419.0427694956</v>
      </c>
      <c r="M66" s="351">
        <f t="shared" si="29"/>
        <v>0.015297113042313626</v>
      </c>
      <c r="N66" s="371"/>
      <c r="O66" s="15"/>
      <c r="P66" s="375"/>
      <c r="Q66" s="311">
        <v>2000</v>
      </c>
      <c r="R66" s="352">
        <f ca="1">E66*FORECAST(Q66,OFFSET('Saturations and Allocations'!$C$13,1,MATCH(B$6,SATURATIONS_HOUSING_TYPE,0)-1+MATCH(B$2,HVAC_SYSTEMS,0),2,1),'Saturations and Allocations'!$C$14:$C$15)</f>
        <v>37522.68</v>
      </c>
      <c r="S66" s="352">
        <f ca="1" t="shared" si="21"/>
        <v>8594.770219458665</v>
      </c>
      <c r="T66" s="352">
        <f ca="1" t="shared" si="30"/>
        <v>15210.480178362275</v>
      </c>
      <c r="U66" s="352">
        <f ca="1" t="shared" si="31"/>
        <v>61327.93039782094</v>
      </c>
      <c r="V66" s="352">
        <f ca="1" t="shared" si="32"/>
        <v>52733.160178362275</v>
      </c>
      <c r="W66" s="352">
        <f ca="1" t="shared" si="33"/>
        <v>8594.770219458665</v>
      </c>
      <c r="X66" s="373"/>
      <c r="Z66" s="343"/>
      <c r="AA66" s="311">
        <v>2000</v>
      </c>
      <c r="AB66" s="345">
        <f t="shared" si="15"/>
        <v>475680.7776099832</v>
      </c>
      <c r="AC66" s="345">
        <f t="shared" si="16"/>
        <v>9564</v>
      </c>
      <c r="AD66" s="345">
        <f t="shared" si="17"/>
        <v>482845.444652617</v>
      </c>
      <c r="AE66" s="344"/>
      <c r="AF66" s="12"/>
      <c r="AG66" s="339"/>
      <c r="AH66" s="311">
        <v>2000</v>
      </c>
      <c r="AI66" s="346">
        <f t="shared" si="42"/>
        <v>0.06533881144699681</v>
      </c>
      <c r="AJ66" s="347">
        <f t="shared" si="34"/>
        <v>31548.547466198674</v>
      </c>
      <c r="AK66" s="351">
        <f t="shared" si="35"/>
        <v>0.015061922574698183</v>
      </c>
      <c r="AL66" s="340"/>
      <c r="AM66" s="15"/>
      <c r="AN66" s="325"/>
      <c r="AO66" s="311">
        <v>2000</v>
      </c>
      <c r="AP66" s="352">
        <f ca="1">AC66*FORECAST(AO66,OFFSET('Saturations and Allocations'!$C$13,1,MATCH(Z$6,SATURATIONS_HOUSING_TYPE,0)-1+MATCH(Z$2,HVAC_SYSTEMS,0),2,1),'Saturations and Allocations'!$C$14:$C$15)</f>
        <v>478.20000000000005</v>
      </c>
      <c r="AQ66" s="347">
        <f ca="1" t="shared" si="23"/>
        <v>186.14938201357143</v>
      </c>
      <c r="AR66" s="347">
        <f ca="1" t="shared" si="36"/>
        <v>1029.4312129089747</v>
      </c>
      <c r="AS66" s="347">
        <f ca="1" t="shared" si="37"/>
        <v>1693.7805949225462</v>
      </c>
      <c r="AT66" s="347">
        <f ca="1" t="shared" si="38"/>
        <v>478.20000000000005</v>
      </c>
      <c r="AU66" s="347">
        <f ca="1" t="shared" si="39"/>
        <v>1215.580594922546</v>
      </c>
      <c r="AV66" s="307"/>
      <c r="AX66" s="343"/>
      <c r="AY66" s="311">
        <v>2000</v>
      </c>
      <c r="AZ66" s="345">
        <f t="shared" si="18"/>
        <v>3878008.4022579277</v>
      </c>
      <c r="BA66" s="345">
        <f t="shared" si="18"/>
        <v>67291.2</v>
      </c>
      <c r="BB66" s="345">
        <f t="shared" si="18"/>
        <v>3937218.859581787</v>
      </c>
      <c r="BC66" s="344"/>
      <c r="BD66" s="12"/>
      <c r="BE66" s="339"/>
      <c r="BF66" s="311">
        <v>2000</v>
      </c>
      <c r="BG66" s="346">
        <f t="shared" si="24"/>
        <v>0.2869963876876583</v>
      </c>
      <c r="BH66" s="345">
        <f t="shared" si="19"/>
        <v>1129967.5902356943</v>
      </c>
      <c r="BI66" s="351">
        <f t="shared" si="40"/>
        <v>0.01526826432077466</v>
      </c>
      <c r="BJ66" s="340"/>
      <c r="BK66" s="15"/>
      <c r="BL66" s="325"/>
      <c r="BM66" s="311">
        <v>2000</v>
      </c>
      <c r="BN66" s="345">
        <f ca="1" t="shared" si="25"/>
        <v>38000.88</v>
      </c>
      <c r="BO66" s="345">
        <f ca="1" t="shared" si="25"/>
        <v>8780.919601472237</v>
      </c>
      <c r="BP66" s="345">
        <f ca="1" t="shared" si="25"/>
        <v>16239.91139127125</v>
      </c>
      <c r="BQ66" s="345">
        <f ca="1" t="shared" si="25"/>
        <v>63021.71099274349</v>
      </c>
      <c r="BR66" s="345">
        <f ca="1" t="shared" si="25"/>
        <v>53211.36017836227</v>
      </c>
      <c r="BS66" s="345">
        <f ca="1" t="shared" si="25"/>
        <v>9810.35081438121</v>
      </c>
      <c r="BT66" s="307"/>
      <c r="BV66" s="325"/>
      <c r="BW66" s="311">
        <v>2000</v>
      </c>
      <c r="BX66" s="359">
        <f ca="1" t="shared" si="10"/>
        <v>63021.71099274349</v>
      </c>
      <c r="BY66" s="359">
        <f t="shared" si="0"/>
        <v>0</v>
      </c>
      <c r="BZ66" s="360">
        <f ca="1" t="shared" si="11"/>
        <v>0</v>
      </c>
      <c r="CA66" s="307"/>
    </row>
    <row r="67" spans="2:79" ht="12.75">
      <c r="B67" s="362"/>
      <c r="C67" s="311">
        <v>2001</v>
      </c>
      <c r="D67" s="345">
        <f t="shared" si="12"/>
        <v>3454373.41492917</v>
      </c>
      <c r="E67" s="345">
        <f t="shared" si="13"/>
        <v>58981.8</v>
      </c>
      <c r="F67" s="345">
        <f t="shared" si="14"/>
        <v>3507686.7064493527</v>
      </c>
      <c r="G67" s="364"/>
      <c r="H67" s="12"/>
      <c r="I67" s="370"/>
      <c r="J67" s="311">
        <v>2001</v>
      </c>
      <c r="K67" s="346">
        <f t="shared" si="41"/>
        <v>0.328614220711974</v>
      </c>
      <c r="L67" s="352">
        <f t="shared" si="28"/>
        <v>1152675.7335416046</v>
      </c>
      <c r="M67" s="351">
        <f t="shared" si="29"/>
        <v>0.015433563519731797</v>
      </c>
      <c r="N67" s="371"/>
      <c r="O67" s="15"/>
      <c r="P67" s="375"/>
      <c r="Q67" s="311">
        <v>2001</v>
      </c>
      <c r="R67" s="352">
        <f ca="1">E67*FORECAST(Q67,OFFSET('Saturations and Allocations'!$C$13,1,MATCH(B$6,SATURATIONS_HOUSING_TYPE,0)-1+MATCH(B$2,HVAC_SYSTEMS,0),2,1),'Saturations and Allocations'!$C$14:$C$15)</f>
        <v>38338.170000000006</v>
      </c>
      <c r="S67" s="352">
        <f ca="1" t="shared" si="21"/>
        <v>8594.770219458665</v>
      </c>
      <c r="T67" s="352">
        <f ca="1" t="shared" si="30"/>
        <v>15918.520772108961</v>
      </c>
      <c r="U67" s="352">
        <f ca="1" t="shared" si="31"/>
        <v>62851.460991567634</v>
      </c>
      <c r="V67" s="352">
        <f ca="1" t="shared" si="32"/>
        <v>54256.69077210897</v>
      </c>
      <c r="W67" s="352">
        <f ca="1" t="shared" si="33"/>
        <v>8594.770219458665</v>
      </c>
      <c r="X67" s="373"/>
      <c r="Z67" s="343"/>
      <c r="AA67" s="311">
        <v>2001</v>
      </c>
      <c r="AB67" s="345">
        <f t="shared" si="15"/>
        <v>482845.444652617</v>
      </c>
      <c r="AC67" s="345">
        <f t="shared" si="16"/>
        <v>7283</v>
      </c>
      <c r="AD67" s="345">
        <f t="shared" si="17"/>
        <v>487754.75333412096</v>
      </c>
      <c r="AE67" s="344"/>
      <c r="AF67" s="12"/>
      <c r="AG67" s="339"/>
      <c r="AH67" s="311">
        <v>2001</v>
      </c>
      <c r="AI67" s="346">
        <f t="shared" si="42"/>
        <v>0.06752410131545165</v>
      </c>
      <c r="AJ67" s="347">
        <f t="shared" si="34"/>
        <v>32935.20138122632</v>
      </c>
      <c r="AK67" s="351">
        <f t="shared" si="35"/>
        <v>0.010167453655974823</v>
      </c>
      <c r="AL67" s="340"/>
      <c r="AM67" s="15"/>
      <c r="AN67" s="325"/>
      <c r="AO67" s="311">
        <v>2001</v>
      </c>
      <c r="AP67" s="352">
        <f ca="1">AC67*FORECAST(AO67,OFFSET('Saturations and Allocations'!$C$13,1,MATCH(Z$6,SATURATIONS_HOUSING_TYPE,0)-1+MATCH(Z$2,HVAC_SYSTEMS,0),2,1),'Saturations and Allocations'!$C$14:$C$15)</f>
        <v>364.15000000000003</v>
      </c>
      <c r="AQ67" s="347">
        <f ca="1" t="shared" si="23"/>
        <v>186.14938201357143</v>
      </c>
      <c r="AR67" s="347">
        <f ca="1" t="shared" si="36"/>
        <v>1022.5039150276439</v>
      </c>
      <c r="AS67" s="347">
        <f ca="1" t="shared" si="37"/>
        <v>1572.8032970412153</v>
      </c>
      <c r="AT67" s="347">
        <f ca="1" t="shared" si="38"/>
        <v>364.15000000000003</v>
      </c>
      <c r="AU67" s="347">
        <f ca="1" t="shared" si="39"/>
        <v>1208.6532970412154</v>
      </c>
      <c r="AV67" s="307"/>
      <c r="AX67" s="343"/>
      <c r="AY67" s="311">
        <v>2001</v>
      </c>
      <c r="AZ67" s="345">
        <f t="shared" si="18"/>
        <v>3937218.859581787</v>
      </c>
      <c r="BA67" s="345">
        <f t="shared" si="18"/>
        <v>66264.8</v>
      </c>
      <c r="BB67" s="345">
        <f t="shared" si="18"/>
        <v>3995441.4597834735</v>
      </c>
      <c r="BC67" s="344"/>
      <c r="BD67" s="12"/>
      <c r="BE67" s="339"/>
      <c r="BF67" s="311">
        <v>2001</v>
      </c>
      <c r="BG67" s="346">
        <f t="shared" si="24"/>
        <v>0.29674091007382275</v>
      </c>
      <c r="BH67" s="345">
        <f t="shared" si="19"/>
        <v>1185610.934922831</v>
      </c>
      <c r="BI67" s="351">
        <f t="shared" si="40"/>
        <v>0.014787747970878895</v>
      </c>
      <c r="BJ67" s="340"/>
      <c r="BK67" s="15"/>
      <c r="BL67" s="325"/>
      <c r="BM67" s="311">
        <v>2001</v>
      </c>
      <c r="BN67" s="345">
        <f ca="1" t="shared" si="25"/>
        <v>38702.32000000001</v>
      </c>
      <c r="BO67" s="345">
        <f ca="1" t="shared" si="25"/>
        <v>8780.919601472237</v>
      </c>
      <c r="BP67" s="345">
        <f ca="1" t="shared" si="25"/>
        <v>16941.024687136603</v>
      </c>
      <c r="BQ67" s="345">
        <f ca="1" t="shared" si="25"/>
        <v>64424.26428860885</v>
      </c>
      <c r="BR67" s="345">
        <f ca="1" t="shared" si="25"/>
        <v>54620.84077210897</v>
      </c>
      <c r="BS67" s="345">
        <f ca="1" t="shared" si="25"/>
        <v>9803.42351649988</v>
      </c>
      <c r="BT67" s="307"/>
      <c r="BV67" s="325"/>
      <c r="BW67" s="311">
        <v>2001</v>
      </c>
      <c r="BX67" s="359">
        <f ca="1" t="shared" si="10"/>
        <v>64424.26428860885</v>
      </c>
      <c r="BY67" s="359">
        <f t="shared" si="0"/>
        <v>0</v>
      </c>
      <c r="BZ67" s="360">
        <f ca="1" t="shared" si="11"/>
        <v>0</v>
      </c>
      <c r="CA67" s="307"/>
    </row>
    <row r="68" spans="2:79" ht="12.75">
      <c r="B68" s="362"/>
      <c r="C68" s="311">
        <v>2002</v>
      </c>
      <c r="D68" s="345">
        <f t="shared" si="12"/>
        <v>3507686.7064493527</v>
      </c>
      <c r="E68" s="345">
        <f t="shared" si="13"/>
        <v>66174.6</v>
      </c>
      <c r="F68" s="345">
        <f t="shared" si="14"/>
        <v>3568205.669912601</v>
      </c>
      <c r="G68" s="364"/>
      <c r="H68" s="12"/>
      <c r="I68" s="370"/>
      <c r="J68" s="311">
        <v>2002</v>
      </c>
      <c r="K68" s="346">
        <f t="shared" si="41"/>
        <v>0.3392491986407766</v>
      </c>
      <c r="L68" s="352">
        <f t="shared" si="28"/>
        <v>1210510.9141033252</v>
      </c>
      <c r="M68" s="351">
        <f t="shared" si="29"/>
        <v>0.017253240818792648</v>
      </c>
      <c r="N68" s="371"/>
      <c r="O68" s="15"/>
      <c r="P68" s="375"/>
      <c r="Q68" s="311">
        <v>2002</v>
      </c>
      <c r="R68" s="352">
        <f ca="1">E68*FORECAST(Q68,OFFSET('Saturations and Allocations'!$C$13,1,MATCH(B$6,SATURATIONS_HOUSING_TYPE,0)-1+MATCH(B$2,HVAC_SYSTEMS,0),2,1),'Saturations and Allocations'!$C$14:$C$15)</f>
        <v>43013.490000000005</v>
      </c>
      <c r="S68" s="352">
        <f ca="1" t="shared" si="21"/>
        <v>8594.770219458665</v>
      </c>
      <c r="T68" s="352">
        <f ca="1" t="shared" si="30"/>
        <v>14821.690561720621</v>
      </c>
      <c r="U68" s="352">
        <f ca="1" t="shared" si="31"/>
        <v>66429.9507811793</v>
      </c>
      <c r="V68" s="352">
        <f ca="1" t="shared" si="32"/>
        <v>57835.18056172063</v>
      </c>
      <c r="W68" s="352">
        <f ca="1" t="shared" si="33"/>
        <v>8594.770219458665</v>
      </c>
      <c r="X68" s="373"/>
      <c r="Z68" s="343"/>
      <c r="AA68" s="311">
        <v>2002</v>
      </c>
      <c r="AB68" s="345">
        <f t="shared" si="15"/>
        <v>487754.75333412096</v>
      </c>
      <c r="AC68" s="345">
        <f t="shared" si="16"/>
        <v>7464</v>
      </c>
      <c r="AD68" s="345">
        <f t="shared" si="17"/>
        <v>492870.42962264724</v>
      </c>
      <c r="AE68" s="344"/>
      <c r="AF68" s="12"/>
      <c r="AG68" s="339"/>
      <c r="AH68" s="311">
        <v>2002</v>
      </c>
      <c r="AI68" s="346">
        <f t="shared" si="42"/>
        <v>0.0697093911839065</v>
      </c>
      <c r="AJ68" s="347">
        <f t="shared" si="34"/>
        <v>34357.69758154517</v>
      </c>
      <c r="AK68" s="351">
        <f t="shared" si="35"/>
        <v>0.010488214114895422</v>
      </c>
      <c r="AL68" s="340"/>
      <c r="AM68" s="15"/>
      <c r="AN68" s="325"/>
      <c r="AO68" s="311">
        <v>2002</v>
      </c>
      <c r="AP68" s="352">
        <f ca="1">AC68*FORECAST(AO68,OFFSET('Saturations and Allocations'!$C$13,1,MATCH(Z$6,SATURATIONS_HOUSING_TYPE,0)-1+MATCH(Z$2,HVAC_SYSTEMS,0),2,1),'Saturations and Allocations'!$C$14:$C$15)</f>
        <v>373.20000000000005</v>
      </c>
      <c r="AQ68" s="347">
        <f ca="1" t="shared" si="23"/>
        <v>186.14938201357143</v>
      </c>
      <c r="AR68" s="347">
        <f ca="1" t="shared" si="36"/>
        <v>1049.2962003188557</v>
      </c>
      <c r="AS68" s="347">
        <f ca="1" t="shared" si="37"/>
        <v>1608.6455823324272</v>
      </c>
      <c r="AT68" s="347">
        <f ca="1" t="shared" si="38"/>
        <v>373.20000000000005</v>
      </c>
      <c r="AU68" s="347">
        <f ca="1" t="shared" si="39"/>
        <v>1235.445582332427</v>
      </c>
      <c r="AV68" s="307"/>
      <c r="AX68" s="343"/>
      <c r="AY68" s="311">
        <v>2002</v>
      </c>
      <c r="AZ68" s="345">
        <f t="shared" si="18"/>
        <v>3995441.4597834735</v>
      </c>
      <c r="BA68" s="345">
        <f t="shared" si="18"/>
        <v>73638.6</v>
      </c>
      <c r="BB68" s="345">
        <f t="shared" si="18"/>
        <v>4061076.0995352482</v>
      </c>
      <c r="BC68" s="344"/>
      <c r="BD68" s="12"/>
      <c r="BE68" s="339"/>
      <c r="BF68" s="311">
        <v>2002</v>
      </c>
      <c r="BG68" s="346">
        <f t="shared" si="24"/>
        <v>0.30653663737730347</v>
      </c>
      <c r="BH68" s="345">
        <f t="shared" si="19"/>
        <v>1244868.6116848704</v>
      </c>
      <c r="BI68" s="351">
        <f t="shared" si="40"/>
        <v>0.01642738115735809</v>
      </c>
      <c r="BJ68" s="340"/>
      <c r="BK68" s="15"/>
      <c r="BL68" s="325"/>
      <c r="BM68" s="311">
        <v>2002</v>
      </c>
      <c r="BN68" s="345">
        <f ca="1" t="shared" si="25"/>
        <v>43386.69</v>
      </c>
      <c r="BO68" s="345">
        <f ca="1" t="shared" si="25"/>
        <v>8780.919601472237</v>
      </c>
      <c r="BP68" s="345">
        <f ca="1" t="shared" si="25"/>
        <v>15870.986762039476</v>
      </c>
      <c r="BQ68" s="345">
        <f ca="1" t="shared" si="25"/>
        <v>68038.59636351172</v>
      </c>
      <c r="BR68" s="345">
        <f ca="1" t="shared" si="25"/>
        <v>58208.38056172062</v>
      </c>
      <c r="BS68" s="345">
        <f ca="1" t="shared" si="25"/>
        <v>9830.215801791092</v>
      </c>
      <c r="BT68" s="307"/>
      <c r="BV68" s="325"/>
      <c r="BW68" s="311">
        <v>2002</v>
      </c>
      <c r="BX68" s="359">
        <f ca="1" t="shared" si="10"/>
        <v>68038.59636351172</v>
      </c>
      <c r="BY68" s="359">
        <f t="shared" si="0"/>
        <v>0</v>
      </c>
      <c r="BZ68" s="360">
        <f ca="1" t="shared" si="11"/>
        <v>0</v>
      </c>
      <c r="CA68" s="307"/>
    </row>
    <row r="69" spans="2:79" ht="12.75">
      <c r="B69" s="362"/>
      <c r="C69" s="311">
        <v>2003</v>
      </c>
      <c r="D69" s="345">
        <f t="shared" si="12"/>
        <v>3568205.669912601</v>
      </c>
      <c r="E69" s="345">
        <f t="shared" si="13"/>
        <v>73242.5</v>
      </c>
      <c r="F69" s="345">
        <f t="shared" si="14"/>
        <v>3635805.3760895464</v>
      </c>
      <c r="G69" s="364"/>
      <c r="H69" s="12"/>
      <c r="I69" s="370"/>
      <c r="J69" s="311">
        <v>2003</v>
      </c>
      <c r="K69" s="346">
        <f t="shared" si="41"/>
        <v>0.34988417656957915</v>
      </c>
      <c r="L69" s="352">
        <f t="shared" si="28"/>
        <v>1272110.77018034</v>
      </c>
      <c r="M69" s="351">
        <f t="shared" si="29"/>
        <v>0.018945013945510958</v>
      </c>
      <c r="N69" s="371"/>
      <c r="O69" s="15"/>
      <c r="P69" s="375"/>
      <c r="Q69" s="311">
        <v>2003</v>
      </c>
      <c r="R69" s="352">
        <f ca="1">E69*FORECAST(Q69,OFFSET('Saturations and Allocations'!$C$13,1,MATCH(B$6,SATURATIONS_HOUSING_TYPE,0)-1+MATCH(B$2,HVAC_SYSTEMS,0),2,1),'Saturations and Allocations'!$C$14:$C$15)</f>
        <v>47607.625</v>
      </c>
      <c r="S69" s="352">
        <f ca="1" t="shared" si="21"/>
        <v>8594.770219458665</v>
      </c>
      <c r="T69" s="352">
        <f ca="1" t="shared" si="30"/>
        <v>13992.231077014701</v>
      </c>
      <c r="U69" s="352">
        <f ca="1" t="shared" si="31"/>
        <v>70194.62629647338</v>
      </c>
      <c r="V69" s="352">
        <f ca="1" t="shared" si="32"/>
        <v>61599.8560770147</v>
      </c>
      <c r="W69" s="352">
        <f ca="1" t="shared" si="33"/>
        <v>8594.770219458665</v>
      </c>
      <c r="X69" s="373"/>
      <c r="Z69" s="343"/>
      <c r="AA69" s="311">
        <v>2003</v>
      </c>
      <c r="AB69" s="345">
        <f t="shared" si="15"/>
        <v>492870.42962264724</v>
      </c>
      <c r="AC69" s="345">
        <f t="shared" si="16"/>
        <v>6895</v>
      </c>
      <c r="AD69" s="345">
        <f t="shared" si="17"/>
        <v>497442.20241492265</v>
      </c>
      <c r="AE69" s="344"/>
      <c r="AF69" s="12"/>
      <c r="AG69" s="339"/>
      <c r="AH69" s="311">
        <v>2003</v>
      </c>
      <c r="AI69" s="346">
        <f t="shared" si="42"/>
        <v>0.07189468105236134</v>
      </c>
      <c r="AJ69" s="347">
        <f t="shared" si="34"/>
        <v>35763.44848460503</v>
      </c>
      <c r="AK69" s="351">
        <f t="shared" si="35"/>
        <v>0.009275810674573615</v>
      </c>
      <c r="AL69" s="340"/>
      <c r="AM69" s="15"/>
      <c r="AN69" s="325"/>
      <c r="AO69" s="311">
        <v>2003</v>
      </c>
      <c r="AP69" s="352">
        <f ca="1">AC69*FORECAST(AO69,OFFSET('Saturations and Allocations'!$C$13,1,MATCH(Z$6,SATURATIONS_HOUSING_TYPE,0)-1+MATCH(Z$2,HVAC_SYSTEMS,0),2,1),'Saturations and Allocations'!$C$14:$C$15)</f>
        <v>344.75</v>
      </c>
      <c r="AQ69" s="347">
        <f ca="1" t="shared" si="23"/>
        <v>186.14938201357143</v>
      </c>
      <c r="AR69" s="347">
        <f ca="1" t="shared" si="36"/>
        <v>1061.0009030598594</v>
      </c>
      <c r="AS69" s="347">
        <f ca="1" t="shared" si="37"/>
        <v>1591.900285073431</v>
      </c>
      <c r="AT69" s="347">
        <f ca="1" t="shared" si="38"/>
        <v>344.75</v>
      </c>
      <c r="AU69" s="347">
        <f ca="1" t="shared" si="39"/>
        <v>1247.150285073431</v>
      </c>
      <c r="AV69" s="307"/>
      <c r="AX69" s="343"/>
      <c r="AY69" s="311">
        <v>2003</v>
      </c>
      <c r="AZ69" s="345">
        <f t="shared" si="18"/>
        <v>4061076.0995352482</v>
      </c>
      <c r="BA69" s="345">
        <f t="shared" si="18"/>
        <v>80137.5</v>
      </c>
      <c r="BB69" s="345">
        <f t="shared" si="18"/>
        <v>4133247.5785044692</v>
      </c>
      <c r="BC69" s="344"/>
      <c r="BD69" s="12"/>
      <c r="BE69" s="339"/>
      <c r="BF69" s="311">
        <v>2003</v>
      </c>
      <c r="BG69" s="346">
        <f t="shared" si="24"/>
        <v>0.3164277469045714</v>
      </c>
      <c r="BH69" s="345">
        <f t="shared" si="19"/>
        <v>1307874.2186649449</v>
      </c>
      <c r="BI69" s="351">
        <f t="shared" si="40"/>
        <v>0.017771516021943157</v>
      </c>
      <c r="BJ69" s="340"/>
      <c r="BK69" s="15"/>
      <c r="BL69" s="325"/>
      <c r="BM69" s="311">
        <v>2003</v>
      </c>
      <c r="BN69" s="345">
        <f ca="1" t="shared" si="25"/>
        <v>47952.375</v>
      </c>
      <c r="BO69" s="345">
        <f ca="1" t="shared" si="25"/>
        <v>8780.919601472237</v>
      </c>
      <c r="BP69" s="345">
        <f ca="1" t="shared" si="25"/>
        <v>15053.23198007456</v>
      </c>
      <c r="BQ69" s="345">
        <f ca="1" t="shared" si="25"/>
        <v>71786.5265815468</v>
      </c>
      <c r="BR69" s="345">
        <f ca="1" t="shared" si="25"/>
        <v>61944.6060770147</v>
      </c>
      <c r="BS69" s="345">
        <f ca="1" t="shared" si="25"/>
        <v>9841.920504532096</v>
      </c>
      <c r="BT69" s="307"/>
      <c r="BV69" s="325"/>
      <c r="BW69" s="311">
        <v>2003</v>
      </c>
      <c r="BX69" s="359">
        <f ca="1" t="shared" si="10"/>
        <v>71786.5265815468</v>
      </c>
      <c r="BY69" s="359">
        <f t="shared" si="0"/>
        <v>0</v>
      </c>
      <c r="BZ69" s="360">
        <f ca="1" t="shared" si="11"/>
        <v>0</v>
      </c>
      <c r="CA69" s="307"/>
    </row>
    <row r="70" spans="2:79" ht="12.75">
      <c r="B70" s="362"/>
      <c r="C70" s="311">
        <v>2004</v>
      </c>
      <c r="D70" s="345">
        <f t="shared" si="12"/>
        <v>3635805.3760895464</v>
      </c>
      <c r="E70" s="345">
        <f t="shared" si="13"/>
        <v>76942.45812831254</v>
      </c>
      <c r="F70" s="345">
        <f t="shared" si="14"/>
        <v>3707117.8539455077</v>
      </c>
      <c r="G70" s="364"/>
      <c r="H70" s="12"/>
      <c r="I70" s="370"/>
      <c r="J70" s="311">
        <v>2004</v>
      </c>
      <c r="K70" s="346">
        <f t="shared" si="41"/>
        <v>0.36051915449838173</v>
      </c>
      <c r="L70" s="352">
        <f t="shared" si="28"/>
        <v>1336486.9943302898</v>
      </c>
      <c r="M70" s="351">
        <f t="shared" si="29"/>
        <v>0.019613942573752485</v>
      </c>
      <c r="N70" s="371"/>
      <c r="O70" s="15"/>
      <c r="P70" s="375"/>
      <c r="Q70" s="311">
        <v>2004</v>
      </c>
      <c r="R70" s="352">
        <f ca="1">E70*FORECAST(Q70,OFFSET('Saturations and Allocations'!$C$13,1,MATCH(B$6,SATURATIONS_HOUSING_TYPE,0)-1+MATCH(B$2,HVAC_SYSTEMS,0),2,1),'Saturations and Allocations'!$C$14:$C$15)</f>
        <v>50012.59778340316</v>
      </c>
      <c r="S70" s="352">
        <f ca="1" t="shared" si="21"/>
        <v>8594.770219458665</v>
      </c>
      <c r="T70" s="352">
        <f ca="1" t="shared" si="30"/>
        <v>14363.62636654669</v>
      </c>
      <c r="U70" s="352">
        <f ca="1" t="shared" si="31"/>
        <v>72970.99436940852</v>
      </c>
      <c r="V70" s="352">
        <f ca="1" t="shared" si="32"/>
        <v>64376.22414994985</v>
      </c>
      <c r="W70" s="352">
        <f ca="1" t="shared" si="33"/>
        <v>8594.770219458665</v>
      </c>
      <c r="X70" s="373"/>
      <c r="Z70" s="343"/>
      <c r="AA70" s="311">
        <v>2004</v>
      </c>
      <c r="AB70" s="345">
        <f t="shared" si="15"/>
        <v>497442.20241492265</v>
      </c>
      <c r="AC70" s="345">
        <f t="shared" si="16"/>
        <v>6659</v>
      </c>
      <c r="AD70" s="345">
        <f t="shared" si="17"/>
        <v>501802.803504951</v>
      </c>
      <c r="AE70" s="344"/>
      <c r="AF70" s="12"/>
      <c r="AG70" s="339"/>
      <c r="AH70" s="311">
        <v>2004</v>
      </c>
      <c r="AI70" s="346">
        <f t="shared" si="42"/>
        <v>0.07407997092081618</v>
      </c>
      <c r="AJ70" s="347">
        <f t="shared" si="34"/>
        <v>37173.53709163081</v>
      </c>
      <c r="AK70" s="351">
        <f t="shared" si="35"/>
        <v>0.008766045721209537</v>
      </c>
      <c r="AL70" s="340"/>
      <c r="AM70" s="15"/>
      <c r="AN70" s="325"/>
      <c r="AO70" s="311">
        <v>2004</v>
      </c>
      <c r="AP70" s="352">
        <f ca="1">AC70*FORECAST(AO70,OFFSET('Saturations and Allocations'!$C$13,1,MATCH(Z$6,SATURATIONS_HOUSING_TYPE,0)-1+MATCH(Z$2,HVAC_SYSTEMS,0),2,1),'Saturations and Allocations'!$C$14:$C$15)</f>
        <v>332.95000000000005</v>
      </c>
      <c r="AQ70" s="347">
        <f ca="1" t="shared" si="23"/>
        <v>186.14938201357143</v>
      </c>
      <c r="AR70" s="347">
        <f ca="1" t="shared" si="36"/>
        <v>1077.1386070257765</v>
      </c>
      <c r="AS70" s="347">
        <f ca="1" t="shared" si="37"/>
        <v>1596.2379890393481</v>
      </c>
      <c r="AT70" s="347">
        <f ca="1" t="shared" si="38"/>
        <v>332.95000000000005</v>
      </c>
      <c r="AU70" s="347">
        <f ca="1" t="shared" si="39"/>
        <v>1263.2879890393478</v>
      </c>
      <c r="AV70" s="307"/>
      <c r="AX70" s="343"/>
      <c r="AY70" s="311">
        <v>2004</v>
      </c>
      <c r="AZ70" s="345">
        <f t="shared" si="18"/>
        <v>4133247.5785044692</v>
      </c>
      <c r="BA70" s="345">
        <f t="shared" si="18"/>
        <v>83601.45812831254</v>
      </c>
      <c r="BB70" s="345">
        <f t="shared" si="18"/>
        <v>4208920.657450459</v>
      </c>
      <c r="BC70" s="344"/>
      <c r="BD70" s="12"/>
      <c r="BE70" s="339"/>
      <c r="BF70" s="311">
        <v>2004</v>
      </c>
      <c r="BG70" s="346">
        <f t="shared" si="24"/>
        <v>0.326368834962551</v>
      </c>
      <c r="BH70" s="345">
        <f t="shared" si="19"/>
        <v>1373660.5314219205</v>
      </c>
      <c r="BI70" s="351">
        <f t="shared" si="40"/>
        <v>0.018308382817312507</v>
      </c>
      <c r="BJ70" s="340"/>
      <c r="BK70" s="15"/>
      <c r="BL70" s="325"/>
      <c r="BM70" s="311">
        <v>2004</v>
      </c>
      <c r="BN70" s="345">
        <f ca="1" t="shared" si="25"/>
        <v>50345.547783403155</v>
      </c>
      <c r="BO70" s="345">
        <f ca="1" t="shared" si="25"/>
        <v>8780.919601472237</v>
      </c>
      <c r="BP70" s="345">
        <f ca="1" t="shared" si="25"/>
        <v>15440.764973572466</v>
      </c>
      <c r="BQ70" s="345">
        <f ca="1" t="shared" si="25"/>
        <v>74567.23235844787</v>
      </c>
      <c r="BR70" s="345">
        <f ca="1" t="shared" si="25"/>
        <v>64709.174149949846</v>
      </c>
      <c r="BS70" s="345">
        <f ca="1" t="shared" si="25"/>
        <v>9858.058208498012</v>
      </c>
      <c r="BT70" s="307"/>
      <c r="BV70" s="325"/>
      <c r="BW70" s="311">
        <v>2004</v>
      </c>
      <c r="BX70" s="359">
        <f ca="1" t="shared" si="10"/>
        <v>74567.23235844787</v>
      </c>
      <c r="BY70" s="359">
        <f t="shared" si="0"/>
        <v>0</v>
      </c>
      <c r="BZ70" s="360">
        <f ca="1" t="shared" si="11"/>
        <v>0</v>
      </c>
      <c r="CA70" s="307"/>
    </row>
    <row r="71" spans="2:79" ht="12.75">
      <c r="B71" s="362"/>
      <c r="C71" s="311">
        <v>2005</v>
      </c>
      <c r="D71" s="345">
        <f t="shared" si="12"/>
        <v>3707117.8539455077</v>
      </c>
      <c r="E71" s="345">
        <f t="shared" si="13"/>
        <v>85375.800888065</v>
      </c>
      <c r="F71" s="345">
        <f t="shared" si="14"/>
        <v>3786876.459015153</v>
      </c>
      <c r="G71" s="364"/>
      <c r="H71" s="12"/>
      <c r="I71" s="370"/>
      <c r="J71" s="311">
        <v>2005</v>
      </c>
      <c r="K71" s="346">
        <f t="shared" si="41"/>
        <v>0.3711541324271843</v>
      </c>
      <c r="L71" s="352">
        <f t="shared" si="28"/>
        <v>1405514.846754697</v>
      </c>
      <c r="M71" s="351">
        <f t="shared" si="29"/>
        <v>0.021514990408183943</v>
      </c>
      <c r="N71" s="371"/>
      <c r="O71" s="15"/>
      <c r="P71" s="375"/>
      <c r="Q71" s="311">
        <v>2005</v>
      </c>
      <c r="R71" s="352">
        <f ca="1">E71*FORECAST(Q71,OFFSET('Saturations and Allocations'!$C$13,1,MATCH(B$6,SATURATIONS_HOUSING_TYPE,0)-1+MATCH(B$2,HVAC_SYSTEMS,0),2,1),'Saturations and Allocations'!$C$14:$C$15)</f>
        <v>55494.270577242256</v>
      </c>
      <c r="S71" s="352">
        <f ca="1" t="shared" si="21"/>
        <v>8594.770219458665</v>
      </c>
      <c r="T71" s="352">
        <f ca="1" t="shared" si="30"/>
        <v>13533.581847164889</v>
      </c>
      <c r="U71" s="352">
        <f ca="1" t="shared" si="31"/>
        <v>77622.62264386582</v>
      </c>
      <c r="V71" s="352">
        <f ca="1" t="shared" si="32"/>
        <v>69027.85242440715</v>
      </c>
      <c r="W71" s="352">
        <f ca="1" t="shared" si="33"/>
        <v>8594.770219458665</v>
      </c>
      <c r="X71" s="373"/>
      <c r="Z71" s="343"/>
      <c r="AA71" s="311">
        <v>2005</v>
      </c>
      <c r="AB71" s="345">
        <f t="shared" si="15"/>
        <v>501802.803504951</v>
      </c>
      <c r="AC71" s="345">
        <f t="shared" si="16"/>
        <v>6657</v>
      </c>
      <c r="AD71" s="345">
        <f t="shared" si="17"/>
        <v>506185.9675530499</v>
      </c>
      <c r="AE71" s="344"/>
      <c r="AF71" s="12"/>
      <c r="AG71" s="339"/>
      <c r="AH71" s="311">
        <v>2005</v>
      </c>
      <c r="AI71" s="346">
        <f t="shared" si="42"/>
        <v>0.07626526078927102</v>
      </c>
      <c r="AJ71" s="347">
        <f t="shared" si="34"/>
        <v>38604.40482330283</v>
      </c>
      <c r="AK71" s="351">
        <f t="shared" si="35"/>
        <v>0.008734833718512025</v>
      </c>
      <c r="AL71" s="340"/>
      <c r="AM71" s="15"/>
      <c r="AN71" s="325"/>
      <c r="AO71" s="311">
        <v>2005</v>
      </c>
      <c r="AP71" s="352">
        <f ca="1">AC71*FORECAST(AO71,OFFSET('Saturations and Allocations'!$C$13,1,MATCH(Z$6,SATURATIONS_HOUSING_TYPE,0)-1+MATCH(Z$2,HVAC_SYSTEMS,0),2,1),'Saturations and Allocations'!$C$14:$C$15)</f>
        <v>332.85</v>
      </c>
      <c r="AQ71" s="347">
        <f ca="1" t="shared" si="23"/>
        <v>186.14938201357143</v>
      </c>
      <c r="AR71" s="347">
        <f ca="1" t="shared" si="36"/>
        <v>1098.0177316720205</v>
      </c>
      <c r="AS71" s="347">
        <f ca="1" t="shared" si="37"/>
        <v>1617.017113685592</v>
      </c>
      <c r="AT71" s="347">
        <f ca="1" t="shared" si="38"/>
        <v>332.85</v>
      </c>
      <c r="AU71" s="347">
        <f ca="1" t="shared" si="39"/>
        <v>1284.167113685592</v>
      </c>
      <c r="AV71" s="307"/>
      <c r="AX71" s="343"/>
      <c r="AY71" s="311">
        <v>2005</v>
      </c>
      <c r="AZ71" s="345">
        <f t="shared" si="18"/>
        <v>4208920.657450459</v>
      </c>
      <c r="BA71" s="345">
        <f t="shared" si="18"/>
        <v>92032.800888065</v>
      </c>
      <c r="BB71" s="345">
        <f t="shared" si="18"/>
        <v>4293062.426568203</v>
      </c>
      <c r="BC71" s="344"/>
      <c r="BD71" s="12"/>
      <c r="BE71" s="339"/>
      <c r="BF71" s="311">
        <v>2005</v>
      </c>
      <c r="BG71" s="346">
        <f t="shared" si="24"/>
        <v>0.33638440537013176</v>
      </c>
      <c r="BH71" s="345">
        <f t="shared" si="19"/>
        <v>1444119.2515779997</v>
      </c>
      <c r="BI71" s="351">
        <f t="shared" si="40"/>
        <v>0.01999129372248909</v>
      </c>
      <c r="BJ71" s="340"/>
      <c r="BK71" s="15"/>
      <c r="BL71" s="325"/>
      <c r="BM71" s="311">
        <v>2005</v>
      </c>
      <c r="BN71" s="345">
        <f ca="1" t="shared" si="25"/>
        <v>55827.120577242255</v>
      </c>
      <c r="BO71" s="345">
        <f ca="1" t="shared" si="25"/>
        <v>8780.919601472237</v>
      </c>
      <c r="BP71" s="345">
        <f ca="1" t="shared" si="25"/>
        <v>14631.59957883691</v>
      </c>
      <c r="BQ71" s="345">
        <f ca="1" t="shared" si="25"/>
        <v>79239.63975755141</v>
      </c>
      <c r="BR71" s="345">
        <f ca="1" t="shared" si="25"/>
        <v>69360.70242440715</v>
      </c>
      <c r="BS71" s="345">
        <f ca="1" t="shared" si="25"/>
        <v>9878.937333144258</v>
      </c>
      <c r="BT71" s="307"/>
      <c r="BV71" s="325"/>
      <c r="BW71" s="311">
        <v>2005</v>
      </c>
      <c r="BX71" s="359">
        <f ca="1" t="shared" si="10"/>
        <v>79239.63975755141</v>
      </c>
      <c r="BY71" s="359">
        <f t="shared" si="0"/>
        <v>0</v>
      </c>
      <c r="BZ71" s="360">
        <f ca="1" t="shared" si="11"/>
        <v>0</v>
      </c>
      <c r="CA71" s="307"/>
    </row>
    <row r="72" spans="2:79" ht="12.75">
      <c r="B72" s="362"/>
      <c r="C72" s="311">
        <v>2006</v>
      </c>
      <c r="D72" s="345">
        <f t="shared" si="12"/>
        <v>3786876.459015153</v>
      </c>
      <c r="E72" s="345">
        <f t="shared" si="13"/>
        <v>76635.58122167857</v>
      </c>
      <c r="F72" s="345">
        <f t="shared" si="14"/>
        <v>3857907.5998416455</v>
      </c>
      <c r="G72" s="364"/>
      <c r="H72" s="12"/>
      <c r="I72" s="370"/>
      <c r="J72" s="311">
        <v>2006</v>
      </c>
      <c r="K72" s="346">
        <f t="shared" si="41"/>
        <v>0.3817891103559869</v>
      </c>
      <c r="L72" s="352">
        <f t="shared" si="28"/>
        <v>1472907.1103791425</v>
      </c>
      <c r="M72" s="351">
        <f t="shared" si="29"/>
        <v>0.018757184607222532</v>
      </c>
      <c r="N72" s="371"/>
      <c r="O72" s="15"/>
      <c r="P72" s="375"/>
      <c r="Q72" s="311">
        <v>2006</v>
      </c>
      <c r="R72" s="352">
        <f ca="1">E72*FORECAST(Q72,OFFSET('Saturations and Allocations'!$C$13,1,MATCH(B$6,SATURATIONS_HOUSING_TYPE,0)-1+MATCH(B$2,HVAC_SYSTEMS,0),2,1),'Saturations and Allocations'!$C$14:$C$15)</f>
        <v>49813.12779409107</v>
      </c>
      <c r="S72" s="352">
        <f ca="1" t="shared" si="21"/>
        <v>8594.770219458665</v>
      </c>
      <c r="T72" s="352">
        <f ca="1" t="shared" si="30"/>
        <v>17579.135830354462</v>
      </c>
      <c r="U72" s="352">
        <f ca="1" t="shared" si="31"/>
        <v>75987.03384390421</v>
      </c>
      <c r="V72" s="352">
        <f ca="1" t="shared" si="32"/>
        <v>67392.26362444554</v>
      </c>
      <c r="W72" s="352">
        <f ca="1" t="shared" si="33"/>
        <v>8594.770219458665</v>
      </c>
      <c r="X72" s="373"/>
      <c r="Z72" s="343"/>
      <c r="AA72" s="311">
        <v>2006</v>
      </c>
      <c r="AB72" s="345">
        <f t="shared" si="15"/>
        <v>506185.9675530499</v>
      </c>
      <c r="AC72" s="345">
        <f t="shared" si="16"/>
        <v>6343</v>
      </c>
      <c r="AD72" s="345">
        <f t="shared" si="17"/>
        <v>510279.43205521867</v>
      </c>
      <c r="AE72" s="344"/>
      <c r="AF72" s="12"/>
      <c r="AG72" s="339"/>
      <c r="AH72" s="311">
        <v>2006</v>
      </c>
      <c r="AI72" s="346">
        <f t="shared" si="42"/>
        <v>0.07845055065772587</v>
      </c>
      <c r="AJ72" s="347">
        <f t="shared" si="34"/>
        <v>40031.70243404352</v>
      </c>
      <c r="AK72" s="351">
        <f t="shared" si="35"/>
        <v>0.00808687866626756</v>
      </c>
      <c r="AL72" s="340"/>
      <c r="AM72" s="15"/>
      <c r="AN72" s="325"/>
      <c r="AO72" s="311">
        <v>2006</v>
      </c>
      <c r="AP72" s="352">
        <f ca="1">AC72*FORECAST(AO72,OFFSET('Saturations and Allocations'!$C$13,1,MATCH(Z$6,SATURATIONS_HOUSING_TYPE,0)-1+MATCH(Z$2,HVAC_SYSTEMS,0),2,1),'Saturations and Allocations'!$C$14:$C$15)</f>
        <v>317.15000000000003</v>
      </c>
      <c r="AQ72" s="347">
        <f ca="1" t="shared" si="23"/>
        <v>186.14938201357143</v>
      </c>
      <c r="AR72" s="347">
        <f ca="1" t="shared" si="36"/>
        <v>1110.1476107406866</v>
      </c>
      <c r="AS72" s="347">
        <f ca="1" t="shared" si="37"/>
        <v>1613.446992754258</v>
      </c>
      <c r="AT72" s="347">
        <f ca="1" t="shared" si="38"/>
        <v>317.15000000000003</v>
      </c>
      <c r="AU72" s="347">
        <f ca="1" t="shared" si="39"/>
        <v>1296.296992754258</v>
      </c>
      <c r="AV72" s="307"/>
      <c r="AX72" s="343"/>
      <c r="AY72" s="311">
        <v>2006</v>
      </c>
      <c r="AZ72" s="345">
        <f t="shared" si="18"/>
        <v>4293062.426568203</v>
      </c>
      <c r="BA72" s="345">
        <f t="shared" si="18"/>
        <v>82978.58122167857</v>
      </c>
      <c r="BB72" s="345">
        <f t="shared" si="18"/>
        <v>4368187.031896864</v>
      </c>
      <c r="BC72" s="344"/>
      <c r="BD72" s="12"/>
      <c r="BE72" s="339"/>
      <c r="BF72" s="311">
        <v>2006</v>
      </c>
      <c r="BG72" s="346">
        <f t="shared" si="24"/>
        <v>0.3463539454161604</v>
      </c>
      <c r="BH72" s="345">
        <f t="shared" si="19"/>
        <v>1512938.812813186</v>
      </c>
      <c r="BI72" s="351">
        <f t="shared" si="40"/>
        <v>0.01749907126058603</v>
      </c>
      <c r="BJ72" s="340"/>
      <c r="BK72" s="15"/>
      <c r="BL72" s="325"/>
      <c r="BM72" s="311">
        <v>2006</v>
      </c>
      <c r="BN72" s="345">
        <f ca="1" t="shared" si="25"/>
        <v>50130.277794091075</v>
      </c>
      <c r="BO72" s="345">
        <f ca="1" t="shared" si="25"/>
        <v>8780.919601472237</v>
      </c>
      <c r="BP72" s="345">
        <f ca="1" t="shared" si="25"/>
        <v>18689.283441095147</v>
      </c>
      <c r="BQ72" s="345">
        <f ca="1" t="shared" si="25"/>
        <v>77600.48083665846</v>
      </c>
      <c r="BR72" s="345">
        <f ca="1" t="shared" si="25"/>
        <v>67709.41362444553</v>
      </c>
      <c r="BS72" s="345">
        <f ca="1" t="shared" si="25"/>
        <v>9891.067212212924</v>
      </c>
      <c r="BT72" s="307"/>
      <c r="BV72" s="325"/>
      <c r="BW72" s="311">
        <v>2006</v>
      </c>
      <c r="BX72" s="359">
        <f ca="1" t="shared" si="10"/>
        <v>77600.48083665846</v>
      </c>
      <c r="BY72" s="359">
        <f t="shared" si="0"/>
        <v>0</v>
      </c>
      <c r="BZ72" s="360">
        <f ca="1" t="shared" si="11"/>
        <v>0</v>
      </c>
      <c r="CA72" s="307"/>
    </row>
    <row r="73" spans="2:79" ht="13.5" thickBot="1">
      <c r="B73" s="362"/>
      <c r="C73" s="311">
        <v>2007</v>
      </c>
      <c r="D73" s="345">
        <f t="shared" si="12"/>
        <v>3857907.5998416455</v>
      </c>
      <c r="E73" s="345">
        <f t="shared" si="13"/>
        <v>58437.30245263851</v>
      </c>
      <c r="F73" s="345">
        <f t="shared" si="14"/>
        <v>3910753.1883575544</v>
      </c>
      <c r="G73" s="364"/>
      <c r="H73" s="12"/>
      <c r="I73" s="370"/>
      <c r="J73" s="311">
        <v>2007</v>
      </c>
      <c r="K73" s="346">
        <f t="shared" si="41"/>
        <v>0.3924240882847895</v>
      </c>
      <c r="L73" s="352">
        <f t="shared" si="28"/>
        <v>1534673.754448047</v>
      </c>
      <c r="M73" s="351">
        <f t="shared" si="29"/>
        <v>0.013697992279047444</v>
      </c>
      <c r="N73" s="371"/>
      <c r="O73" s="15"/>
      <c r="P73" s="375"/>
      <c r="Q73" s="311">
        <v>2007</v>
      </c>
      <c r="R73" s="352">
        <f ca="1">E73*FORECAST(Q73,OFFSET('Saturations and Allocations'!$C$13,1,MATCH(B$6,SATURATIONS_HOUSING_TYPE,0)-1+MATCH(B$2,HVAC_SYSTEMS,0),2,1),'Saturations and Allocations'!$C$14:$C$15)</f>
        <v>37984.24659421504</v>
      </c>
      <c r="S73" s="352">
        <f ca="1" t="shared" si="21"/>
        <v>8594.770219458665</v>
      </c>
      <c r="T73" s="352">
        <f ca="1" t="shared" si="30"/>
        <v>23782.397474689416</v>
      </c>
      <c r="U73" s="352">
        <f ca="1" t="shared" si="31"/>
        <v>70361.41428836313</v>
      </c>
      <c r="V73" s="352">
        <f ca="1" t="shared" si="32"/>
        <v>61766.644068904454</v>
      </c>
      <c r="W73" s="352">
        <f ca="1" t="shared" si="33"/>
        <v>8594.770219458665</v>
      </c>
      <c r="X73" s="373"/>
      <c r="Z73" s="343"/>
      <c r="AA73" s="311">
        <v>2007</v>
      </c>
      <c r="AB73" s="345">
        <f t="shared" si="15"/>
        <v>510279.43205521867</v>
      </c>
      <c r="AC73" s="345">
        <f t="shared" si="16"/>
        <v>8034.090443514807</v>
      </c>
      <c r="AD73" s="345">
        <f t="shared" si="17"/>
        <v>516088.0277563481</v>
      </c>
      <c r="AE73" s="344"/>
      <c r="AF73" s="12"/>
      <c r="AG73" s="339"/>
      <c r="AH73" s="311">
        <v>2007</v>
      </c>
      <c r="AI73" s="346">
        <f t="shared" si="42"/>
        <v>0.08063584052618071</v>
      </c>
      <c r="AJ73" s="347">
        <f t="shared" si="34"/>
        <v>41615.19190363201</v>
      </c>
      <c r="AK73" s="351">
        <f t="shared" si="35"/>
        <v>0.011383166430468217</v>
      </c>
      <c r="AL73" s="340"/>
      <c r="AM73" s="15"/>
      <c r="AN73" s="325"/>
      <c r="AO73" s="311">
        <v>2007</v>
      </c>
      <c r="AP73" s="352">
        <f ca="1">AC73*FORECAST(AO73,OFFSET('Saturations and Allocations'!$C$13,1,MATCH(Z$6,SATURATIONS_HOUSING_TYPE,0)-1+MATCH(Z$2,HVAC_SYSTEMS,0),2,1),'Saturations and Allocations'!$C$14:$C$15)</f>
        <v>401.70452217574035</v>
      </c>
      <c r="AQ73" s="347">
        <f ca="1" t="shared" si="23"/>
        <v>186.14938201357143</v>
      </c>
      <c r="AR73" s="347">
        <f ca="1" t="shared" si="36"/>
        <v>1181.7849474127538</v>
      </c>
      <c r="AS73" s="347">
        <f ca="1" t="shared" si="37"/>
        <v>1769.6388516020656</v>
      </c>
      <c r="AT73" s="347">
        <f ca="1" t="shared" si="38"/>
        <v>401.70452217574035</v>
      </c>
      <c r="AU73" s="347">
        <f ca="1" t="shared" si="39"/>
        <v>1367.9343294263253</v>
      </c>
      <c r="AV73" s="307"/>
      <c r="AX73" s="343"/>
      <c r="AY73" s="311">
        <v>2007</v>
      </c>
      <c r="AZ73" s="345">
        <f t="shared" si="18"/>
        <v>4368187.031896864</v>
      </c>
      <c r="BA73" s="345">
        <f t="shared" si="18"/>
        <v>66471.39289615332</v>
      </c>
      <c r="BB73" s="345">
        <f t="shared" si="18"/>
        <v>4426841.216113903</v>
      </c>
      <c r="BC73" s="344"/>
      <c r="BD73" s="12"/>
      <c r="BE73" s="339"/>
      <c r="BF73" s="311">
        <v>2007</v>
      </c>
      <c r="BG73" s="346">
        <f t="shared" si="24"/>
        <v>0.3560753298794444</v>
      </c>
      <c r="BH73" s="345">
        <f t="shared" si="19"/>
        <v>1576288.9463516788</v>
      </c>
      <c r="BI73" s="351">
        <f t="shared" si="40"/>
        <v>0.01342758077635886</v>
      </c>
      <c r="BJ73" s="340"/>
      <c r="BK73" s="15"/>
      <c r="BL73" s="325"/>
      <c r="BM73" s="311">
        <v>2007</v>
      </c>
      <c r="BN73" s="345">
        <f ca="1" t="shared" si="25"/>
        <v>38385.95111639078</v>
      </c>
      <c r="BO73" s="345">
        <f ca="1" t="shared" si="25"/>
        <v>8780.919601472237</v>
      </c>
      <c r="BP73" s="345">
        <f ca="1" t="shared" si="25"/>
        <v>24964.18242210217</v>
      </c>
      <c r="BQ73" s="345">
        <f ca="1" t="shared" si="25"/>
        <v>72131.0531399652</v>
      </c>
      <c r="BR73" s="345">
        <f ca="1" t="shared" si="25"/>
        <v>62168.3485910802</v>
      </c>
      <c r="BS73" s="345">
        <f ca="1" t="shared" si="25"/>
        <v>9962.70454888499</v>
      </c>
      <c r="BT73" s="307"/>
      <c r="BV73" s="325"/>
      <c r="BW73" s="311">
        <v>2007</v>
      </c>
      <c r="BX73" s="359">
        <f ca="1" t="shared" si="10"/>
        <v>72131.0531399652</v>
      </c>
      <c r="BY73" s="359">
        <f t="shared" si="0"/>
        <v>0</v>
      </c>
      <c r="BZ73" s="360">
        <f ca="1" t="shared" si="11"/>
        <v>0</v>
      </c>
      <c r="CA73" s="307"/>
    </row>
    <row r="74" spans="2:86" ht="15.75" thickBot="1">
      <c r="B74" s="362"/>
      <c r="C74" s="311">
        <v>2008</v>
      </c>
      <c r="D74" s="345">
        <f t="shared" si="12"/>
        <v>3910753.1883575544</v>
      </c>
      <c r="E74" s="345">
        <f t="shared" si="13"/>
        <v>34499.649056482594</v>
      </c>
      <c r="F74" s="345">
        <f t="shared" si="14"/>
        <v>3939673.8210367598</v>
      </c>
      <c r="G74" s="364"/>
      <c r="H74" s="12"/>
      <c r="I74" s="370"/>
      <c r="J74" s="311">
        <v>2008</v>
      </c>
      <c r="K74" s="346">
        <f t="shared" si="41"/>
        <v>0.40305906621359205</v>
      </c>
      <c r="L74" s="352">
        <f t="shared" si="28"/>
        <v>1587921.2514932107</v>
      </c>
      <c r="M74" s="351">
        <f t="shared" si="29"/>
        <v>0.007395156709276041</v>
      </c>
      <c r="N74" s="371"/>
      <c r="O74" s="15"/>
      <c r="P74" s="375"/>
      <c r="Q74" s="311">
        <v>2008</v>
      </c>
      <c r="R74" s="352">
        <f ca="1">E74*FORECAST(Q74,OFFSET('Saturations and Allocations'!$C$13,1,MATCH(B$6,SATURATIONS_HOUSING_TYPE,0)-1+MATCH(B$2,HVAC_SYSTEMS,0),2,1),'Saturations and Allocations'!$C$14:$C$15)</f>
        <v>22424.771886713686</v>
      </c>
      <c r="S74" s="352">
        <f ca="1" t="shared" si="21"/>
        <v>8594.770219458665</v>
      </c>
      <c r="T74" s="352">
        <f ca="1" t="shared" si="30"/>
        <v>30822.725158450077</v>
      </c>
      <c r="U74" s="352">
        <f ca="1" t="shared" si="31"/>
        <v>61842.26726462243</v>
      </c>
      <c r="V74" s="352">
        <f ca="1" t="shared" si="32"/>
        <v>53247.497045163764</v>
      </c>
      <c r="W74" s="352">
        <f ca="1" t="shared" si="33"/>
        <v>8594.770219458665</v>
      </c>
      <c r="X74" s="373"/>
      <c r="Z74" s="343"/>
      <c r="AA74" s="311">
        <v>2008</v>
      </c>
      <c r="AB74" s="345">
        <f t="shared" si="15"/>
        <v>516088.0277563481</v>
      </c>
      <c r="AC74" s="345">
        <f t="shared" si="16"/>
        <v>8325.91291995356</v>
      </c>
      <c r="AD74" s="345">
        <f t="shared" si="17"/>
        <v>522212.2297661337</v>
      </c>
      <c r="AE74" s="344"/>
      <c r="AF74" s="12"/>
      <c r="AG74" s="339"/>
      <c r="AH74" s="311">
        <v>2008</v>
      </c>
      <c r="AI74" s="346">
        <f t="shared" si="42"/>
        <v>0.08282113039463555</v>
      </c>
      <c r="AJ74" s="347">
        <f t="shared" si="34"/>
        <v>43250.20717513434</v>
      </c>
      <c r="AK74" s="351">
        <f t="shared" si="35"/>
        <v>0.011866584149239356</v>
      </c>
      <c r="AL74" s="340"/>
      <c r="AM74" s="15"/>
      <c r="AN74" s="325"/>
      <c r="AO74" s="311">
        <v>2008</v>
      </c>
      <c r="AP74" s="352">
        <f ca="1">AC74*FORECAST(AO74,OFFSET('Saturations and Allocations'!$C$13,1,MATCH(Z$6,SATURATIONS_HOUSING_TYPE,0)-1+MATCH(Z$2,HVAC_SYSTEMS,0),2,1),'Saturations and Allocations'!$C$14:$C$15)</f>
        <v>416.29564599767804</v>
      </c>
      <c r="AQ74" s="347">
        <f ca="1" t="shared" si="23"/>
        <v>186.14938201357143</v>
      </c>
      <c r="AR74" s="347">
        <f ca="1" t="shared" si="36"/>
        <v>1218.7196255046506</v>
      </c>
      <c r="AS74" s="347">
        <f ca="1" t="shared" si="37"/>
        <v>1821.1646535159</v>
      </c>
      <c r="AT74" s="347">
        <f ca="1" t="shared" si="38"/>
        <v>416.29564599767804</v>
      </c>
      <c r="AU74" s="347">
        <f ca="1" t="shared" si="39"/>
        <v>1404.8690075182221</v>
      </c>
      <c r="AV74" s="307"/>
      <c r="AX74" s="343"/>
      <c r="AY74" s="311">
        <v>2008</v>
      </c>
      <c r="AZ74" s="345">
        <f t="shared" si="18"/>
        <v>4426841.216113903</v>
      </c>
      <c r="BA74" s="345">
        <f t="shared" si="18"/>
        <v>42825.561976436155</v>
      </c>
      <c r="BB74" s="345">
        <f t="shared" si="18"/>
        <v>4461886.050802894</v>
      </c>
      <c r="BC74" s="344"/>
      <c r="BD74" s="12"/>
      <c r="BE74" s="339"/>
      <c r="BF74" s="311">
        <v>2008</v>
      </c>
      <c r="BG74" s="346">
        <f t="shared" si="24"/>
        <v>0.3655789144088124</v>
      </c>
      <c r="BH74" s="345">
        <f t="shared" si="19"/>
        <v>1631171.4586683451</v>
      </c>
      <c r="BI74" s="351">
        <f t="shared" si="40"/>
        <v>0.007916442668290502</v>
      </c>
      <c r="BJ74" s="340"/>
      <c r="BK74" s="15"/>
      <c r="BL74" s="325"/>
      <c r="BM74" s="311">
        <v>2008</v>
      </c>
      <c r="BN74" s="345">
        <f ca="1" t="shared" si="25"/>
        <v>22841.067532711364</v>
      </c>
      <c r="BO74" s="345">
        <f ca="1" t="shared" si="25"/>
        <v>8780.919601472237</v>
      </c>
      <c r="BP74" s="345">
        <f ca="1" t="shared" si="25"/>
        <v>32041.44478395473</v>
      </c>
      <c r="BQ74" s="345">
        <f ca="1" t="shared" si="25"/>
        <v>63663.43191813833</v>
      </c>
      <c r="BR74" s="345">
        <f ca="1" t="shared" si="25"/>
        <v>53663.79269116144</v>
      </c>
      <c r="BS74" s="345">
        <f ca="1" t="shared" si="25"/>
        <v>9999.639226976888</v>
      </c>
      <c r="BT74" s="307"/>
      <c r="BV74" s="325"/>
      <c r="BW74" s="311">
        <v>2008</v>
      </c>
      <c r="BX74" s="359">
        <f ca="1" t="shared" si="10"/>
        <v>63663.43191813833</v>
      </c>
      <c r="BY74" s="359">
        <f t="shared" si="0"/>
        <v>0</v>
      </c>
      <c r="BZ74" s="360">
        <f ca="1" t="shared" si="11"/>
        <v>0</v>
      </c>
      <c r="CA74" s="307"/>
      <c r="CC74" s="783"/>
      <c r="CD74" s="784">
        <v>2010</v>
      </c>
      <c r="CE74" s="784">
        <v>2011</v>
      </c>
      <c r="CF74" s="784">
        <v>2012</v>
      </c>
      <c r="CG74" s="784">
        <v>2013</v>
      </c>
      <c r="CH74" s="785" t="s">
        <v>503</v>
      </c>
    </row>
    <row r="75" spans="2:86" ht="15.75" thickBot="1">
      <c r="B75" s="362"/>
      <c r="C75" s="311">
        <v>2009</v>
      </c>
      <c r="D75" s="345">
        <f t="shared" si="12"/>
        <v>3939673.8210367598</v>
      </c>
      <c r="E75" s="345">
        <f t="shared" si="13"/>
        <v>26476.889030213424</v>
      </c>
      <c r="F75" s="345">
        <f t="shared" si="14"/>
        <v>3960584.3624157677</v>
      </c>
      <c r="G75" s="364"/>
      <c r="H75" s="12"/>
      <c r="I75" s="370"/>
      <c r="J75" s="311">
        <v>2009</v>
      </c>
      <c r="K75" s="346">
        <f t="shared" si="41"/>
        <v>0.41369404414239463</v>
      </c>
      <c r="L75" s="352">
        <f t="shared" si="28"/>
        <v>1638470.1620549066</v>
      </c>
      <c r="M75" s="351">
        <f t="shared" si="29"/>
        <v>0.005307683409563335</v>
      </c>
      <c r="N75" s="371"/>
      <c r="O75" s="15"/>
      <c r="P75" s="375"/>
      <c r="Q75" s="311">
        <v>2009</v>
      </c>
      <c r="R75" s="352">
        <f ca="1">E75*FORECAST(Q75,OFFSET('Saturations and Allocations'!$C$13,1,MATCH(B$6,SATURATIONS_HOUSING_TYPE,0)-1+MATCH(B$2,HVAC_SYSTEMS,0),2,1),'Saturations and Allocations'!$C$14:$C$15)</f>
        <v>17209.977869638726</v>
      </c>
      <c r="S75" s="352">
        <f ca="1" t="shared" si="21"/>
        <v>8594.770219458665</v>
      </c>
      <c r="T75" s="352">
        <f ca="1" t="shared" si="30"/>
        <v>33338.932692057206</v>
      </c>
      <c r="U75" s="352">
        <f ca="1" t="shared" si="31"/>
        <v>59143.680781154595</v>
      </c>
      <c r="V75" s="352">
        <f ca="1" t="shared" si="32"/>
        <v>50548.91056169593</v>
      </c>
      <c r="W75" s="352">
        <f ca="1" t="shared" si="33"/>
        <v>8594.770219458665</v>
      </c>
      <c r="X75" s="373"/>
      <c r="Z75" s="343"/>
      <c r="AA75" s="311">
        <v>2009</v>
      </c>
      <c r="AB75" s="345">
        <f t="shared" si="15"/>
        <v>522212.2297661337</v>
      </c>
      <c r="AC75" s="345">
        <f t="shared" si="16"/>
        <v>8447.209519194574</v>
      </c>
      <c r="AD75" s="345">
        <f t="shared" si="17"/>
        <v>528481.2580298844</v>
      </c>
      <c r="AE75" s="344"/>
      <c r="AF75" s="12"/>
      <c r="AG75" s="339"/>
      <c r="AH75" s="311">
        <v>2009</v>
      </c>
      <c r="AI75" s="346">
        <f t="shared" si="42"/>
        <v>0.0850064202630904</v>
      </c>
      <c r="AJ75" s="347">
        <f t="shared" si="34"/>
        <v>44924.29992125507</v>
      </c>
      <c r="AK75" s="351">
        <f t="shared" si="35"/>
        <v>0.012004751911992129</v>
      </c>
      <c r="AL75" s="340"/>
      <c r="AM75" s="15"/>
      <c r="AN75" s="325"/>
      <c r="AO75" s="311">
        <v>2009</v>
      </c>
      <c r="AP75" s="352">
        <f ca="1">AC75*FORECAST(AO75,OFFSET('Saturations and Allocations'!$C$13,1,MATCH(Z$6,SATURATIONS_HOUSING_TYPE,0)-1+MATCH(Z$2,HVAC_SYSTEMS,0),2,1),'Saturations and Allocations'!$C$14:$C$15)</f>
        <v>422.3604759597287</v>
      </c>
      <c r="AQ75" s="347">
        <f ca="1" t="shared" si="23"/>
        <v>186.14938201357143</v>
      </c>
      <c r="AR75" s="347">
        <f ca="1" t="shared" si="36"/>
        <v>1251.7322701610033</v>
      </c>
      <c r="AS75" s="347">
        <f ca="1" t="shared" si="37"/>
        <v>1860.2421281343034</v>
      </c>
      <c r="AT75" s="347">
        <f ca="1" t="shared" si="38"/>
        <v>422.3604759597287</v>
      </c>
      <c r="AU75" s="347">
        <f ca="1" t="shared" si="39"/>
        <v>1437.8816521745748</v>
      </c>
      <c r="AV75" s="307"/>
      <c r="AX75" s="343"/>
      <c r="AY75" s="311">
        <v>2009</v>
      </c>
      <c r="AZ75" s="345">
        <f t="shared" si="18"/>
        <v>4461886.050802894</v>
      </c>
      <c r="BA75" s="345">
        <f t="shared" si="18"/>
        <v>34924.098549407994</v>
      </c>
      <c r="BB75" s="345">
        <f t="shared" si="18"/>
        <v>4489065.620445652</v>
      </c>
      <c r="BC75" s="344"/>
      <c r="BD75" s="12"/>
      <c r="BE75" s="339"/>
      <c r="BF75" s="311">
        <v>2009</v>
      </c>
      <c r="BG75" s="346">
        <f t="shared" si="24"/>
        <v>0.3749988537278372</v>
      </c>
      <c r="BH75" s="345">
        <f t="shared" si="19"/>
        <v>1683394.4619761617</v>
      </c>
      <c r="BI75" s="351">
        <f t="shared" si="40"/>
        <v>0.006091497930088785</v>
      </c>
      <c r="BJ75" s="340"/>
      <c r="BK75" s="15"/>
      <c r="BL75" s="325"/>
      <c r="BM75" s="311">
        <v>2009</v>
      </c>
      <c r="BN75" s="345">
        <f ca="1" t="shared" si="25"/>
        <v>17632.338345598455</v>
      </c>
      <c r="BO75" s="345">
        <f ca="1" t="shared" si="25"/>
        <v>8780.919601472237</v>
      </c>
      <c r="BP75" s="345">
        <f ca="1" t="shared" si="25"/>
        <v>34590.66496221821</v>
      </c>
      <c r="BQ75" s="345">
        <f ca="1" t="shared" si="25"/>
        <v>61003.9229092889</v>
      </c>
      <c r="BR75" s="345">
        <f ca="1" t="shared" si="25"/>
        <v>50971.27103765566</v>
      </c>
      <c r="BS75" s="345">
        <f ca="1" t="shared" si="25"/>
        <v>10032.65187163324</v>
      </c>
      <c r="BT75" s="307"/>
      <c r="BV75" s="325"/>
      <c r="BW75" s="311">
        <v>2009</v>
      </c>
      <c r="BX75" s="359">
        <f ca="1" t="shared" si="10"/>
        <v>61003.9229092889</v>
      </c>
      <c r="BY75" s="359">
        <f t="shared" si="0"/>
        <v>0</v>
      </c>
      <c r="BZ75" s="360">
        <f ca="1" t="shared" si="11"/>
        <v>0</v>
      </c>
      <c r="CA75" s="307"/>
      <c r="CC75" s="786" t="s">
        <v>504</v>
      </c>
      <c r="CD75" s="787">
        <v>26587</v>
      </c>
      <c r="CE75" s="787">
        <v>32442</v>
      </c>
      <c r="CF75" s="787">
        <v>26719</v>
      </c>
      <c r="CG75" s="787">
        <v>32268</v>
      </c>
      <c r="CH75" s="787">
        <v>32090</v>
      </c>
    </row>
    <row r="76" spans="2:86" ht="15.75" thickBot="1">
      <c r="B76" s="362"/>
      <c r="C76" s="311">
        <v>2010</v>
      </c>
      <c r="D76" s="345">
        <f t="shared" si="12"/>
        <v>3960584.3624157677</v>
      </c>
      <c r="E76" s="345">
        <f t="shared" si="13"/>
        <v>43008.78356094843</v>
      </c>
      <c r="F76" s="345">
        <f t="shared" si="14"/>
        <v>3998039.4382836763</v>
      </c>
      <c r="G76" s="364"/>
      <c r="H76" s="12"/>
      <c r="I76" s="370"/>
      <c r="J76" s="311">
        <v>2010</v>
      </c>
      <c r="K76" s="346">
        <f t="shared" si="41"/>
        <v>0.4243290220711972</v>
      </c>
      <c r="L76" s="352">
        <f t="shared" si="28"/>
        <v>1696484.165048991</v>
      </c>
      <c r="M76" s="351">
        <f t="shared" si="29"/>
        <v>0.009456956964063457</v>
      </c>
      <c r="N76" s="371"/>
      <c r="O76" s="15"/>
      <c r="P76" s="375"/>
      <c r="Q76" s="311">
        <v>2010</v>
      </c>
      <c r="R76" s="352">
        <f ca="1">E76*FORECAST(Q76,OFFSET('Saturations and Allocations'!$C$13,1,MATCH(B$6,SATURATIONS_HOUSING_TYPE,0)-1+MATCH(B$2,HVAC_SYSTEMS,0),2,1),'Saturations and Allocations'!$C$14:$C$15)</f>
        <v>27955.70931461648</v>
      </c>
      <c r="S76" s="352">
        <f ca="1" t="shared" si="21"/>
        <v>8594.770219458665</v>
      </c>
      <c r="T76" s="352">
        <f ca="1">L76-L75-R76</f>
        <v>30058.293679468017</v>
      </c>
      <c r="U76" s="352">
        <f ca="1" t="shared" si="31"/>
        <v>66608.77321354316</v>
      </c>
      <c r="V76" s="352">
        <f ca="1" t="shared" si="32"/>
        <v>58014.0029940845</v>
      </c>
      <c r="W76" s="352">
        <f ca="1" t="shared" si="33"/>
        <v>8594.770219458665</v>
      </c>
      <c r="X76" s="373"/>
      <c r="Z76" s="343"/>
      <c r="AA76" s="311">
        <v>2010</v>
      </c>
      <c r="AB76" s="345">
        <f t="shared" si="15"/>
        <v>528481.2580298844</v>
      </c>
      <c r="AC76" s="345">
        <f t="shared" si="16"/>
        <v>8481.56998863191</v>
      </c>
      <c r="AD76" s="345">
        <f t="shared" si="17"/>
        <v>534807.9249566947</v>
      </c>
      <c r="AE76" s="344"/>
      <c r="AF76" s="12"/>
      <c r="AG76" s="339"/>
      <c r="AH76" s="311">
        <v>2010</v>
      </c>
      <c r="AI76" s="346">
        <f t="shared" si="42"/>
        <v>0.08719171013154524</v>
      </c>
      <c r="AJ76" s="347">
        <f t="shared" si="34"/>
        <v>46630.817568877326</v>
      </c>
      <c r="AK76" s="351">
        <f t="shared" si="35"/>
        <v>0.011971412099636813</v>
      </c>
      <c r="AL76" s="340"/>
      <c r="AM76" s="15"/>
      <c r="AN76" s="325"/>
      <c r="AO76" s="311">
        <v>2010</v>
      </c>
      <c r="AP76" s="352">
        <f ca="1">AC76*FORECAST(AO76,OFFSET('Saturations and Allocations'!$C$13,1,MATCH(Z$6,SATURATIONS_HOUSING_TYPE,0)-1+MATCH(Z$2,HVAC_SYSTEMS,0),2,1),'Saturations and Allocations'!$C$14:$C$15)</f>
        <v>424.07849943159556</v>
      </c>
      <c r="AQ76" s="347">
        <f ca="1" t="shared" si="23"/>
        <v>186.14938201357143</v>
      </c>
      <c r="AR76" s="347">
        <f ca="1">AJ76-AJ75-AP76</f>
        <v>1282.4391481906596</v>
      </c>
      <c r="AS76" s="347">
        <f ca="1" t="shared" si="37"/>
        <v>1892.6670296358266</v>
      </c>
      <c r="AT76" s="347">
        <f ca="1" t="shared" si="38"/>
        <v>424.07849943159556</v>
      </c>
      <c r="AU76" s="347">
        <f ca="1" t="shared" si="39"/>
        <v>1468.5885302042311</v>
      </c>
      <c r="AV76" s="307"/>
      <c r="AX76" s="343"/>
      <c r="AY76" s="311">
        <v>2010</v>
      </c>
      <c r="AZ76" s="345">
        <f t="shared" si="18"/>
        <v>4489065.620445652</v>
      </c>
      <c r="BA76" s="345">
        <f t="shared" si="18"/>
        <v>51490.353549580344</v>
      </c>
      <c r="BB76" s="345">
        <f t="shared" si="18"/>
        <v>4532847.3632403705</v>
      </c>
      <c r="BC76" s="344"/>
      <c r="BD76" s="12"/>
      <c r="BE76" s="339"/>
      <c r="BF76" s="311">
        <v>2010</v>
      </c>
      <c r="BG76" s="346">
        <f t="shared" si="24"/>
        <v>0.38455188161724857</v>
      </c>
      <c r="BH76" s="345">
        <f t="shared" si="19"/>
        <v>1743114.9826178683</v>
      </c>
      <c r="BI76" s="351">
        <f t="shared" si="40"/>
        <v>0.009752974560076177</v>
      </c>
      <c r="BJ76" s="340"/>
      <c r="BK76" s="15"/>
      <c r="BL76" s="325"/>
      <c r="BM76" s="311">
        <v>2010</v>
      </c>
      <c r="BN76" s="345">
        <f ca="1" t="shared" si="25"/>
        <v>28379.787814048075</v>
      </c>
      <c r="BO76" s="345">
        <f ca="1" t="shared" si="25"/>
        <v>8780.919601472237</v>
      </c>
      <c r="BP76" s="345">
        <f ca="1" t="shared" si="25"/>
        <v>31340.732827658678</v>
      </c>
      <c r="BQ76" s="345">
        <f ca="1" t="shared" si="25"/>
        <v>68501.44024317898</v>
      </c>
      <c r="BR76" s="345">
        <f ca="1" t="shared" si="25"/>
        <v>58438.081493516096</v>
      </c>
      <c r="BS76" s="345">
        <f ca="1" t="shared" si="25"/>
        <v>10063.358749662897</v>
      </c>
      <c r="BT76" s="307"/>
      <c r="BV76" s="325"/>
      <c r="BW76" s="311">
        <v>2010</v>
      </c>
      <c r="BX76" s="359">
        <f ca="1" t="shared" si="10"/>
        <v>68501.44024317898</v>
      </c>
      <c r="BY76" s="359">
        <f>IF(ISNUMBER(INDEX(TARGET_SHIPMENTS,MATCH($BV$2,HVAC_SYSTEMS,0),MATCH(BW76,TARGET_SHIPMENT_YEARS,0))),INDEX(TARGET_SHIPMENTS,MATCH($BV$2,HVAC_SYSTEMS,0),MATCH(BW76,TARGET_SHIPMENT_YEARS,0)),0)</f>
        <v>90123</v>
      </c>
      <c r="BZ76" s="360">
        <f ca="1" t="shared" si="11"/>
        <v>1.31563657172849</v>
      </c>
      <c r="CA76" s="307"/>
      <c r="CC76" s="786" t="s">
        <v>505</v>
      </c>
      <c r="CD76" s="787">
        <v>19027</v>
      </c>
      <c r="CE76" s="787">
        <v>12708</v>
      </c>
      <c r="CF76" s="787">
        <v>8333</v>
      </c>
      <c r="CG76" s="787">
        <v>8989</v>
      </c>
      <c r="CH76" s="787">
        <v>8184</v>
      </c>
    </row>
    <row r="77" spans="2:86" ht="15.75" thickBot="1">
      <c r="B77" s="362"/>
      <c r="C77" s="311">
        <v>2011</v>
      </c>
      <c r="D77" s="345">
        <f t="shared" si="12"/>
        <v>3998039.4382836763</v>
      </c>
      <c r="E77" s="345">
        <f t="shared" si="13"/>
        <v>59337.1751941772</v>
      </c>
      <c r="F77" s="345">
        <f t="shared" si="14"/>
        <v>4051835.517040399</v>
      </c>
      <c r="G77" s="364"/>
      <c r="H77" s="12"/>
      <c r="I77" s="370"/>
      <c r="J77" s="311">
        <v>2011</v>
      </c>
      <c r="K77" s="349">
        <f>INDEX(SATURATIONS_TABLE,MATCH(J77,SATURATIONS_YEARS,0),MATCH(B$6,SATURATIONS_HOUSING_TYPE,0)-1+MATCH(B$2,HVAC_SYSTEMS,0))</f>
        <v>0.4349640000000001</v>
      </c>
      <c r="L77" s="352">
        <f t="shared" si="28"/>
        <v>1762402.5838339604</v>
      </c>
      <c r="M77" s="351">
        <f t="shared" si="29"/>
        <v>0.013455614830006901</v>
      </c>
      <c r="N77" s="371"/>
      <c r="O77" s="15"/>
      <c r="P77" s="375"/>
      <c r="Q77" s="311">
        <v>2011</v>
      </c>
      <c r="R77" s="352">
        <f ca="1">E77*FORECAST(Q77,OFFSET('Saturations and Allocations'!$C$13,1,MATCH(B$6,SATURATIONS_HOUSING_TYPE,0)-1+MATCH(B$2,HVAC_SYSTEMS,0),2,1),'Saturations and Allocations'!$C$14:$C$15)</f>
        <v>38569.163876215185</v>
      </c>
      <c r="S77" s="352">
        <f ca="1" t="shared" si="21"/>
        <v>8594.770219458665</v>
      </c>
      <c r="T77" s="352">
        <f ca="1">L77-L76-R77</f>
        <v>27349.25490875407</v>
      </c>
      <c r="U77" s="352">
        <f ca="1">SUM(R77:T77)</f>
        <v>74513.18900442793</v>
      </c>
      <c r="V77" s="352">
        <f ca="1" t="shared" si="32"/>
        <v>65918.41878496925</v>
      </c>
      <c r="W77" s="352">
        <f ca="1" t="shared" si="33"/>
        <v>8594.770219458665</v>
      </c>
      <c r="X77" s="373"/>
      <c r="Z77" s="343"/>
      <c r="AA77" s="311">
        <v>2011</v>
      </c>
      <c r="AB77" s="345">
        <f t="shared" si="15"/>
        <v>534807.9249566947</v>
      </c>
      <c r="AC77" s="345">
        <f t="shared" si="16"/>
        <v>8353.224309281835</v>
      </c>
      <c r="AD77" s="345">
        <f t="shared" si="17"/>
        <v>541029.2756240368</v>
      </c>
      <c r="AE77" s="344"/>
      <c r="AF77" s="12"/>
      <c r="AG77" s="339"/>
      <c r="AH77" s="311">
        <v>2011</v>
      </c>
      <c r="AI77" s="349">
        <f>INDEX(SATURATIONS_TABLE,MATCH(AH77,SATURATIONS_YEARS,0),MATCH(Z$6,SATURATIONS_HOUSING_TYPE,0)-1+MATCH(Z$2,HVAC_SYSTEMS,0))</f>
        <v>0.08937700000000001</v>
      </c>
      <c r="AJ77" s="347">
        <f>AD77*AI77</f>
        <v>48355.573567449544</v>
      </c>
      <c r="AK77" s="351">
        <f t="shared" si="35"/>
        <v>0.01163286925459417</v>
      </c>
      <c r="AL77" s="340"/>
      <c r="AM77" s="15"/>
      <c r="AN77" s="325"/>
      <c r="AO77" s="311">
        <v>2011</v>
      </c>
      <c r="AP77" s="352">
        <f ca="1">AC77*FORECAST(AO77,OFFSET('Saturations and Allocations'!$C$13,1,MATCH(Z$6,SATURATIONS_HOUSING_TYPE,0)-1+MATCH(Z$2,HVAC_SYSTEMS,0),2,1),'Saturations and Allocations'!$C$14:$C$15)</f>
        <v>417.6612154640918</v>
      </c>
      <c r="AQ77" s="347">
        <f ca="1" t="shared" si="23"/>
        <v>186.14938201357143</v>
      </c>
      <c r="AR77" s="347">
        <f ca="1" t="shared" si="36"/>
        <v>1307.0947831081264</v>
      </c>
      <c r="AS77" s="347">
        <f ca="1">SUM(AP77:AR77)</f>
        <v>1910.9053805857898</v>
      </c>
      <c r="AT77" s="347">
        <f ca="1" t="shared" si="38"/>
        <v>417.6612154640918</v>
      </c>
      <c r="AU77" s="347">
        <f ca="1" t="shared" si="39"/>
        <v>1493.2441651216977</v>
      </c>
      <c r="AV77" s="307"/>
      <c r="AX77" s="343"/>
      <c r="AY77" s="311">
        <v>2011</v>
      </c>
      <c r="AZ77" s="345">
        <f t="shared" si="18"/>
        <v>4532847.3632403705</v>
      </c>
      <c r="BA77" s="345">
        <f t="shared" si="18"/>
        <v>67690.39950345903</v>
      </c>
      <c r="BB77" s="345">
        <f t="shared" si="18"/>
        <v>4592864.792664436</v>
      </c>
      <c r="BC77" s="344"/>
      <c r="BD77" s="12"/>
      <c r="BE77" s="339"/>
      <c r="BF77" s="311">
        <v>2011</v>
      </c>
      <c r="BG77" s="346">
        <f t="shared" si="24"/>
        <v>0.39425461866273315</v>
      </c>
      <c r="BH77" s="345">
        <f t="shared" si="19"/>
        <v>1810758.15740141</v>
      </c>
      <c r="BI77" s="351">
        <f t="shared" si="40"/>
        <v>0.01324055822192105</v>
      </c>
      <c r="BJ77" s="340"/>
      <c r="BK77" s="15"/>
      <c r="BL77" s="325"/>
      <c r="BM77" s="311">
        <v>2011</v>
      </c>
      <c r="BN77" s="345">
        <f ca="1" t="shared" si="25"/>
        <v>38986.825091679275</v>
      </c>
      <c r="BO77" s="345">
        <f ca="1" t="shared" si="25"/>
        <v>8780.919601472237</v>
      </c>
      <c r="BP77" s="345">
        <f ca="1" t="shared" si="25"/>
        <v>28656.349691862193</v>
      </c>
      <c r="BQ77" s="345">
        <f ca="1" t="shared" si="25"/>
        <v>76424.09438501371</v>
      </c>
      <c r="BR77" s="345">
        <f ca="1" t="shared" si="25"/>
        <v>66336.08000043334</v>
      </c>
      <c r="BS77" s="345">
        <f ca="1" t="shared" si="25"/>
        <v>10088.014384580363</v>
      </c>
      <c r="BT77" s="307"/>
      <c r="BV77" s="325"/>
      <c r="BW77" s="311">
        <v>2011</v>
      </c>
      <c r="BX77" s="359">
        <f ca="1" t="shared" si="10"/>
        <v>76424.09438501371</v>
      </c>
      <c r="BY77" s="359">
        <f t="shared" si="0"/>
        <v>81605</v>
      </c>
      <c r="BZ77" s="360">
        <f ca="1" t="shared" si="11"/>
        <v>1.0677915212038447</v>
      </c>
      <c r="CA77" s="307"/>
      <c r="CC77" s="786" t="s">
        <v>506</v>
      </c>
      <c r="CD77" s="787">
        <v>44509</v>
      </c>
      <c r="CE77" s="787">
        <v>36455</v>
      </c>
      <c r="CF77" s="787">
        <v>49553</v>
      </c>
      <c r="CG77" s="787">
        <v>60098</v>
      </c>
      <c r="CH77" s="787">
        <v>61127</v>
      </c>
    </row>
    <row r="78" spans="2:86" ht="15.75" thickBot="1">
      <c r="B78" s="362"/>
      <c r="C78" s="311">
        <v>2012</v>
      </c>
      <c r="D78" s="345">
        <f t="shared" si="12"/>
        <v>4051835.517040399</v>
      </c>
      <c r="E78" s="345">
        <f t="shared" si="13"/>
        <v>68726.91929042741</v>
      </c>
      <c r="F78" s="345">
        <f t="shared" si="14"/>
        <v>4115033.9225115534</v>
      </c>
      <c r="G78" s="364"/>
      <c r="H78" s="12"/>
      <c r="I78" s="370"/>
      <c r="J78" s="311">
        <v>2012</v>
      </c>
      <c r="K78" s="346">
        <f>FORECAST(J78,K$58:K$77,J$58:J$77)</f>
        <v>0.44559897792879966</v>
      </c>
      <c r="L78" s="380">
        <f t="shared" si="28"/>
        <v>1833654.9100134876</v>
      </c>
      <c r="M78" s="351">
        <f t="shared" si="29"/>
        <v>0.015597475565177099</v>
      </c>
      <c r="N78" s="371"/>
      <c r="O78" s="15"/>
      <c r="P78" s="375"/>
      <c r="Q78" s="311">
        <v>2012</v>
      </c>
      <c r="R78" s="352">
        <f ca="1">E78*FORECAST(Q78,OFFSET('Saturations and Allocations'!$C$13,1,MATCH(B$6,SATURATIONS_HOUSING_TYPE,0)-1+MATCH(B$2,HVAC_SYSTEMS,0),2,1),'Saturations and Allocations'!$C$14:$C$15)</f>
        <v>44672.49753877782</v>
      </c>
      <c r="S78" s="352">
        <f ca="1" t="shared" si="21"/>
        <v>8594.770219458665</v>
      </c>
      <c r="T78" s="352">
        <f ca="1">L78-L77-R78</f>
        <v>26579.828640749394</v>
      </c>
      <c r="U78" s="352">
        <f ca="1" t="shared" si="31"/>
        <v>79847.09639898589</v>
      </c>
      <c r="V78" s="352">
        <f ca="1" t="shared" si="32"/>
        <v>71252.32617952721</v>
      </c>
      <c r="W78" s="352">
        <f ca="1" t="shared" si="33"/>
        <v>8594.770219458665</v>
      </c>
      <c r="X78" s="373"/>
      <c r="Z78" s="343"/>
      <c r="AA78" s="311">
        <v>2012</v>
      </c>
      <c r="AB78" s="345">
        <f t="shared" si="15"/>
        <v>541029.2756240368</v>
      </c>
      <c r="AC78" s="345">
        <f t="shared" si="16"/>
        <v>8067.339603182001</v>
      </c>
      <c r="AD78" s="345">
        <f t="shared" si="17"/>
        <v>546987.524890062</v>
      </c>
      <c r="AE78" s="344"/>
      <c r="AF78" s="12"/>
      <c r="AG78" s="339"/>
      <c r="AH78" s="311">
        <v>2012</v>
      </c>
      <c r="AI78" s="346">
        <f>FORECAST(AH78,AI$58:AI$77,AH$58:AH$77)</f>
        <v>0.09156228986845516</v>
      </c>
      <c r="AJ78" s="350">
        <f t="shared" si="34"/>
        <v>50083.430308412695</v>
      </c>
      <c r="AK78" s="351">
        <f t="shared" si="35"/>
        <v>0.011012803806509153</v>
      </c>
      <c r="AL78" s="340"/>
      <c r="AM78" s="15"/>
      <c r="AN78" s="325"/>
      <c r="AO78" s="311">
        <v>2012</v>
      </c>
      <c r="AP78" s="352">
        <f ca="1">AC78*FORECAST(AO78,OFFSET('Saturations and Allocations'!$C$13,1,MATCH(Z$6,SATURATIONS_HOUSING_TYPE,0)-1+MATCH(Z$2,HVAC_SYSTEMS,0),2,1),'Saturations and Allocations'!$C$14:$C$15)</f>
        <v>403.3669801591001</v>
      </c>
      <c r="AQ78" s="347">
        <f ca="1" t="shared" si="23"/>
        <v>186.14938201357143</v>
      </c>
      <c r="AR78" s="347">
        <f ca="1" t="shared" si="36"/>
        <v>1324.4897608040505</v>
      </c>
      <c r="AS78" s="347">
        <f ca="1">SUM(AP78:AR78)</f>
        <v>1914.006122976722</v>
      </c>
      <c r="AT78" s="347">
        <f ca="1" t="shared" si="38"/>
        <v>403.3669801591001</v>
      </c>
      <c r="AU78" s="347">
        <f ca="1" t="shared" si="39"/>
        <v>1510.639142817622</v>
      </c>
      <c r="AV78" s="307"/>
      <c r="AX78" s="343"/>
      <c r="AY78" s="311">
        <v>2012</v>
      </c>
      <c r="AZ78" s="345">
        <f aca="true" t="shared" si="43" ref="AZ78:BB81">D78+AB78</f>
        <v>4592864.792664436</v>
      </c>
      <c r="BA78" s="345">
        <f t="shared" si="43"/>
        <v>76794.25889360941</v>
      </c>
      <c r="BB78" s="345">
        <f t="shared" si="43"/>
        <v>4662021.447401616</v>
      </c>
      <c r="BC78" s="344"/>
      <c r="BD78" s="12"/>
      <c r="BE78" s="339"/>
      <c r="BF78" s="311">
        <v>2012</v>
      </c>
      <c r="BG78" s="346">
        <f t="shared" si="24"/>
        <v>0.40406041919258107</v>
      </c>
      <c r="BH78" s="345">
        <f t="shared" si="19"/>
        <v>1883738.3403219003</v>
      </c>
      <c r="BI78" s="351">
        <f t="shared" si="40"/>
        <v>0.015057411410767996</v>
      </c>
      <c r="BJ78" s="340"/>
      <c r="BK78" s="15"/>
      <c r="BL78" s="325"/>
      <c r="BM78" s="311">
        <v>2012</v>
      </c>
      <c r="BN78" s="345">
        <f ca="1" t="shared" si="25"/>
        <v>45075.86451893692</v>
      </c>
      <c r="BO78" s="345">
        <f ca="1" t="shared" si="25"/>
        <v>8780.919601472237</v>
      </c>
      <c r="BP78" s="345">
        <f ca="1" t="shared" si="25"/>
        <v>27904.318401553446</v>
      </c>
      <c r="BQ78" s="345">
        <f ca="1" t="shared" si="25"/>
        <v>81761.1025219626</v>
      </c>
      <c r="BR78" s="345">
        <f ca="1" t="shared" si="25"/>
        <v>71655.69315968631</v>
      </c>
      <c r="BS78" s="345">
        <f ca="1" t="shared" si="25"/>
        <v>10105.409362276288</v>
      </c>
      <c r="BT78" s="307"/>
      <c r="BV78" s="325"/>
      <c r="BW78" s="311">
        <v>2012</v>
      </c>
      <c r="BX78" s="359">
        <f ca="1" t="shared" si="10"/>
        <v>81761.1025219626</v>
      </c>
      <c r="BY78" s="359">
        <f t="shared" si="0"/>
        <v>84605</v>
      </c>
      <c r="BZ78" s="360">
        <f ca="1" t="shared" si="11"/>
        <v>1.034783012830257</v>
      </c>
      <c r="CA78" s="307"/>
      <c r="CC78" s="788" t="s">
        <v>507</v>
      </c>
      <c r="CD78" s="789">
        <v>90123</v>
      </c>
      <c r="CE78" s="789">
        <v>81605</v>
      </c>
      <c r="CF78" s="789">
        <v>84605</v>
      </c>
      <c r="CG78" s="789">
        <v>101355</v>
      </c>
      <c r="CH78" s="789">
        <v>101401</v>
      </c>
    </row>
    <row r="79" spans="2:79" ht="12.75">
      <c r="B79" s="362"/>
      <c r="C79" s="311">
        <v>2013</v>
      </c>
      <c r="D79" s="345">
        <f t="shared" si="12"/>
        <v>4115033.9225115534</v>
      </c>
      <c r="E79" s="345">
        <f t="shared" si="13"/>
        <v>70465.6470764123</v>
      </c>
      <c r="F79" s="345">
        <f t="shared" si="14"/>
        <v>4179983.6098145</v>
      </c>
      <c r="G79" s="364"/>
      <c r="H79" s="12"/>
      <c r="I79" s="370"/>
      <c r="J79" s="311">
        <v>2013</v>
      </c>
      <c r="K79" s="346">
        <f>FORECAST(J79,K$58:K$77,J$58:J$77)</f>
        <v>0.45623395585760207</v>
      </c>
      <c r="L79" s="352">
        <f t="shared" si="28"/>
        <v>1907050.4577256087</v>
      </c>
      <c r="M79" s="351">
        <f t="shared" si="29"/>
        <v>0.015783512001598554</v>
      </c>
      <c r="N79" s="371"/>
      <c r="O79" s="15"/>
      <c r="P79" s="375"/>
      <c r="Q79" s="311">
        <v>2013</v>
      </c>
      <c r="R79" s="352">
        <f ca="1">E79*FORECAST(Q79,OFFSET('Saturations and Allocations'!$C$13,1,MATCH(B$6,SATURATIONS_HOUSING_TYPE,0)-1+MATCH(B$2,HVAC_SYSTEMS,0),2,1),'Saturations and Allocations'!$C$14:$C$15)</f>
        <v>45802.670599667996</v>
      </c>
      <c r="S79" s="352">
        <f ca="1" t="shared" si="21"/>
        <v>39514.94566411932</v>
      </c>
      <c r="T79" s="352">
        <f ca="1" t="shared" si="30"/>
        <v>27592.877112453163</v>
      </c>
      <c r="U79" s="352">
        <f ca="1" t="shared" si="31"/>
        <v>112910.49337624048</v>
      </c>
      <c r="V79" s="352">
        <f ca="1" t="shared" si="32"/>
        <v>73395.54771212116</v>
      </c>
      <c r="W79" s="352">
        <f ca="1" t="shared" si="33"/>
        <v>39514.94566411932</v>
      </c>
      <c r="X79" s="373"/>
      <c r="Z79" s="343"/>
      <c r="AA79" s="311">
        <v>2013</v>
      </c>
      <c r="AB79" s="345">
        <f t="shared" si="15"/>
        <v>546987.524890062</v>
      </c>
      <c r="AC79" s="345">
        <f t="shared" si="16"/>
        <v>7708.062064448706</v>
      </c>
      <c r="AD79" s="345">
        <f t="shared" si="17"/>
        <v>552609.0364372669</v>
      </c>
      <c r="AE79" s="344"/>
      <c r="AF79" s="12"/>
      <c r="AG79" s="339"/>
      <c r="AH79" s="311">
        <v>2013</v>
      </c>
      <c r="AI79" s="346">
        <f>FORECAST(AH79,AI$58:AI$77,AH$58:AH$77)</f>
        <v>0.0937475797369105</v>
      </c>
      <c r="AJ79" s="347">
        <f t="shared" si="34"/>
        <v>51805.759706739955</v>
      </c>
      <c r="AK79" s="351">
        <f t="shared" si="35"/>
        <v>0.010277220761725214</v>
      </c>
      <c r="AL79" s="340"/>
      <c r="AM79" s="15"/>
      <c r="AN79" s="325"/>
      <c r="AO79" s="311">
        <v>2013</v>
      </c>
      <c r="AP79" s="352">
        <f ca="1">AC79*FORECAST(AO79,OFFSET('Saturations and Allocations'!$C$13,1,MATCH(Z$6,SATURATIONS_HOUSING_TYPE,0)-1+MATCH(Z$2,HVAC_SYSTEMS,0),2,1),'Saturations and Allocations'!$C$14:$C$15)</f>
        <v>385.40310322243533</v>
      </c>
      <c r="AQ79" s="347">
        <f ca="1" t="shared" si="23"/>
        <v>976.0531900324908</v>
      </c>
      <c r="AR79" s="347">
        <f ca="1" t="shared" si="36"/>
        <v>1336.9262951048245</v>
      </c>
      <c r="AS79" s="347">
        <f ca="1">SUM(AP79:AR79)</f>
        <v>2698.3825883597506</v>
      </c>
      <c r="AT79" s="347">
        <f ca="1" t="shared" si="38"/>
        <v>385.40310322243533</v>
      </c>
      <c r="AU79" s="347">
        <f ca="1" t="shared" si="39"/>
        <v>2312.9794851373154</v>
      </c>
      <c r="AV79" s="307"/>
      <c r="AX79" s="343"/>
      <c r="AY79" s="311">
        <v>2013</v>
      </c>
      <c r="AZ79" s="345">
        <f t="shared" si="43"/>
        <v>4662021.447401616</v>
      </c>
      <c r="BA79" s="345">
        <f t="shared" si="43"/>
        <v>78173.709140861</v>
      </c>
      <c r="BB79" s="345">
        <f t="shared" si="43"/>
        <v>4732592.646251767</v>
      </c>
      <c r="BC79" s="344"/>
      <c r="BD79" s="12"/>
      <c r="BE79" s="339"/>
      <c r="BF79" s="311">
        <v>2013</v>
      </c>
      <c r="BG79" s="346">
        <f t="shared" si="24"/>
        <v>0.4139076324229534</v>
      </c>
      <c r="BH79" s="345">
        <f t="shared" si="19"/>
        <v>1958856.2174323488</v>
      </c>
      <c r="BI79" s="351">
        <f t="shared" si="40"/>
        <v>0.015137467651394898</v>
      </c>
      <c r="BJ79" s="340"/>
      <c r="BK79" s="15"/>
      <c r="BL79" s="325"/>
      <c r="BM79" s="311">
        <v>2013</v>
      </c>
      <c r="BN79" s="345">
        <f aca="true" t="shared" si="44" ref="BN79:BS81">R79+AP79</f>
        <v>46188.07370289043</v>
      </c>
      <c r="BO79" s="345">
        <f ca="1" t="shared" si="44"/>
        <v>40490.99885415181</v>
      </c>
      <c r="BP79" s="345">
        <f ca="1" t="shared" si="44"/>
        <v>28929.80340755799</v>
      </c>
      <c r="BQ79" s="345">
        <f ca="1" t="shared" si="44"/>
        <v>115608.87596460023</v>
      </c>
      <c r="BR79" s="345">
        <f ca="1" t="shared" si="44"/>
        <v>73780.95081534359</v>
      </c>
      <c r="BS79" s="345">
        <f ca="1" t="shared" si="44"/>
        <v>41827.92514925663</v>
      </c>
      <c r="BT79" s="307"/>
      <c r="BV79" s="325"/>
      <c r="BW79" s="311">
        <v>2013</v>
      </c>
      <c r="BX79" s="359">
        <f ca="1" t="shared" si="10"/>
        <v>115608.87596460023</v>
      </c>
      <c r="BY79" s="359">
        <f t="shared" si="0"/>
        <v>101355</v>
      </c>
      <c r="BZ79" s="360">
        <f ca="1" t="shared" si="11"/>
        <v>0.8767060414205151</v>
      </c>
      <c r="CA79" s="307"/>
    </row>
    <row r="80" spans="2:79" ht="12.75">
      <c r="B80" s="362"/>
      <c r="C80" s="311">
        <v>2014</v>
      </c>
      <c r="D80" s="345">
        <f t="shared" si="12"/>
        <v>4179983.6098145</v>
      </c>
      <c r="E80" s="345">
        <f t="shared" si="13"/>
        <v>69968.6195570465</v>
      </c>
      <c r="F80" s="345">
        <f t="shared" si="14"/>
        <v>4244448.795136396</v>
      </c>
      <c r="G80" s="364"/>
      <c r="H80" s="12"/>
      <c r="I80" s="370"/>
      <c r="J80" s="311">
        <v>2014</v>
      </c>
      <c r="K80" s="346">
        <f>FORECAST(J80,K$58:K$77,J$58:J$77)</f>
        <v>0.4668689337864045</v>
      </c>
      <c r="L80" s="352">
        <f t="shared" si="28"/>
        <v>1981601.2834963184</v>
      </c>
      <c r="M80" s="351">
        <f t="shared" si="29"/>
        <v>0.015422353611754147</v>
      </c>
      <c r="N80" s="371"/>
      <c r="O80" s="15"/>
      <c r="P80" s="375"/>
      <c r="Q80" s="311">
        <v>2014</v>
      </c>
      <c r="R80" s="352">
        <f ca="1">E80*FORECAST(Q80,OFFSET('Saturations and Allocations'!$C$13,1,MATCH(B$6,SATURATIONS_HOUSING_TYPE,0)-1+MATCH(B$2,HVAC_SYSTEMS,0),2,1),'Saturations and Allocations'!$C$14:$C$15)</f>
        <v>45479.60271208023</v>
      </c>
      <c r="S80" s="352">
        <f ca="1" t="shared" si="21"/>
        <v>38787.90963662811</v>
      </c>
      <c r="T80" s="352">
        <f ca="1" t="shared" si="30"/>
        <v>29071.22305862943</v>
      </c>
      <c r="U80" s="352">
        <f ca="1" t="shared" si="31"/>
        <v>113338.73540733778</v>
      </c>
      <c r="V80" s="352">
        <f ca="1" t="shared" si="32"/>
        <v>74550.82577070966</v>
      </c>
      <c r="W80" s="352">
        <f ca="1" t="shared" si="33"/>
        <v>38787.90963662811</v>
      </c>
      <c r="X80" s="373"/>
      <c r="Z80" s="343"/>
      <c r="AA80" s="311">
        <v>2014</v>
      </c>
      <c r="AB80" s="345">
        <f t="shared" si="15"/>
        <v>552609.0364372669</v>
      </c>
      <c r="AC80" s="345">
        <f t="shared" si="16"/>
        <v>7248.026214204614</v>
      </c>
      <c r="AD80" s="345">
        <f t="shared" si="17"/>
        <v>557792.8110713898</v>
      </c>
      <c r="AE80" s="344"/>
      <c r="AF80" s="12"/>
      <c r="AG80" s="339"/>
      <c r="AH80" s="311">
        <v>2014</v>
      </c>
      <c r="AI80" s="346">
        <f>FORECAST(AH80,AI$58:AI$77,AH$58:AH$77)</f>
        <v>0.09593286960536496</v>
      </c>
      <c r="AJ80" s="347">
        <f t="shared" si="34"/>
        <v>53510.66501132161</v>
      </c>
      <c r="AK80" s="351">
        <f t="shared" si="35"/>
        <v>0.00938054626747209</v>
      </c>
      <c r="AL80" s="340"/>
      <c r="AM80" s="15"/>
      <c r="AN80" s="325"/>
      <c r="AO80" s="311">
        <v>2014</v>
      </c>
      <c r="AP80" s="352">
        <f ca="1">AC80*FORECAST(AO80,OFFSET('Saturations and Allocations'!$C$13,1,MATCH(Z$6,SATURATIONS_HOUSING_TYPE,0)-1+MATCH(Z$2,HVAC_SYSTEMS,0),2,1),'Saturations and Allocations'!$C$14:$C$15)</f>
        <v>362.40131071023075</v>
      </c>
      <c r="AQ80" s="347">
        <f ca="1" t="shared" si="23"/>
        <v>957.1822587275476</v>
      </c>
      <c r="AR80" s="347">
        <f ca="1" t="shared" si="36"/>
        <v>1342.5039938714237</v>
      </c>
      <c r="AS80" s="347">
        <f ca="1">SUM(AP80:AR80)</f>
        <v>2662.087563309202</v>
      </c>
      <c r="AT80" s="347">
        <f ca="1" t="shared" si="38"/>
        <v>362.40131071023075</v>
      </c>
      <c r="AU80" s="347">
        <f ca="1" t="shared" si="39"/>
        <v>2299.6862525989714</v>
      </c>
      <c r="AV80" s="307"/>
      <c r="AX80" s="343"/>
      <c r="AY80" s="311">
        <v>2014</v>
      </c>
      <c r="AZ80" s="345">
        <f t="shared" si="43"/>
        <v>4732592.646251767</v>
      </c>
      <c r="BA80" s="345">
        <f t="shared" si="43"/>
        <v>77216.64577125112</v>
      </c>
      <c r="BB80" s="345">
        <f t="shared" si="43"/>
        <v>4802241.606207786</v>
      </c>
      <c r="BC80" s="344"/>
      <c r="BD80" s="12"/>
      <c r="BE80" s="339"/>
      <c r="BF80" s="311">
        <v>2014</v>
      </c>
      <c r="BG80" s="346">
        <f t="shared" si="24"/>
        <v>0.4237837483805232</v>
      </c>
      <c r="BH80" s="345">
        <f t="shared" si="19"/>
        <v>2035111.94850764</v>
      </c>
      <c r="BI80" s="351">
        <f t="shared" si="40"/>
        <v>0.014716871947806798</v>
      </c>
      <c r="BJ80" s="340"/>
      <c r="BK80" s="15"/>
      <c r="BL80" s="325"/>
      <c r="BM80" s="311">
        <v>2014</v>
      </c>
      <c r="BN80" s="345">
        <f ca="1" t="shared" si="44"/>
        <v>45842.00402279046</v>
      </c>
      <c r="BO80" s="345">
        <f ca="1" t="shared" si="44"/>
        <v>39745.091895355654</v>
      </c>
      <c r="BP80" s="345">
        <f ca="1" t="shared" si="44"/>
        <v>30413.727052500857</v>
      </c>
      <c r="BQ80" s="345">
        <f ca="1" t="shared" si="44"/>
        <v>116000.82297064699</v>
      </c>
      <c r="BR80" s="345">
        <f ca="1" t="shared" si="44"/>
        <v>74913.2270814199</v>
      </c>
      <c r="BS80" s="345">
        <f ca="1" t="shared" si="44"/>
        <v>41087.59588922708</v>
      </c>
      <c r="BT80" s="307"/>
      <c r="BV80" s="325"/>
      <c r="BW80" s="311">
        <v>2014</v>
      </c>
      <c r="BX80" s="359">
        <f ca="1" t="shared" si="10"/>
        <v>116000.82297064699</v>
      </c>
      <c r="BY80" s="359">
        <f t="shared" si="0"/>
        <v>101401</v>
      </c>
      <c r="BZ80" s="360">
        <f ca="1" t="shared" si="11"/>
        <v>0.8741403500702634</v>
      </c>
      <c r="CA80" s="307"/>
    </row>
    <row r="81" spans="2:79" ht="12.75">
      <c r="B81" s="362"/>
      <c r="C81" s="311">
        <v>2015</v>
      </c>
      <c r="D81" s="345">
        <f t="shared" si="12"/>
        <v>4244448.795136396</v>
      </c>
      <c r="E81" s="345">
        <f t="shared" si="13"/>
        <v>70186.049138642</v>
      </c>
      <c r="F81" s="345">
        <f t="shared" si="14"/>
        <v>4309143.907135445</v>
      </c>
      <c r="G81" s="364"/>
      <c r="H81" s="12"/>
      <c r="I81" s="370"/>
      <c r="J81" s="311">
        <v>2015</v>
      </c>
      <c r="K81" s="346">
        <f>FORECAST(J81,K$58:K$77,J$58:J$77)</f>
        <v>0.4775039117152069</v>
      </c>
      <c r="L81" s="352">
        <f t="shared" si="28"/>
        <v>2057633.071800925</v>
      </c>
      <c r="M81" s="351">
        <f t="shared" si="29"/>
        <v>0.015242288250286284</v>
      </c>
      <c r="N81" s="371"/>
      <c r="O81" s="15"/>
      <c r="P81" s="375"/>
      <c r="Q81" s="311">
        <v>2015</v>
      </c>
      <c r="R81" s="352">
        <f ca="1">E81*FORECAST(Q81,OFFSET('Saturations and Allocations'!$C$13,1,MATCH(B$6,SATURATIONS_HOUSING_TYPE,0)-1+MATCH(B$2,HVAC_SYSTEMS,0),2,1),'Saturations and Allocations'!$C$14:$C$15)</f>
        <v>45620.931940117305</v>
      </c>
      <c r="S81" s="352">
        <f ca="1" t="shared" si="21"/>
        <v>40861.64128207921</v>
      </c>
      <c r="T81" s="352">
        <f ca="1" t="shared" si="30"/>
        <v>30410.85636448938</v>
      </c>
      <c r="U81" s="352">
        <f ca="1" t="shared" si="31"/>
        <v>116893.4295866859</v>
      </c>
      <c r="V81" s="352">
        <f ca="1" t="shared" si="32"/>
        <v>76031.78830460669</v>
      </c>
      <c r="W81" s="352">
        <f ca="1" t="shared" si="33"/>
        <v>40861.64128207921</v>
      </c>
      <c r="X81" s="373"/>
      <c r="Z81" s="343"/>
      <c r="AA81" s="311">
        <v>2015</v>
      </c>
      <c r="AB81" s="345">
        <f t="shared" si="15"/>
        <v>557792.8110713898</v>
      </c>
      <c r="AC81" s="345">
        <f t="shared" si="16"/>
        <v>6822.261232801542</v>
      </c>
      <c r="AD81" s="345">
        <f t="shared" si="17"/>
        <v>562572.8813528321</v>
      </c>
      <c r="AE81" s="344"/>
      <c r="AF81" s="12"/>
      <c r="AG81" s="339"/>
      <c r="AH81" s="311">
        <v>2015</v>
      </c>
      <c r="AI81" s="346">
        <f>FORECAST(AH81,AI$58:AI$77,AH$58:AH$77)</f>
        <v>0.0981181594738203</v>
      </c>
      <c r="AJ81" s="347">
        <f t="shared" si="34"/>
        <v>55198.61568822376</v>
      </c>
      <c r="AK81" s="351">
        <f t="shared" si="35"/>
        <v>0.008569616148800474</v>
      </c>
      <c r="AL81" s="340"/>
      <c r="AM81" s="15"/>
      <c r="AN81" s="325"/>
      <c r="AO81" s="311">
        <v>2015</v>
      </c>
      <c r="AP81" s="352">
        <f ca="1">AC81*FORECAST(AO81,OFFSET('Saturations and Allocations'!$C$13,1,MATCH(Z$6,SATURATIONS_HOUSING_TYPE,0)-1+MATCH(Z$2,HVAC_SYSTEMS,0),2,1),'Saturations and Allocations'!$C$14:$C$15)</f>
        <v>341.11306164007715</v>
      </c>
      <c r="AQ81" s="347">
        <f ca="1" t="shared" si="23"/>
        <v>1078.2147560112076</v>
      </c>
      <c r="AR81" s="347">
        <f ca="1" t="shared" si="36"/>
        <v>1346.8376152620765</v>
      </c>
      <c r="AS81" s="347">
        <f ca="1">SUM(AP81:AR81)</f>
        <v>2766.165432913361</v>
      </c>
      <c r="AT81" s="347">
        <f ca="1" t="shared" si="38"/>
        <v>341.11306164007715</v>
      </c>
      <c r="AU81" s="347">
        <f ca="1" t="shared" si="39"/>
        <v>2425.052371273284</v>
      </c>
      <c r="AV81" s="307"/>
      <c r="AX81" s="343"/>
      <c r="AY81" s="311">
        <v>2015</v>
      </c>
      <c r="AZ81" s="345">
        <f t="shared" si="43"/>
        <v>4802241.606207786</v>
      </c>
      <c r="BA81" s="345">
        <f t="shared" si="43"/>
        <v>77008.31037144354</v>
      </c>
      <c r="BB81" s="345">
        <f t="shared" si="43"/>
        <v>4871716.788488276</v>
      </c>
      <c r="BC81" s="344"/>
      <c r="BD81" s="12"/>
      <c r="BE81" s="339"/>
      <c r="BF81" s="311">
        <v>2015</v>
      </c>
      <c r="BG81" s="346">
        <f>BH81/BB81</f>
        <v>0.43369345535062875</v>
      </c>
      <c r="BH81" s="345">
        <f t="shared" si="19"/>
        <v>2112831.6874891487</v>
      </c>
      <c r="BI81" s="351">
        <f t="shared" si="40"/>
        <v>0.014467240088603672</v>
      </c>
      <c r="BJ81" s="340"/>
      <c r="BK81" s="15"/>
      <c r="BL81" s="325"/>
      <c r="BM81" s="311">
        <v>2015</v>
      </c>
      <c r="BN81" s="345">
        <f ca="1" t="shared" si="44"/>
        <v>45962.04500175738</v>
      </c>
      <c r="BO81" s="345">
        <f ca="1" t="shared" si="44"/>
        <v>41939.85603809042</v>
      </c>
      <c r="BP81" s="345">
        <f ca="1" t="shared" si="44"/>
        <v>31757.693979751457</v>
      </c>
      <c r="BQ81" s="345">
        <f ca="1" t="shared" si="44"/>
        <v>119659.59501959926</v>
      </c>
      <c r="BR81" s="345">
        <f ca="1" t="shared" si="44"/>
        <v>76372.90136624676</v>
      </c>
      <c r="BS81" s="345">
        <f ca="1" t="shared" si="44"/>
        <v>43286.69365335249</v>
      </c>
      <c r="BT81" s="307"/>
      <c r="BV81" s="325"/>
      <c r="BW81" s="311">
        <v>2015</v>
      </c>
      <c r="BX81" s="359">
        <f ca="1" t="shared" si="10"/>
        <v>119659.59501959926</v>
      </c>
      <c r="BY81" s="359">
        <f t="shared" si="0"/>
        <v>0</v>
      </c>
      <c r="BZ81" s="360">
        <f ca="1" t="shared" si="11"/>
        <v>0</v>
      </c>
      <c r="CA81" s="307"/>
    </row>
    <row r="82" spans="2:79" ht="13.5" thickBot="1">
      <c r="B82" s="365"/>
      <c r="C82" s="366"/>
      <c r="D82" s="367"/>
      <c r="E82" s="367"/>
      <c r="F82" s="367"/>
      <c r="G82" s="368"/>
      <c r="I82" s="365"/>
      <c r="J82" s="366"/>
      <c r="K82" s="372"/>
      <c r="L82" s="367"/>
      <c r="M82" s="367"/>
      <c r="N82" s="368"/>
      <c r="P82" s="365"/>
      <c r="Q82" s="366"/>
      <c r="R82" s="367"/>
      <c r="S82" s="367"/>
      <c r="T82" s="367"/>
      <c r="U82" s="367"/>
      <c r="V82" s="367"/>
      <c r="W82" s="367"/>
      <c r="X82" s="368"/>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26"/>
      <c r="AY82" s="312"/>
      <c r="AZ82" s="314"/>
      <c r="BA82" s="314"/>
      <c r="BB82" s="314"/>
      <c r="BC82" s="315"/>
      <c r="BE82" s="326"/>
      <c r="BF82" s="312"/>
      <c r="BG82" s="341"/>
      <c r="BH82" s="314"/>
      <c r="BI82" s="314"/>
      <c r="BJ82" s="315"/>
      <c r="BL82" s="326"/>
      <c r="BM82" s="312"/>
      <c r="BN82" s="314"/>
      <c r="BO82" s="314"/>
      <c r="BP82" s="314"/>
      <c r="BQ82" s="314"/>
      <c r="BR82" s="314"/>
      <c r="BS82" s="314"/>
      <c r="BT82" s="315"/>
      <c r="BV82" s="326"/>
      <c r="BW82" s="312"/>
      <c r="BX82" s="314"/>
      <c r="BY82" s="314"/>
      <c r="BZ82" s="314"/>
      <c r="CA82" s="315"/>
    </row>
    <row r="83" ht="12.75"/>
    <row r="84" ht="12.75">
      <c r="T84" s="37"/>
    </row>
    <row r="85" ht="12.75">
      <c r="T85" s="37"/>
    </row>
    <row r="86" ht="12.75">
      <c r="T86" s="37"/>
    </row>
    <row r="87" ht="12.75">
      <c r="T87" s="37"/>
    </row>
    <row r="88" ht="12.75">
      <c r="T88" s="37"/>
    </row>
  </sheetData>
  <mergeCells count="17">
    <mergeCell ref="AO9:AS9"/>
    <mergeCell ref="AY9:BB9"/>
    <mergeCell ref="BF9:BI9"/>
    <mergeCell ref="BM9:BQ9"/>
    <mergeCell ref="B2:G2"/>
    <mergeCell ref="Z2:AE2"/>
    <mergeCell ref="AX2:BC2"/>
    <mergeCell ref="C9:F9"/>
    <mergeCell ref="J9:M9"/>
    <mergeCell ref="Q9:U9"/>
    <mergeCell ref="AA9:AD9"/>
    <mergeCell ref="AH9:AK9"/>
    <mergeCell ref="BV2:CA2"/>
    <mergeCell ref="B4:G4"/>
    <mergeCell ref="Z4:AE4"/>
    <mergeCell ref="AX4:BC4"/>
    <mergeCell ref="BV4:CA4"/>
  </mergeCells>
  <conditionalFormatting sqref="U11:U46">
    <cfRule type="cellIs" priority="7" dxfId="0" operator="equal">
      <formula>100000</formula>
    </cfRule>
  </conditionalFormatting>
  <conditionalFormatting sqref="BX11:BY81">
    <cfRule type="cellIs" priority="6" dxfId="0" operator="equal">
      <formula>100000</formula>
    </cfRule>
  </conditionalFormatting>
  <conditionalFormatting sqref="BX9:BY9">
    <cfRule type="cellIs" priority="5"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A105"/>
  <sheetViews>
    <sheetView zoomScale="70" zoomScaleNormal="70" workbookViewId="0" topLeftCell="A40">
      <selection activeCell="W70" sqref="W70"/>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16384" width="9.140625" style="4" customWidth="1"/>
  </cols>
  <sheetData>
    <row r="1" ht="13.5" thickBot="1"/>
    <row r="2" spans="2:79" ht="13.5" thickBot="1">
      <c r="B2" s="913" t="s">
        <v>173</v>
      </c>
      <c r="C2" s="914"/>
      <c r="D2" s="914"/>
      <c r="E2" s="914"/>
      <c r="F2" s="914"/>
      <c r="G2" s="915"/>
      <c r="Z2" s="913" t="str">
        <f>$B$2</f>
        <v>ASHP</v>
      </c>
      <c r="AA2" s="914"/>
      <c r="AB2" s="914"/>
      <c r="AC2" s="914"/>
      <c r="AD2" s="914"/>
      <c r="AE2" s="915"/>
      <c r="AX2" s="913" t="str">
        <f>$B$2</f>
        <v>ASHP</v>
      </c>
      <c r="AY2" s="914"/>
      <c r="AZ2" s="914"/>
      <c r="BA2" s="914"/>
      <c r="BB2" s="914"/>
      <c r="BC2" s="915"/>
      <c r="BV2" s="913" t="str">
        <f>$B$2</f>
        <v>ASHP</v>
      </c>
      <c r="BW2" s="914"/>
      <c r="BX2" s="914"/>
      <c r="BY2" s="914"/>
      <c r="BZ2" s="914"/>
      <c r="CA2" s="915"/>
    </row>
    <row r="3" spans="2:79" ht="13.5" thickBot="1">
      <c r="B3" s="29"/>
      <c r="C3" s="29"/>
      <c r="D3" s="29"/>
      <c r="E3" s="29"/>
      <c r="F3" s="29"/>
      <c r="G3" s="29"/>
      <c r="Z3" s="29"/>
      <c r="AA3" s="29"/>
      <c r="AB3" s="29"/>
      <c r="AC3" s="29"/>
      <c r="AD3" s="29"/>
      <c r="AE3" s="29"/>
      <c r="AX3" s="29"/>
      <c r="AY3" s="29"/>
      <c r="AZ3" s="29"/>
      <c r="BA3" s="29"/>
      <c r="BB3" s="29"/>
      <c r="BC3" s="29"/>
      <c r="BV3" s="29"/>
      <c r="BW3" s="29"/>
      <c r="BX3" s="29"/>
      <c r="BY3" s="29"/>
      <c r="BZ3" s="29"/>
      <c r="CA3" s="2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V4" s="913" t="s">
        <v>24</v>
      </c>
      <c r="BW4" s="914"/>
      <c r="BX4" s="914"/>
      <c r="BY4" s="914"/>
      <c r="BZ4" s="914"/>
      <c r="CA4" s="915"/>
    </row>
    <row r="5" spans="6:69" ht="13.5" thickBot="1">
      <c r="F5" s="7"/>
      <c r="G5" s="7"/>
      <c r="H5" s="7"/>
      <c r="I5" s="7"/>
      <c r="M5" s="7"/>
      <c r="T5" s="9"/>
      <c r="U5" s="8" t="s">
        <v>23</v>
      </c>
      <c r="AD5" s="7"/>
      <c r="AE5" s="7"/>
      <c r="AF5" s="7"/>
      <c r="AG5" s="7"/>
      <c r="AK5" s="7"/>
      <c r="AR5" s="9"/>
      <c r="AS5" s="8" t="s">
        <v>23</v>
      </c>
      <c r="BB5" s="7"/>
      <c r="BC5" s="7"/>
      <c r="BD5" s="7"/>
      <c r="BE5" s="7"/>
      <c r="BI5" s="7"/>
      <c r="BP5" s="9"/>
      <c r="BQ5" s="8" t="s">
        <v>23</v>
      </c>
    </row>
    <row r="6" spans="2:78" ht="13.5" thickBot="1">
      <c r="B6" s="316" t="s">
        <v>48</v>
      </c>
      <c r="C6" s="317"/>
      <c r="D6" s="317"/>
      <c r="E6" s="317"/>
      <c r="F6" s="317"/>
      <c r="G6" s="318"/>
      <c r="H6" s="7"/>
      <c r="I6" s="7"/>
      <c r="M6" s="7"/>
      <c r="U6" s="356">
        <f>IF(CALIBRATED_LIFETIME_ASHP="YES",ROUND($BX$6,0),ROUND(INDEX(LIFETIMES_TABLE,MATCH(B$2,HVAC_SYSTEMS,0),MATCH(B$6,LIFETIMES_HOUSING_TYPE,0)),0))</f>
        <v>23</v>
      </c>
      <c r="Z6" s="316" t="s">
        <v>49</v>
      </c>
      <c r="AA6" s="317"/>
      <c r="AB6" s="317"/>
      <c r="AC6" s="317"/>
      <c r="AD6" s="317"/>
      <c r="AE6" s="318"/>
      <c r="AF6" s="7"/>
      <c r="AG6" s="7"/>
      <c r="AK6" s="7"/>
      <c r="AS6" s="356">
        <f>IF(CALIBRATED_LIFETIME_ASHP="YES",ROUND($BX$6,0),ROUND(INDEX(LIFETIMES_TABLE,MATCH(Z$2,HVAC_SYSTEMS,0),MATCH(Z$6,LIFETIMES_HOUSING_TYPE,0)),0))</f>
        <v>23</v>
      </c>
      <c r="AX6" s="316" t="s">
        <v>52</v>
      </c>
      <c r="AY6" s="317"/>
      <c r="AZ6" s="317"/>
      <c r="BA6" s="317"/>
      <c r="BB6" s="317"/>
      <c r="BC6" s="318"/>
      <c r="BD6" s="16"/>
      <c r="BE6" s="7"/>
      <c r="BI6" s="7"/>
      <c r="BQ6" s="356">
        <f>IF(CALIBRATED_LIFETIME_ASHP="YES",ROUND($BX$6,0),ROUND(INDEX(LIFETIMES_TABLE,MATCH(AX$2,HVAC_SYSTEMS,0),MATCH(AX$6,LIFETIMES_HOUSING_TYPE,0)),0))</f>
        <v>23</v>
      </c>
      <c r="BW6" s="8" t="s">
        <v>140</v>
      </c>
      <c r="BX6" s="383">
        <f>'Input and Scenario Summary'!$J$38</f>
        <v>23</v>
      </c>
      <c r="BY6" s="8" t="s">
        <v>143</v>
      </c>
      <c r="BZ6" s="356">
        <f ca="1">BZ9-1</f>
        <v>0.014100375064374004</v>
      </c>
    </row>
    <row r="7" spans="6:67" ht="13.5" thickBot="1">
      <c r="F7" s="7"/>
      <c r="G7" s="7"/>
      <c r="H7" s="7"/>
      <c r="I7" s="7"/>
      <c r="M7" s="7"/>
      <c r="S7" s="10"/>
      <c r="AD7" s="7"/>
      <c r="AE7" s="7"/>
      <c r="AF7" s="7"/>
      <c r="AG7" s="7"/>
      <c r="AK7" s="7"/>
      <c r="AQ7" s="10"/>
      <c r="BB7" s="7"/>
      <c r="BC7" s="7"/>
      <c r="BD7" s="7"/>
      <c r="BE7" s="7"/>
      <c r="BI7" s="7"/>
      <c r="BO7" s="10"/>
    </row>
    <row r="8" spans="2:79" ht="12.75">
      <c r="B8" s="321"/>
      <c r="C8" s="301"/>
      <c r="D8" s="302"/>
      <c r="E8" s="302"/>
      <c r="F8" s="332"/>
      <c r="G8" s="342"/>
      <c r="H8" s="7"/>
      <c r="I8" s="330"/>
      <c r="J8" s="301"/>
      <c r="K8" s="331"/>
      <c r="L8" s="302"/>
      <c r="M8" s="332"/>
      <c r="N8" s="304"/>
      <c r="P8" s="321"/>
      <c r="Q8" s="301"/>
      <c r="R8" s="302"/>
      <c r="S8" s="303"/>
      <c r="T8" s="302"/>
      <c r="U8" s="302"/>
      <c r="V8" s="302"/>
      <c r="W8" s="302"/>
      <c r="X8" s="304"/>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30"/>
      <c r="BW8" s="361"/>
      <c r="BX8" s="332"/>
      <c r="BY8" s="332"/>
      <c r="BZ8" s="332"/>
      <c r="CA8" s="342"/>
    </row>
    <row r="9" spans="2:79" ht="12.75">
      <c r="B9" s="343"/>
      <c r="C9" s="912" t="s">
        <v>41</v>
      </c>
      <c r="D9" s="912"/>
      <c r="E9" s="912"/>
      <c r="F9" s="912"/>
      <c r="G9" s="334"/>
      <c r="H9" s="11"/>
      <c r="I9" s="333"/>
      <c r="J9" s="912" t="s">
        <v>46</v>
      </c>
      <c r="K9" s="912"/>
      <c r="L9" s="912"/>
      <c r="M9" s="912"/>
      <c r="N9" s="334"/>
      <c r="O9" s="11"/>
      <c r="P9" s="322"/>
      <c r="Q9" s="912" t="s">
        <v>47</v>
      </c>
      <c r="R9" s="912"/>
      <c r="S9" s="912"/>
      <c r="T9" s="912"/>
      <c r="U9" s="912"/>
      <c r="V9" s="306"/>
      <c r="W9" s="306"/>
      <c r="X9" s="307"/>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81">
        <f ca="1">SUMIF($BY$11:$BY$81,"&gt;0",BX$11:BX$81)</f>
        <v>222236.99501707975</v>
      </c>
      <c r="BY9" s="381">
        <f>SUMIF($BY$11:$BY$81,"&gt;0",BY$11:BY$81)</f>
        <v>225370.62</v>
      </c>
      <c r="BZ9" s="360">
        <f ca="1">IF(ISNUMBER(BY9/BX9),BY9/BX9,0)</f>
        <v>1.014100375064374</v>
      </c>
      <c r="CA9" s="373"/>
    </row>
    <row r="10" spans="2:79" s="5" customFormat="1" ht="39" thickBot="1">
      <c r="B10" s="335"/>
      <c r="C10" s="308"/>
      <c r="D10" s="336" t="s">
        <v>10</v>
      </c>
      <c r="E10" s="336" t="s">
        <v>4</v>
      </c>
      <c r="F10" s="336" t="s">
        <v>11</v>
      </c>
      <c r="G10" s="310"/>
      <c r="I10" s="335"/>
      <c r="J10" s="308"/>
      <c r="K10" s="336" t="s">
        <v>21</v>
      </c>
      <c r="L10" s="309" t="s">
        <v>42</v>
      </c>
      <c r="M10" s="309" t="s">
        <v>45</v>
      </c>
      <c r="N10" s="337"/>
      <c r="O10" s="13"/>
      <c r="P10" s="323"/>
      <c r="Q10" s="308"/>
      <c r="R10" s="309" t="s">
        <v>44</v>
      </c>
      <c r="S10" s="309" t="s">
        <v>93</v>
      </c>
      <c r="T10" s="309" t="s">
        <v>92</v>
      </c>
      <c r="U10" s="309" t="s">
        <v>43</v>
      </c>
      <c r="V10" s="309" t="s">
        <v>86</v>
      </c>
      <c r="W10" s="309" t="s">
        <v>91</v>
      </c>
      <c r="X10" s="310"/>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63"/>
      <c r="BX10" s="309" t="s">
        <v>43</v>
      </c>
      <c r="BY10" s="309" t="s">
        <v>114</v>
      </c>
      <c r="BZ10" s="309"/>
      <c r="CA10" s="337"/>
    </row>
    <row r="11" spans="2:79" s="5" customFormat="1" ht="12.75">
      <c r="B11" s="335"/>
      <c r="C11" s="311">
        <v>1945</v>
      </c>
      <c r="D11" s="336"/>
      <c r="E11" s="336"/>
      <c r="F11" s="336"/>
      <c r="G11" s="310"/>
      <c r="I11" s="335"/>
      <c r="J11" s="311">
        <v>1945</v>
      </c>
      <c r="K11" s="309"/>
      <c r="L11" s="309"/>
      <c r="M11" s="309"/>
      <c r="N11" s="337"/>
      <c r="O11" s="13"/>
      <c r="P11" s="323"/>
      <c r="Q11" s="311">
        <v>1945</v>
      </c>
      <c r="R11" s="309"/>
      <c r="S11" s="309"/>
      <c r="T11" s="309" t="str">
        <f>IF($Q$47-$Q11=$U$6,"CALIBRATE"," ")</f>
        <v xml:space="preserve"> </v>
      </c>
      <c r="U11" s="353">
        <f aca="true" t="shared" si="0" ref="U11:U23">IF(Q$47-Q11&gt;U$6,0,L$46/U$6)</f>
        <v>0</v>
      </c>
      <c r="V11" s="309"/>
      <c r="W11" s="309"/>
      <c r="X11" s="310"/>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53">
        <f aca="true" t="shared" si="1" ref="AS11:AS23">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53">
        <f aca="true" t="shared" si="2" ref="BQ11:BQ23">IF(BM$47-BM11&gt;BQ$6,0,BH$46/BQ$6)</f>
        <v>0</v>
      </c>
      <c r="BR11" s="309"/>
      <c r="BS11" s="309"/>
      <c r="BT11" s="310"/>
      <c r="BV11" s="323"/>
      <c r="BW11" s="311">
        <v>1945</v>
      </c>
      <c r="BX11" s="381">
        <f>BQ11</f>
        <v>0</v>
      </c>
      <c r="BY11" s="381">
        <f>IF(ISNUMBER(INDEX(TARGET_SHIPMENTS,MATCH($BV$2,HVAC_SYSTEMS,0),MATCH(BW11,TARGET_SHIPMENT_YEARS,0))),INDEX(TARGET_SHIPMENTS,MATCH($BV$2,HVAC_SYSTEMS,0),MATCH(BW11,TARGET_SHIPMENT_YEARS,0)),0)*'AHRI Shipments'!$J$10</f>
        <v>0</v>
      </c>
      <c r="BZ11" s="360">
        <f>IF(ISNUMBER(BY11/BX11),BY11/BX11,0)</f>
        <v>0</v>
      </c>
      <c r="CA11" s="337"/>
    </row>
    <row r="12" spans="2:79" s="5" customFormat="1" ht="12.75">
      <c r="B12" s="335"/>
      <c r="C12" s="311">
        <v>1946</v>
      </c>
      <c r="D12" s="336"/>
      <c r="E12" s="336"/>
      <c r="F12" s="336"/>
      <c r="G12" s="310"/>
      <c r="I12" s="335"/>
      <c r="J12" s="311">
        <v>1946</v>
      </c>
      <c r="K12" s="309"/>
      <c r="L12" s="309"/>
      <c r="M12" s="309"/>
      <c r="N12" s="337"/>
      <c r="O12" s="13"/>
      <c r="P12" s="323"/>
      <c r="Q12" s="311">
        <v>1946</v>
      </c>
      <c r="R12" s="309"/>
      <c r="S12" s="309"/>
      <c r="T12" s="309"/>
      <c r="U12" s="805">
        <f t="shared" si="0"/>
        <v>0</v>
      </c>
      <c r="V12" s="309"/>
      <c r="W12" s="309"/>
      <c r="X12" s="310"/>
      <c r="Z12" s="335"/>
      <c r="AA12" s="311">
        <v>1946</v>
      </c>
      <c r="AB12" s="336"/>
      <c r="AC12" s="336"/>
      <c r="AD12" s="336"/>
      <c r="AE12" s="310"/>
      <c r="AG12" s="335"/>
      <c r="AH12" s="311">
        <v>1946</v>
      </c>
      <c r="AI12" s="309"/>
      <c r="AJ12" s="309"/>
      <c r="AK12" s="309"/>
      <c r="AL12" s="337"/>
      <c r="AM12" s="13"/>
      <c r="AN12" s="323"/>
      <c r="AO12" s="311">
        <v>1946</v>
      </c>
      <c r="AP12" s="309"/>
      <c r="AQ12" s="309"/>
      <c r="AR12" s="309"/>
      <c r="AS12" s="805">
        <f t="shared" si="1"/>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5">
        <f t="shared" si="2"/>
        <v>0</v>
      </c>
      <c r="BR12" s="309"/>
      <c r="BS12" s="309"/>
      <c r="BT12" s="310"/>
      <c r="BV12" s="323"/>
      <c r="BW12" s="311">
        <v>1946</v>
      </c>
      <c r="BX12" s="381">
        <f aca="true" t="shared" si="3" ref="BX12:BX27">BQ12</f>
        <v>0</v>
      </c>
      <c r="BY12" s="381">
        <f>IF(ISNUMBER(INDEX(TARGET_SHIPMENTS,MATCH($BV$2,HVAC_SYSTEMS,0),MATCH(BW12,TARGET_SHIPMENT_YEARS,0))),INDEX(TARGET_SHIPMENTS,MATCH($BV$2,HVAC_SYSTEMS,0),MATCH(BW12,TARGET_SHIPMENT_YEARS,0)),0)*'AHRI Shipments'!$J$10</f>
        <v>0</v>
      </c>
      <c r="BZ12" s="360">
        <f aca="true" t="shared" si="4" ref="BZ12:BZ27">IF(ISNUMBER(BY12/BX12),BY12/BX12,0)</f>
        <v>0</v>
      </c>
      <c r="CA12" s="337"/>
    </row>
    <row r="13" spans="2:79" s="5" customFormat="1" ht="12.75">
      <c r="B13" s="335"/>
      <c r="C13" s="311">
        <v>1947</v>
      </c>
      <c r="D13" s="336"/>
      <c r="E13" s="336"/>
      <c r="F13" s="336"/>
      <c r="G13" s="310"/>
      <c r="I13" s="335"/>
      <c r="J13" s="311">
        <v>1947</v>
      </c>
      <c r="K13" s="309"/>
      <c r="L13" s="309"/>
      <c r="M13" s="309"/>
      <c r="N13" s="337"/>
      <c r="O13" s="13"/>
      <c r="P13" s="323"/>
      <c r="Q13" s="311">
        <v>1947</v>
      </c>
      <c r="R13" s="309"/>
      <c r="S13" s="309"/>
      <c r="T13" s="309"/>
      <c r="U13" s="805">
        <f t="shared" si="0"/>
        <v>0</v>
      </c>
      <c r="V13" s="309"/>
      <c r="W13" s="309"/>
      <c r="X13" s="310"/>
      <c r="Z13" s="335"/>
      <c r="AA13" s="311">
        <v>1947</v>
      </c>
      <c r="AB13" s="336"/>
      <c r="AC13" s="336"/>
      <c r="AD13" s="336"/>
      <c r="AE13" s="310"/>
      <c r="AG13" s="335"/>
      <c r="AH13" s="311">
        <v>1947</v>
      </c>
      <c r="AI13" s="309"/>
      <c r="AJ13" s="309"/>
      <c r="AK13" s="309"/>
      <c r="AL13" s="337"/>
      <c r="AM13" s="13"/>
      <c r="AN13" s="323"/>
      <c r="AO13" s="311">
        <v>1947</v>
      </c>
      <c r="AP13" s="309"/>
      <c r="AQ13" s="309"/>
      <c r="AR13" s="309"/>
      <c r="AS13" s="805">
        <f t="shared" si="1"/>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5">
        <f t="shared" si="2"/>
        <v>0</v>
      </c>
      <c r="BR13" s="309"/>
      <c r="BS13" s="309"/>
      <c r="BT13" s="310"/>
      <c r="BV13" s="323"/>
      <c r="BW13" s="311">
        <v>1947</v>
      </c>
      <c r="BX13" s="381">
        <f t="shared" si="3"/>
        <v>0</v>
      </c>
      <c r="BY13" s="381">
        <f>IF(ISNUMBER(INDEX(TARGET_SHIPMENTS,MATCH($BV$2,HVAC_SYSTEMS,0),MATCH(BW13,TARGET_SHIPMENT_YEARS,0))),INDEX(TARGET_SHIPMENTS,MATCH($BV$2,HVAC_SYSTEMS,0),MATCH(BW13,TARGET_SHIPMENT_YEARS,0)),0)*'AHRI Shipments'!$J$10</f>
        <v>0</v>
      </c>
      <c r="BZ13" s="360">
        <f t="shared" si="4"/>
        <v>0</v>
      </c>
      <c r="CA13" s="337"/>
    </row>
    <row r="14" spans="2:79" s="5" customFormat="1" ht="12.75">
      <c r="B14" s="335"/>
      <c r="C14" s="311">
        <v>1948</v>
      </c>
      <c r="D14" s="336"/>
      <c r="E14" s="336"/>
      <c r="F14" s="336"/>
      <c r="G14" s="310"/>
      <c r="I14" s="335"/>
      <c r="J14" s="311">
        <v>1948</v>
      </c>
      <c r="K14" s="309"/>
      <c r="L14" s="309"/>
      <c r="M14" s="309"/>
      <c r="N14" s="337"/>
      <c r="O14" s="13"/>
      <c r="P14" s="323"/>
      <c r="Q14" s="311">
        <v>1948</v>
      </c>
      <c r="R14" s="309"/>
      <c r="S14" s="309"/>
      <c r="T14" s="309"/>
      <c r="U14" s="805">
        <f t="shared" si="0"/>
        <v>0</v>
      </c>
      <c r="V14" s="309"/>
      <c r="W14" s="309"/>
      <c r="X14" s="310"/>
      <c r="Z14" s="335"/>
      <c r="AA14" s="311">
        <v>1948</v>
      </c>
      <c r="AB14" s="336"/>
      <c r="AC14" s="336"/>
      <c r="AD14" s="336"/>
      <c r="AE14" s="310"/>
      <c r="AG14" s="335"/>
      <c r="AH14" s="311">
        <v>1948</v>
      </c>
      <c r="AI14" s="309"/>
      <c r="AJ14" s="309"/>
      <c r="AK14" s="309"/>
      <c r="AL14" s="337"/>
      <c r="AM14" s="13"/>
      <c r="AN14" s="323"/>
      <c r="AO14" s="311">
        <v>1948</v>
      </c>
      <c r="AP14" s="309"/>
      <c r="AQ14" s="309"/>
      <c r="AR14" s="309"/>
      <c r="AS14" s="805">
        <f t="shared" si="1"/>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5">
        <f t="shared" si="2"/>
        <v>0</v>
      </c>
      <c r="BR14" s="309"/>
      <c r="BS14" s="309"/>
      <c r="BT14" s="310"/>
      <c r="BV14" s="323"/>
      <c r="BW14" s="311">
        <v>1948</v>
      </c>
      <c r="BX14" s="381">
        <f t="shared" si="3"/>
        <v>0</v>
      </c>
      <c r="BY14" s="381">
        <f>IF(ISNUMBER(INDEX(TARGET_SHIPMENTS,MATCH($BV$2,HVAC_SYSTEMS,0),MATCH(BW14,TARGET_SHIPMENT_YEARS,0))),INDEX(TARGET_SHIPMENTS,MATCH($BV$2,HVAC_SYSTEMS,0),MATCH(BW14,TARGET_SHIPMENT_YEARS,0)),0)*'AHRI Shipments'!$J$10</f>
        <v>0</v>
      </c>
      <c r="BZ14" s="360">
        <f t="shared" si="4"/>
        <v>0</v>
      </c>
      <c r="CA14" s="337"/>
    </row>
    <row r="15" spans="2:79" s="5" customFormat="1" ht="12.75">
      <c r="B15" s="335"/>
      <c r="C15" s="311">
        <v>1949</v>
      </c>
      <c r="D15" s="336"/>
      <c r="E15" s="336"/>
      <c r="F15" s="336"/>
      <c r="G15" s="310"/>
      <c r="I15" s="335"/>
      <c r="J15" s="311">
        <v>1949</v>
      </c>
      <c r="K15" s="309"/>
      <c r="L15" s="309"/>
      <c r="M15" s="309"/>
      <c r="N15" s="337"/>
      <c r="O15" s="13"/>
      <c r="P15" s="323"/>
      <c r="Q15" s="311">
        <v>1949</v>
      </c>
      <c r="R15" s="309"/>
      <c r="S15" s="309"/>
      <c r="T15" s="309"/>
      <c r="U15" s="805">
        <f t="shared" si="0"/>
        <v>0</v>
      </c>
      <c r="V15" s="309"/>
      <c r="W15" s="309"/>
      <c r="X15" s="310"/>
      <c r="Z15" s="335"/>
      <c r="AA15" s="311">
        <v>1949</v>
      </c>
      <c r="AB15" s="336"/>
      <c r="AC15" s="336"/>
      <c r="AD15" s="336"/>
      <c r="AE15" s="310"/>
      <c r="AG15" s="335"/>
      <c r="AH15" s="311">
        <v>1949</v>
      </c>
      <c r="AI15" s="309"/>
      <c r="AJ15" s="309"/>
      <c r="AK15" s="309"/>
      <c r="AL15" s="337"/>
      <c r="AM15" s="13"/>
      <c r="AN15" s="323"/>
      <c r="AO15" s="311">
        <v>1949</v>
      </c>
      <c r="AP15" s="309"/>
      <c r="AQ15" s="309"/>
      <c r="AR15" s="309"/>
      <c r="AS15" s="805">
        <f t="shared" si="1"/>
        <v>0</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5">
        <f t="shared" si="2"/>
        <v>0</v>
      </c>
      <c r="BR15" s="309"/>
      <c r="BS15" s="309"/>
      <c r="BT15" s="310"/>
      <c r="BV15" s="323"/>
      <c r="BW15" s="311">
        <v>1949</v>
      </c>
      <c r="BX15" s="381">
        <f t="shared" si="3"/>
        <v>0</v>
      </c>
      <c r="BY15" s="381">
        <f>IF(ISNUMBER(INDEX(TARGET_SHIPMENTS,MATCH($BV$2,HVAC_SYSTEMS,0),MATCH(BW15,TARGET_SHIPMENT_YEARS,0))),INDEX(TARGET_SHIPMENTS,MATCH($BV$2,HVAC_SYSTEMS,0),MATCH(BW15,TARGET_SHIPMENT_YEARS,0)),0)*'AHRI Shipments'!$J$10</f>
        <v>0</v>
      </c>
      <c r="BZ15" s="360">
        <f t="shared" si="4"/>
        <v>0</v>
      </c>
      <c r="CA15" s="337"/>
    </row>
    <row r="16" spans="2:79" s="5" customFormat="1" ht="12.75">
      <c r="B16" s="335"/>
      <c r="C16" s="311">
        <v>1950</v>
      </c>
      <c r="D16" s="336"/>
      <c r="E16" s="336"/>
      <c r="F16" s="336"/>
      <c r="G16" s="310"/>
      <c r="I16" s="335"/>
      <c r="J16" s="311">
        <v>1950</v>
      </c>
      <c r="K16" s="309"/>
      <c r="L16" s="309"/>
      <c r="M16" s="309"/>
      <c r="N16" s="337"/>
      <c r="O16" s="13"/>
      <c r="P16" s="323"/>
      <c r="Q16" s="311">
        <v>1950</v>
      </c>
      <c r="R16" s="309"/>
      <c r="S16" s="309"/>
      <c r="T16" s="309"/>
      <c r="U16" s="805">
        <f t="shared" si="0"/>
        <v>0</v>
      </c>
      <c r="V16" s="309"/>
      <c r="W16" s="309"/>
      <c r="X16" s="310"/>
      <c r="Z16" s="335"/>
      <c r="AA16" s="311">
        <v>1950</v>
      </c>
      <c r="AB16" s="336"/>
      <c r="AC16" s="336"/>
      <c r="AD16" s="336"/>
      <c r="AE16" s="310"/>
      <c r="AG16" s="335"/>
      <c r="AH16" s="311">
        <v>1950</v>
      </c>
      <c r="AI16" s="309"/>
      <c r="AJ16" s="309"/>
      <c r="AK16" s="309"/>
      <c r="AL16" s="337"/>
      <c r="AM16" s="13"/>
      <c r="AN16" s="323"/>
      <c r="AO16" s="311">
        <v>1950</v>
      </c>
      <c r="AP16" s="309"/>
      <c r="AQ16" s="309"/>
      <c r="AR16" s="309"/>
      <c r="AS16" s="805">
        <f t="shared" si="1"/>
        <v>0</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5">
        <f t="shared" si="2"/>
        <v>0</v>
      </c>
      <c r="BR16" s="309"/>
      <c r="BS16" s="309"/>
      <c r="BT16" s="310"/>
      <c r="BV16" s="323"/>
      <c r="BW16" s="311">
        <v>1950</v>
      </c>
      <c r="BX16" s="381">
        <f t="shared" si="3"/>
        <v>0</v>
      </c>
      <c r="BY16" s="381">
        <f>IF(ISNUMBER(INDEX(TARGET_SHIPMENTS,MATCH($BV$2,HVAC_SYSTEMS,0),MATCH(BW16,TARGET_SHIPMENT_YEARS,0))),INDEX(TARGET_SHIPMENTS,MATCH($BV$2,HVAC_SYSTEMS,0),MATCH(BW16,TARGET_SHIPMENT_YEARS,0)),0)*'AHRI Shipments'!$J$10</f>
        <v>0</v>
      </c>
      <c r="BZ16" s="360">
        <f t="shared" si="4"/>
        <v>0</v>
      </c>
      <c r="CA16" s="337"/>
    </row>
    <row r="17" spans="2:79" s="5" customFormat="1" ht="12.75">
      <c r="B17" s="335"/>
      <c r="C17" s="311">
        <v>1951</v>
      </c>
      <c r="D17" s="336"/>
      <c r="E17" s="336"/>
      <c r="F17" s="336"/>
      <c r="G17" s="310"/>
      <c r="I17" s="335"/>
      <c r="J17" s="311">
        <v>1951</v>
      </c>
      <c r="K17" s="309"/>
      <c r="L17" s="309"/>
      <c r="M17" s="309"/>
      <c r="N17" s="337"/>
      <c r="O17" s="13"/>
      <c r="P17" s="323"/>
      <c r="Q17" s="311">
        <v>1951</v>
      </c>
      <c r="R17" s="309"/>
      <c r="S17" s="309"/>
      <c r="T17" s="309"/>
      <c r="U17" s="805">
        <f t="shared" si="0"/>
        <v>0</v>
      </c>
      <c r="V17" s="309"/>
      <c r="W17" s="309"/>
      <c r="X17" s="310"/>
      <c r="Z17" s="335"/>
      <c r="AA17" s="311">
        <v>1951</v>
      </c>
      <c r="AB17" s="336"/>
      <c r="AC17" s="336"/>
      <c r="AD17" s="336"/>
      <c r="AE17" s="310"/>
      <c r="AG17" s="335"/>
      <c r="AH17" s="311">
        <v>1951</v>
      </c>
      <c r="AI17" s="309"/>
      <c r="AJ17" s="309"/>
      <c r="AK17" s="309"/>
      <c r="AL17" s="337"/>
      <c r="AM17" s="13"/>
      <c r="AN17" s="323"/>
      <c r="AO17" s="311">
        <v>1951</v>
      </c>
      <c r="AP17" s="309"/>
      <c r="AQ17" s="309"/>
      <c r="AR17" s="309"/>
      <c r="AS17" s="805">
        <f t="shared" si="1"/>
        <v>0</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5">
        <f t="shared" si="2"/>
        <v>0</v>
      </c>
      <c r="BR17" s="309"/>
      <c r="BS17" s="309"/>
      <c r="BT17" s="310"/>
      <c r="BV17" s="323"/>
      <c r="BW17" s="311">
        <v>1951</v>
      </c>
      <c r="BX17" s="381">
        <f t="shared" si="3"/>
        <v>0</v>
      </c>
      <c r="BY17" s="381">
        <f>IF(ISNUMBER(INDEX(TARGET_SHIPMENTS,MATCH($BV$2,HVAC_SYSTEMS,0),MATCH(BW17,TARGET_SHIPMENT_YEARS,0))),INDEX(TARGET_SHIPMENTS,MATCH($BV$2,HVAC_SYSTEMS,0),MATCH(BW17,TARGET_SHIPMENT_YEARS,0)),0)*'AHRI Shipments'!$J$10</f>
        <v>0</v>
      </c>
      <c r="BZ17" s="360">
        <f t="shared" si="4"/>
        <v>0</v>
      </c>
      <c r="CA17" s="337"/>
    </row>
    <row r="18" spans="2:79" s="5" customFormat="1" ht="12.75">
      <c r="B18" s="335"/>
      <c r="C18" s="311">
        <v>1952</v>
      </c>
      <c r="D18" s="336"/>
      <c r="E18" s="336"/>
      <c r="F18" s="336"/>
      <c r="G18" s="310"/>
      <c r="I18" s="335"/>
      <c r="J18" s="311">
        <v>1952</v>
      </c>
      <c r="K18" s="309"/>
      <c r="L18" s="309"/>
      <c r="M18" s="309"/>
      <c r="N18" s="337"/>
      <c r="O18" s="13"/>
      <c r="P18" s="323"/>
      <c r="Q18" s="311">
        <v>1952</v>
      </c>
      <c r="R18" s="309"/>
      <c r="S18" s="309"/>
      <c r="T18" s="309"/>
      <c r="U18" s="805">
        <f t="shared" si="0"/>
        <v>0</v>
      </c>
      <c r="V18" s="309"/>
      <c r="W18" s="309"/>
      <c r="X18" s="310"/>
      <c r="Z18" s="335"/>
      <c r="AA18" s="311">
        <v>1952</v>
      </c>
      <c r="AB18" s="336"/>
      <c r="AC18" s="336"/>
      <c r="AD18" s="336"/>
      <c r="AE18" s="310"/>
      <c r="AG18" s="335"/>
      <c r="AH18" s="311">
        <v>1952</v>
      </c>
      <c r="AI18" s="309"/>
      <c r="AJ18" s="309"/>
      <c r="AK18" s="309"/>
      <c r="AL18" s="337"/>
      <c r="AM18" s="13"/>
      <c r="AN18" s="323"/>
      <c r="AO18" s="311">
        <v>1952</v>
      </c>
      <c r="AP18" s="309"/>
      <c r="AQ18" s="309"/>
      <c r="AR18" s="309"/>
      <c r="AS18" s="805">
        <f t="shared" si="1"/>
        <v>0</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5">
        <f t="shared" si="2"/>
        <v>0</v>
      </c>
      <c r="BR18" s="309"/>
      <c r="BS18" s="309"/>
      <c r="BT18" s="310"/>
      <c r="BV18" s="323"/>
      <c r="BW18" s="311">
        <v>1952</v>
      </c>
      <c r="BX18" s="381">
        <f t="shared" si="3"/>
        <v>0</v>
      </c>
      <c r="BY18" s="381">
        <f>IF(ISNUMBER(INDEX(TARGET_SHIPMENTS,MATCH($BV$2,HVAC_SYSTEMS,0),MATCH(BW18,TARGET_SHIPMENT_YEARS,0))),INDEX(TARGET_SHIPMENTS,MATCH($BV$2,HVAC_SYSTEMS,0),MATCH(BW18,TARGET_SHIPMENT_YEARS,0)),0)*'AHRI Shipments'!$J$10</f>
        <v>0</v>
      </c>
      <c r="BZ18" s="360">
        <f t="shared" si="4"/>
        <v>0</v>
      </c>
      <c r="CA18" s="337"/>
    </row>
    <row r="19" spans="2:79" s="5" customFormat="1" ht="12.75">
      <c r="B19" s="335"/>
      <c r="C19" s="311">
        <v>1953</v>
      </c>
      <c r="D19" s="336"/>
      <c r="E19" s="336"/>
      <c r="F19" s="336"/>
      <c r="G19" s="310"/>
      <c r="I19" s="335"/>
      <c r="J19" s="311">
        <v>1953</v>
      </c>
      <c r="K19" s="309"/>
      <c r="L19" s="309"/>
      <c r="M19" s="309"/>
      <c r="N19" s="337"/>
      <c r="O19" s="13"/>
      <c r="P19" s="323"/>
      <c r="Q19" s="311">
        <v>1953</v>
      </c>
      <c r="R19" s="309"/>
      <c r="S19" s="309"/>
      <c r="T19" s="309"/>
      <c r="U19" s="805">
        <f t="shared" si="0"/>
        <v>0</v>
      </c>
      <c r="V19" s="309"/>
      <c r="W19" s="309"/>
      <c r="X19" s="310"/>
      <c r="Z19" s="335"/>
      <c r="AA19" s="311">
        <v>1953</v>
      </c>
      <c r="AB19" s="336"/>
      <c r="AC19" s="336"/>
      <c r="AD19" s="336"/>
      <c r="AE19" s="310"/>
      <c r="AG19" s="335"/>
      <c r="AH19" s="311">
        <v>1953</v>
      </c>
      <c r="AI19" s="309"/>
      <c r="AJ19" s="309"/>
      <c r="AK19" s="309"/>
      <c r="AL19" s="337"/>
      <c r="AM19" s="13"/>
      <c r="AN19" s="323"/>
      <c r="AO19" s="311">
        <v>1953</v>
      </c>
      <c r="AP19" s="309"/>
      <c r="AQ19" s="309"/>
      <c r="AR19" s="309"/>
      <c r="AS19" s="805">
        <f t="shared" si="1"/>
        <v>0</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5">
        <f t="shared" si="2"/>
        <v>0</v>
      </c>
      <c r="BR19" s="309"/>
      <c r="BS19" s="309"/>
      <c r="BT19" s="310"/>
      <c r="BV19" s="323"/>
      <c r="BW19" s="311">
        <v>1953</v>
      </c>
      <c r="BX19" s="381">
        <f t="shared" si="3"/>
        <v>0</v>
      </c>
      <c r="BY19" s="381">
        <f>IF(ISNUMBER(INDEX(TARGET_SHIPMENTS,MATCH($BV$2,HVAC_SYSTEMS,0),MATCH(BW19,TARGET_SHIPMENT_YEARS,0))),INDEX(TARGET_SHIPMENTS,MATCH($BV$2,HVAC_SYSTEMS,0),MATCH(BW19,TARGET_SHIPMENT_YEARS,0)),0)*'AHRI Shipments'!$J$10</f>
        <v>0</v>
      </c>
      <c r="BZ19" s="360">
        <f t="shared" si="4"/>
        <v>0</v>
      </c>
      <c r="CA19" s="337"/>
    </row>
    <row r="20" spans="2:79" s="5" customFormat="1" ht="12.75">
      <c r="B20" s="335"/>
      <c r="C20" s="311">
        <v>1954</v>
      </c>
      <c r="D20" s="336"/>
      <c r="E20" s="336"/>
      <c r="F20" s="336"/>
      <c r="G20" s="310"/>
      <c r="I20" s="335"/>
      <c r="J20" s="311">
        <v>1954</v>
      </c>
      <c r="K20" s="309"/>
      <c r="L20" s="309"/>
      <c r="M20" s="309"/>
      <c r="N20" s="337"/>
      <c r="O20" s="13"/>
      <c r="P20" s="323"/>
      <c r="Q20" s="311">
        <v>1954</v>
      </c>
      <c r="R20" s="309"/>
      <c r="S20" s="309"/>
      <c r="T20" s="309"/>
      <c r="U20" s="805">
        <f t="shared" si="0"/>
        <v>0</v>
      </c>
      <c r="V20" s="309"/>
      <c r="W20" s="309"/>
      <c r="X20" s="310"/>
      <c r="Z20" s="335"/>
      <c r="AA20" s="311">
        <v>1954</v>
      </c>
      <c r="AB20" s="336"/>
      <c r="AC20" s="336"/>
      <c r="AD20" s="336"/>
      <c r="AE20" s="310"/>
      <c r="AG20" s="335"/>
      <c r="AH20" s="311">
        <v>1954</v>
      </c>
      <c r="AI20" s="309"/>
      <c r="AJ20" s="309"/>
      <c r="AK20" s="309"/>
      <c r="AL20" s="337"/>
      <c r="AM20" s="13"/>
      <c r="AN20" s="323"/>
      <c r="AO20" s="311">
        <v>1954</v>
      </c>
      <c r="AP20" s="309"/>
      <c r="AQ20" s="309"/>
      <c r="AR20" s="309"/>
      <c r="AS20" s="805">
        <f t="shared" si="1"/>
        <v>0</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5">
        <f t="shared" si="2"/>
        <v>0</v>
      </c>
      <c r="BR20" s="309"/>
      <c r="BS20" s="309"/>
      <c r="BT20" s="310"/>
      <c r="BV20" s="323"/>
      <c r="BW20" s="311">
        <v>1954</v>
      </c>
      <c r="BX20" s="381">
        <f t="shared" si="3"/>
        <v>0</v>
      </c>
      <c r="BY20" s="381">
        <f>IF(ISNUMBER(INDEX(TARGET_SHIPMENTS,MATCH($BV$2,HVAC_SYSTEMS,0),MATCH(BW20,TARGET_SHIPMENT_YEARS,0))),INDEX(TARGET_SHIPMENTS,MATCH($BV$2,HVAC_SYSTEMS,0),MATCH(BW20,TARGET_SHIPMENT_YEARS,0)),0)*'AHRI Shipments'!$J$10</f>
        <v>0</v>
      </c>
      <c r="BZ20" s="360">
        <f t="shared" si="4"/>
        <v>0</v>
      </c>
      <c r="CA20" s="337"/>
    </row>
    <row r="21" spans="2:79" s="5" customFormat="1" ht="12.75">
      <c r="B21" s="335"/>
      <c r="C21" s="311">
        <v>1955</v>
      </c>
      <c r="D21" s="336"/>
      <c r="E21" s="336"/>
      <c r="F21" s="336"/>
      <c r="G21" s="310"/>
      <c r="I21" s="335"/>
      <c r="J21" s="311">
        <v>1955</v>
      </c>
      <c r="K21" s="309"/>
      <c r="L21" s="309"/>
      <c r="M21" s="309"/>
      <c r="N21" s="337"/>
      <c r="O21" s="13"/>
      <c r="P21" s="323"/>
      <c r="Q21" s="311">
        <v>1955</v>
      </c>
      <c r="R21" s="309"/>
      <c r="S21" s="309"/>
      <c r="T21" s="309"/>
      <c r="U21" s="805">
        <f t="shared" si="0"/>
        <v>0</v>
      </c>
      <c r="V21" s="309"/>
      <c r="W21" s="309"/>
      <c r="X21" s="310"/>
      <c r="Z21" s="335"/>
      <c r="AA21" s="311">
        <v>1955</v>
      </c>
      <c r="AB21" s="336"/>
      <c r="AC21" s="336"/>
      <c r="AD21" s="336"/>
      <c r="AE21" s="310"/>
      <c r="AG21" s="335"/>
      <c r="AH21" s="311">
        <v>1955</v>
      </c>
      <c r="AI21" s="309"/>
      <c r="AJ21" s="309"/>
      <c r="AK21" s="309"/>
      <c r="AL21" s="337"/>
      <c r="AM21" s="13"/>
      <c r="AN21" s="323"/>
      <c r="AO21" s="311">
        <v>1955</v>
      </c>
      <c r="AP21" s="309"/>
      <c r="AQ21" s="309"/>
      <c r="AR21" s="309"/>
      <c r="AS21" s="805">
        <f t="shared" si="1"/>
        <v>0</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5">
        <f t="shared" si="2"/>
        <v>0</v>
      </c>
      <c r="BR21" s="309"/>
      <c r="BS21" s="309"/>
      <c r="BT21" s="310"/>
      <c r="BV21" s="323"/>
      <c r="BW21" s="311">
        <v>1955</v>
      </c>
      <c r="BX21" s="381">
        <f t="shared" si="3"/>
        <v>0</v>
      </c>
      <c r="BY21" s="381">
        <f>IF(ISNUMBER(INDEX(TARGET_SHIPMENTS,MATCH($BV$2,HVAC_SYSTEMS,0),MATCH(BW21,TARGET_SHIPMENT_YEARS,0))),INDEX(TARGET_SHIPMENTS,MATCH($BV$2,HVAC_SYSTEMS,0),MATCH(BW21,TARGET_SHIPMENT_YEARS,0)),0)*'AHRI Shipments'!$J$10</f>
        <v>0</v>
      </c>
      <c r="BZ21" s="360">
        <f t="shared" si="4"/>
        <v>0</v>
      </c>
      <c r="CA21" s="337"/>
    </row>
    <row r="22" spans="2:79" s="5" customFormat="1" ht="12.75">
      <c r="B22" s="335"/>
      <c r="C22" s="311">
        <v>1956</v>
      </c>
      <c r="D22" s="336"/>
      <c r="E22" s="336"/>
      <c r="F22" s="336"/>
      <c r="G22" s="310"/>
      <c r="I22" s="335"/>
      <c r="J22" s="311">
        <v>1956</v>
      </c>
      <c r="K22" s="309"/>
      <c r="L22" s="309"/>
      <c r="M22" s="309"/>
      <c r="N22" s="337"/>
      <c r="O22" s="13"/>
      <c r="P22" s="323"/>
      <c r="Q22" s="311">
        <v>1956</v>
      </c>
      <c r="R22" s="309"/>
      <c r="S22" s="309"/>
      <c r="T22" s="309" t="str">
        <f aca="true" t="shared" si="5" ref="T22:T46">IF($Q$47-$Q22=$U$6,"CALIBRATE"," ")</f>
        <v xml:space="preserve"> </v>
      </c>
      <c r="U22" s="354">
        <f t="shared" si="0"/>
        <v>0</v>
      </c>
      <c r="V22" s="309"/>
      <c r="W22" s="309"/>
      <c r="X22" s="310"/>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6" ref="AR22:AR46">IF($Q$47-$Q22=$U$6,"CALIBRATE"," ")</f>
        <v xml:space="preserve"> </v>
      </c>
      <c r="AS22" s="354">
        <f t="shared" si="1"/>
        <v>0</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7" ref="BP22:BP46">IF($Q$47-$Q22=$U$6,"CALIBRATE"," ")</f>
        <v xml:space="preserve"> </v>
      </c>
      <c r="BQ22" s="354">
        <f t="shared" si="2"/>
        <v>0</v>
      </c>
      <c r="BR22" s="309"/>
      <c r="BS22" s="309"/>
      <c r="BT22" s="310"/>
      <c r="BV22" s="323"/>
      <c r="BW22" s="311">
        <v>1956</v>
      </c>
      <c r="BX22" s="381">
        <f t="shared" si="3"/>
        <v>0</v>
      </c>
      <c r="BY22" s="381">
        <f>IF(ISNUMBER(INDEX(TARGET_SHIPMENTS,MATCH($BV$2,HVAC_SYSTEMS,0),MATCH(BW22,TARGET_SHIPMENT_YEARS,0))),INDEX(TARGET_SHIPMENTS,MATCH($BV$2,HVAC_SYSTEMS,0),MATCH(BW22,TARGET_SHIPMENT_YEARS,0)),0)*'AHRI Shipments'!$J$10</f>
        <v>0</v>
      </c>
      <c r="BZ22" s="360">
        <f t="shared" si="4"/>
        <v>0</v>
      </c>
      <c r="CA22" s="337"/>
    </row>
    <row r="23" spans="2:79" s="5" customFormat="1" ht="12.75">
      <c r="B23" s="335"/>
      <c r="C23" s="311">
        <v>1957</v>
      </c>
      <c r="D23" s="336"/>
      <c r="E23" s="336"/>
      <c r="F23" s="336"/>
      <c r="G23" s="310"/>
      <c r="I23" s="335"/>
      <c r="J23" s="311">
        <v>1957</v>
      </c>
      <c r="K23" s="309"/>
      <c r="L23" s="309"/>
      <c r="M23" s="309"/>
      <c r="N23" s="337"/>
      <c r="O23" s="13"/>
      <c r="P23" s="323"/>
      <c r="Q23" s="311">
        <v>1957</v>
      </c>
      <c r="R23" s="309"/>
      <c r="S23" s="309"/>
      <c r="T23" s="309" t="str">
        <f t="shared" si="5"/>
        <v xml:space="preserve"> </v>
      </c>
      <c r="U23" s="354">
        <f t="shared" si="0"/>
        <v>0</v>
      </c>
      <c r="V23" s="309"/>
      <c r="W23" s="309"/>
      <c r="X23" s="310"/>
      <c r="Z23" s="335"/>
      <c r="AA23" s="311">
        <v>1957</v>
      </c>
      <c r="AB23" s="336"/>
      <c r="AC23" s="336"/>
      <c r="AD23" s="336"/>
      <c r="AE23" s="310"/>
      <c r="AG23" s="335"/>
      <c r="AH23" s="311">
        <v>1957</v>
      </c>
      <c r="AI23" s="309"/>
      <c r="AJ23" s="309"/>
      <c r="AK23" s="309"/>
      <c r="AL23" s="337"/>
      <c r="AM23" s="13"/>
      <c r="AN23" s="323"/>
      <c r="AO23" s="311">
        <v>1957</v>
      </c>
      <c r="AP23" s="309"/>
      <c r="AQ23" s="309"/>
      <c r="AR23" s="309" t="str">
        <f t="shared" si="6"/>
        <v xml:space="preserve"> </v>
      </c>
      <c r="AS23" s="354">
        <f t="shared" si="1"/>
        <v>0</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7"/>
        <v xml:space="preserve"> </v>
      </c>
      <c r="BQ23" s="354">
        <f t="shared" si="2"/>
        <v>0</v>
      </c>
      <c r="BR23" s="309"/>
      <c r="BS23" s="309"/>
      <c r="BT23" s="310"/>
      <c r="BV23" s="323"/>
      <c r="BW23" s="311">
        <v>1957</v>
      </c>
      <c r="BX23" s="381">
        <f t="shared" si="3"/>
        <v>0</v>
      </c>
      <c r="BY23" s="381">
        <f>IF(ISNUMBER(INDEX(TARGET_SHIPMENTS,MATCH($BV$2,HVAC_SYSTEMS,0),MATCH(BW23,TARGET_SHIPMENT_YEARS,0))),INDEX(TARGET_SHIPMENTS,MATCH($BV$2,HVAC_SYSTEMS,0),MATCH(BW23,TARGET_SHIPMENT_YEARS,0)),0)*'AHRI Shipments'!$J$10</f>
        <v>0</v>
      </c>
      <c r="BZ23" s="360">
        <f t="shared" si="4"/>
        <v>0</v>
      </c>
      <c r="CA23" s="337"/>
    </row>
    <row r="24" spans="2:79" s="5" customFormat="1" ht="12.75">
      <c r="B24" s="335"/>
      <c r="C24" s="311">
        <v>1958</v>
      </c>
      <c r="D24" s="336"/>
      <c r="E24" s="336"/>
      <c r="F24" s="336"/>
      <c r="G24" s="310"/>
      <c r="I24" s="335"/>
      <c r="J24" s="311">
        <v>1958</v>
      </c>
      <c r="K24" s="309"/>
      <c r="L24" s="309"/>
      <c r="M24" s="309"/>
      <c r="N24" s="337"/>
      <c r="O24" s="13"/>
      <c r="P24" s="323"/>
      <c r="Q24" s="311">
        <v>1958</v>
      </c>
      <c r="R24" s="309"/>
      <c r="S24" s="309"/>
      <c r="T24" s="309" t="str">
        <f t="shared" si="5"/>
        <v>CALIBRATE</v>
      </c>
      <c r="U24" s="354">
        <f aca="true" t="shared" si="8" ref="U24:U46">IF(Q$47-Q24&gt;U$6,0,L$46/U$6)</f>
        <v>1255.0719565648658</v>
      </c>
      <c r="V24" s="309"/>
      <c r="W24" s="309"/>
      <c r="X24" s="310"/>
      <c r="Z24" s="335"/>
      <c r="AA24" s="311">
        <v>1958</v>
      </c>
      <c r="AB24" s="336"/>
      <c r="AC24" s="336"/>
      <c r="AD24" s="336"/>
      <c r="AE24" s="310"/>
      <c r="AG24" s="335"/>
      <c r="AH24" s="311">
        <v>1958</v>
      </c>
      <c r="AI24" s="309"/>
      <c r="AJ24" s="309"/>
      <c r="AK24" s="309"/>
      <c r="AL24" s="337"/>
      <c r="AM24" s="13"/>
      <c r="AN24" s="323"/>
      <c r="AO24" s="311">
        <v>1958</v>
      </c>
      <c r="AP24" s="309"/>
      <c r="AQ24" s="309"/>
      <c r="AR24" s="309" t="str">
        <f t="shared" si="6"/>
        <v>CALIBRATE</v>
      </c>
      <c r="AS24" s="354">
        <f aca="true" t="shared" si="9" ref="AS24:AS46">IF(AO$47-AO24&gt;AS$6,0,AJ$46/AS$6)</f>
        <v>175.38169798591355</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7"/>
        <v>CALIBRATE</v>
      </c>
      <c r="BQ24" s="354">
        <f aca="true" t="shared" si="10" ref="BQ24:BQ46">IF(BM$47-BM24&gt;BQ$6,0,BH$46/BQ$6)</f>
        <v>1430.4536545507797</v>
      </c>
      <c r="BR24" s="309"/>
      <c r="BS24" s="309"/>
      <c r="BT24" s="310"/>
      <c r="BV24" s="323"/>
      <c r="BW24" s="311">
        <v>1958</v>
      </c>
      <c r="BX24" s="381">
        <f t="shared" si="3"/>
        <v>1430.4536545507797</v>
      </c>
      <c r="BY24" s="381">
        <f>IF(ISNUMBER(INDEX(TARGET_SHIPMENTS,MATCH($BV$2,HVAC_SYSTEMS,0),MATCH(BW24,TARGET_SHIPMENT_YEARS,0))),INDEX(TARGET_SHIPMENTS,MATCH($BV$2,HVAC_SYSTEMS,0),MATCH(BW24,TARGET_SHIPMENT_YEARS,0)),0)*'AHRI Shipments'!$J$10</f>
        <v>0</v>
      </c>
      <c r="BZ24" s="360">
        <f t="shared" si="4"/>
        <v>0</v>
      </c>
      <c r="CA24" s="337"/>
    </row>
    <row r="25" spans="2:79" s="5" customFormat="1" ht="12.75">
      <c r="B25" s="335"/>
      <c r="C25" s="311">
        <v>1959</v>
      </c>
      <c r="D25" s="336"/>
      <c r="E25" s="336"/>
      <c r="F25" s="336"/>
      <c r="G25" s="310"/>
      <c r="I25" s="335"/>
      <c r="J25" s="311">
        <v>1959</v>
      </c>
      <c r="K25" s="309"/>
      <c r="L25" s="309"/>
      <c r="M25" s="309"/>
      <c r="N25" s="337"/>
      <c r="O25" s="13"/>
      <c r="P25" s="323"/>
      <c r="Q25" s="311">
        <v>1959</v>
      </c>
      <c r="R25" s="309"/>
      <c r="S25" s="309"/>
      <c r="T25" s="309" t="str">
        <f t="shared" si="5"/>
        <v xml:space="preserve"> </v>
      </c>
      <c r="U25" s="354">
        <f t="shared" si="8"/>
        <v>1255.0719565648658</v>
      </c>
      <c r="V25" s="309"/>
      <c r="W25" s="309"/>
      <c r="X25" s="310"/>
      <c r="Z25" s="335"/>
      <c r="AA25" s="311">
        <v>1959</v>
      </c>
      <c r="AB25" s="336"/>
      <c r="AC25" s="336"/>
      <c r="AD25" s="336"/>
      <c r="AE25" s="310"/>
      <c r="AG25" s="335"/>
      <c r="AH25" s="311">
        <v>1959</v>
      </c>
      <c r="AI25" s="309"/>
      <c r="AJ25" s="309"/>
      <c r="AK25" s="309"/>
      <c r="AL25" s="337"/>
      <c r="AM25" s="13"/>
      <c r="AN25" s="323"/>
      <c r="AO25" s="311">
        <v>1959</v>
      </c>
      <c r="AP25" s="309"/>
      <c r="AQ25" s="309"/>
      <c r="AR25" s="309" t="str">
        <f t="shared" si="6"/>
        <v xml:space="preserve"> </v>
      </c>
      <c r="AS25" s="354">
        <f t="shared" si="9"/>
        <v>175.38169798591355</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7"/>
        <v xml:space="preserve"> </v>
      </c>
      <c r="BQ25" s="354">
        <f t="shared" si="10"/>
        <v>1430.4536545507797</v>
      </c>
      <c r="BR25" s="309"/>
      <c r="BS25" s="309"/>
      <c r="BT25" s="310"/>
      <c r="BV25" s="323"/>
      <c r="BW25" s="311">
        <v>1959</v>
      </c>
      <c r="BX25" s="381">
        <f t="shared" si="3"/>
        <v>1430.4536545507797</v>
      </c>
      <c r="BY25" s="381">
        <f>IF(ISNUMBER(INDEX(TARGET_SHIPMENTS,MATCH($BV$2,HVAC_SYSTEMS,0),MATCH(BW25,TARGET_SHIPMENT_YEARS,0))),INDEX(TARGET_SHIPMENTS,MATCH($BV$2,HVAC_SYSTEMS,0),MATCH(BW25,TARGET_SHIPMENT_YEARS,0)),0)*'AHRI Shipments'!$J$10</f>
        <v>0</v>
      </c>
      <c r="BZ25" s="360">
        <f t="shared" si="4"/>
        <v>0</v>
      </c>
      <c r="CA25" s="337"/>
    </row>
    <row r="26" spans="2:79" s="5" customFormat="1" ht="12.75">
      <c r="B26" s="335"/>
      <c r="C26" s="311">
        <v>1960</v>
      </c>
      <c r="D26" s="336"/>
      <c r="E26" s="336"/>
      <c r="F26" s="336"/>
      <c r="G26" s="310"/>
      <c r="I26" s="335"/>
      <c r="J26" s="311">
        <v>1960</v>
      </c>
      <c r="K26" s="309"/>
      <c r="L26" s="309"/>
      <c r="M26" s="309"/>
      <c r="N26" s="337"/>
      <c r="O26" s="13"/>
      <c r="P26" s="323"/>
      <c r="Q26" s="311">
        <v>1960</v>
      </c>
      <c r="R26" s="309"/>
      <c r="S26" s="309"/>
      <c r="T26" s="309" t="str">
        <f t="shared" si="5"/>
        <v xml:space="preserve"> </v>
      </c>
      <c r="U26" s="354">
        <f t="shared" si="8"/>
        <v>1255.0719565648658</v>
      </c>
      <c r="V26" s="309"/>
      <c r="W26" s="309"/>
      <c r="X26" s="310"/>
      <c r="Z26" s="335"/>
      <c r="AA26" s="311">
        <v>1960</v>
      </c>
      <c r="AB26" s="336"/>
      <c r="AC26" s="336"/>
      <c r="AD26" s="336"/>
      <c r="AE26" s="310"/>
      <c r="AG26" s="335"/>
      <c r="AH26" s="311">
        <v>1960</v>
      </c>
      <c r="AI26" s="309"/>
      <c r="AJ26" s="309"/>
      <c r="AK26" s="309"/>
      <c r="AL26" s="337"/>
      <c r="AM26" s="13"/>
      <c r="AN26" s="323"/>
      <c r="AO26" s="311">
        <v>1960</v>
      </c>
      <c r="AP26" s="309"/>
      <c r="AQ26" s="309"/>
      <c r="AR26" s="309" t="str">
        <f t="shared" si="6"/>
        <v xml:space="preserve"> </v>
      </c>
      <c r="AS26" s="354">
        <f t="shared" si="9"/>
        <v>175.38169798591355</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7"/>
        <v xml:space="preserve"> </v>
      </c>
      <c r="BQ26" s="354">
        <f t="shared" si="10"/>
        <v>1430.4536545507797</v>
      </c>
      <c r="BR26" s="309"/>
      <c r="BS26" s="309"/>
      <c r="BT26" s="310"/>
      <c r="BV26" s="323"/>
      <c r="BW26" s="311">
        <v>1960</v>
      </c>
      <c r="BX26" s="381">
        <f t="shared" si="3"/>
        <v>1430.4536545507797</v>
      </c>
      <c r="BY26" s="381">
        <f>IF(ISNUMBER(INDEX(TARGET_SHIPMENTS,MATCH($BV$2,HVAC_SYSTEMS,0),MATCH(BW26,TARGET_SHIPMENT_YEARS,0))),INDEX(TARGET_SHIPMENTS,MATCH($BV$2,HVAC_SYSTEMS,0),MATCH(BW26,TARGET_SHIPMENT_YEARS,0)),0)*'AHRI Shipments'!$J$10</f>
        <v>0</v>
      </c>
      <c r="BZ26" s="360">
        <f t="shared" si="4"/>
        <v>0</v>
      </c>
      <c r="CA26" s="337"/>
    </row>
    <row r="27" spans="2:79" s="5" customFormat="1" ht="12.75">
      <c r="B27" s="335"/>
      <c r="C27" s="311">
        <v>1961</v>
      </c>
      <c r="D27" s="336"/>
      <c r="E27" s="336"/>
      <c r="F27" s="336"/>
      <c r="G27" s="310"/>
      <c r="I27" s="335"/>
      <c r="J27" s="311">
        <v>1961</v>
      </c>
      <c r="K27" s="309"/>
      <c r="L27" s="309"/>
      <c r="M27" s="309"/>
      <c r="N27" s="337"/>
      <c r="O27" s="13"/>
      <c r="P27" s="323"/>
      <c r="Q27" s="311">
        <v>1961</v>
      </c>
      <c r="R27" s="309"/>
      <c r="S27" s="309"/>
      <c r="T27" s="309" t="str">
        <f t="shared" si="5"/>
        <v xml:space="preserve"> </v>
      </c>
      <c r="U27" s="354">
        <f t="shared" si="8"/>
        <v>1255.0719565648658</v>
      </c>
      <c r="V27" s="309"/>
      <c r="W27" s="309"/>
      <c r="X27" s="310"/>
      <c r="Z27" s="335"/>
      <c r="AA27" s="311">
        <v>1961</v>
      </c>
      <c r="AB27" s="336"/>
      <c r="AC27" s="336"/>
      <c r="AD27" s="336"/>
      <c r="AE27" s="310"/>
      <c r="AG27" s="335"/>
      <c r="AH27" s="311">
        <v>1961</v>
      </c>
      <c r="AI27" s="309"/>
      <c r="AJ27" s="309"/>
      <c r="AK27" s="309"/>
      <c r="AL27" s="337"/>
      <c r="AM27" s="13"/>
      <c r="AN27" s="323"/>
      <c r="AO27" s="311">
        <v>1961</v>
      </c>
      <c r="AP27" s="309"/>
      <c r="AQ27" s="309"/>
      <c r="AR27" s="309" t="str">
        <f t="shared" si="6"/>
        <v xml:space="preserve"> </v>
      </c>
      <c r="AS27" s="354">
        <f t="shared" si="9"/>
        <v>175.38169798591355</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7"/>
        <v xml:space="preserve"> </v>
      </c>
      <c r="BQ27" s="354">
        <f t="shared" si="10"/>
        <v>1430.4536545507797</v>
      </c>
      <c r="BR27" s="309"/>
      <c r="BS27" s="309"/>
      <c r="BT27" s="310"/>
      <c r="BV27" s="323"/>
      <c r="BW27" s="311">
        <v>1961</v>
      </c>
      <c r="BX27" s="381">
        <f t="shared" si="3"/>
        <v>1430.4536545507797</v>
      </c>
      <c r="BY27" s="381">
        <f>IF(ISNUMBER(INDEX(TARGET_SHIPMENTS,MATCH($BV$2,HVAC_SYSTEMS,0),MATCH(BW27,TARGET_SHIPMENT_YEARS,0))),INDEX(TARGET_SHIPMENTS,MATCH($BV$2,HVAC_SYSTEMS,0),MATCH(BW27,TARGET_SHIPMENT_YEARS,0)),0)*'AHRI Shipments'!$J$10</f>
        <v>0</v>
      </c>
      <c r="BZ27" s="360">
        <f t="shared" si="4"/>
        <v>0</v>
      </c>
      <c r="CA27" s="337"/>
    </row>
    <row r="28" spans="2:79" s="5" customFormat="1" ht="12.75">
      <c r="B28" s="335"/>
      <c r="C28" s="311">
        <v>1962</v>
      </c>
      <c r="D28" s="336"/>
      <c r="E28" s="336"/>
      <c r="F28" s="336"/>
      <c r="G28" s="310"/>
      <c r="I28" s="335"/>
      <c r="J28" s="311">
        <v>1962</v>
      </c>
      <c r="K28" s="309"/>
      <c r="L28" s="309"/>
      <c r="M28" s="309"/>
      <c r="N28" s="337"/>
      <c r="O28" s="13"/>
      <c r="P28" s="323"/>
      <c r="Q28" s="311">
        <v>1962</v>
      </c>
      <c r="R28" s="309"/>
      <c r="S28" s="309"/>
      <c r="T28" s="309" t="str">
        <f t="shared" si="5"/>
        <v xml:space="preserve"> </v>
      </c>
      <c r="U28" s="354">
        <f t="shared" si="8"/>
        <v>1255.0719565648658</v>
      </c>
      <c r="V28" s="309"/>
      <c r="W28" s="309"/>
      <c r="X28" s="310"/>
      <c r="Z28" s="335"/>
      <c r="AA28" s="311">
        <v>1962</v>
      </c>
      <c r="AB28" s="336"/>
      <c r="AC28" s="336"/>
      <c r="AD28" s="336"/>
      <c r="AE28" s="310"/>
      <c r="AG28" s="335"/>
      <c r="AH28" s="311">
        <v>1962</v>
      </c>
      <c r="AI28" s="309"/>
      <c r="AJ28" s="309"/>
      <c r="AK28" s="309"/>
      <c r="AL28" s="337"/>
      <c r="AM28" s="13"/>
      <c r="AN28" s="323"/>
      <c r="AO28" s="311">
        <v>1962</v>
      </c>
      <c r="AP28" s="309"/>
      <c r="AQ28" s="309"/>
      <c r="AR28" s="309" t="str">
        <f t="shared" si="6"/>
        <v xml:space="preserve"> </v>
      </c>
      <c r="AS28" s="354">
        <f t="shared" si="9"/>
        <v>175.38169798591355</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7"/>
        <v xml:space="preserve"> </v>
      </c>
      <c r="BQ28" s="354">
        <f t="shared" si="10"/>
        <v>1430.4536545507797</v>
      </c>
      <c r="BR28" s="309"/>
      <c r="BS28" s="309"/>
      <c r="BT28" s="310"/>
      <c r="BV28" s="323"/>
      <c r="BW28" s="311">
        <v>1962</v>
      </c>
      <c r="BX28" s="381">
        <f aca="true" t="shared" si="11" ref="BX28:BX81">BQ28</f>
        <v>1430.4536545507797</v>
      </c>
      <c r="BY28" s="381">
        <f>IF(ISNUMBER(INDEX(TARGET_SHIPMENTS,MATCH($BV$2,HVAC_SYSTEMS,0),MATCH(BW28,TARGET_SHIPMENT_YEARS,0))),INDEX(TARGET_SHIPMENTS,MATCH($BV$2,HVAC_SYSTEMS,0),MATCH(BW28,TARGET_SHIPMENT_YEARS,0)),0)*'AHRI Shipments'!$J$10</f>
        <v>0</v>
      </c>
      <c r="BZ28" s="360">
        <f aca="true" t="shared" si="12" ref="BZ28:BZ81">IF(ISNUMBER(BY28/BX28),BY28/BX28,0)</f>
        <v>0</v>
      </c>
      <c r="CA28" s="337"/>
    </row>
    <row r="29" spans="2:79" s="5" customFormat="1" ht="12.75">
      <c r="B29" s="335"/>
      <c r="C29" s="311">
        <v>1963</v>
      </c>
      <c r="D29" s="336"/>
      <c r="E29" s="336"/>
      <c r="F29" s="336"/>
      <c r="G29" s="310"/>
      <c r="I29" s="335"/>
      <c r="J29" s="311">
        <v>1963</v>
      </c>
      <c r="K29" s="309"/>
      <c r="L29" s="309"/>
      <c r="M29" s="309"/>
      <c r="N29" s="337"/>
      <c r="O29" s="13"/>
      <c r="P29" s="323"/>
      <c r="Q29" s="311">
        <v>1963</v>
      </c>
      <c r="R29" s="309"/>
      <c r="S29" s="309"/>
      <c r="T29" s="309" t="str">
        <f t="shared" si="5"/>
        <v xml:space="preserve"> </v>
      </c>
      <c r="U29" s="354">
        <f t="shared" si="8"/>
        <v>1255.0719565648658</v>
      </c>
      <c r="V29" s="309"/>
      <c r="W29" s="309"/>
      <c r="X29" s="310"/>
      <c r="Z29" s="335"/>
      <c r="AA29" s="311">
        <v>1963</v>
      </c>
      <c r="AB29" s="336"/>
      <c r="AC29" s="336"/>
      <c r="AD29" s="336"/>
      <c r="AE29" s="310"/>
      <c r="AG29" s="335"/>
      <c r="AH29" s="311">
        <v>1963</v>
      </c>
      <c r="AI29" s="309"/>
      <c r="AJ29" s="309"/>
      <c r="AK29" s="309"/>
      <c r="AL29" s="337"/>
      <c r="AM29" s="13"/>
      <c r="AN29" s="323"/>
      <c r="AO29" s="311">
        <v>1963</v>
      </c>
      <c r="AP29" s="309"/>
      <c r="AQ29" s="309"/>
      <c r="AR29" s="309" t="str">
        <f t="shared" si="6"/>
        <v xml:space="preserve"> </v>
      </c>
      <c r="AS29" s="354">
        <f t="shared" si="9"/>
        <v>175.38169798591355</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7"/>
        <v xml:space="preserve"> </v>
      </c>
      <c r="BQ29" s="354">
        <f t="shared" si="10"/>
        <v>1430.4536545507797</v>
      </c>
      <c r="BR29" s="309"/>
      <c r="BS29" s="309"/>
      <c r="BT29" s="310"/>
      <c r="BV29" s="323"/>
      <c r="BW29" s="311">
        <v>1963</v>
      </c>
      <c r="BX29" s="381">
        <f t="shared" si="11"/>
        <v>1430.4536545507797</v>
      </c>
      <c r="BY29" s="381">
        <f>IF(ISNUMBER(INDEX(TARGET_SHIPMENTS,MATCH($BV$2,HVAC_SYSTEMS,0),MATCH(BW29,TARGET_SHIPMENT_YEARS,0))),INDEX(TARGET_SHIPMENTS,MATCH($BV$2,HVAC_SYSTEMS,0),MATCH(BW29,TARGET_SHIPMENT_YEARS,0)),0)*'AHRI Shipments'!$J$10</f>
        <v>0</v>
      </c>
      <c r="BZ29" s="360">
        <f t="shared" si="12"/>
        <v>0</v>
      </c>
      <c r="CA29" s="337"/>
    </row>
    <row r="30" spans="2:79" s="5" customFormat="1" ht="12.75">
      <c r="B30" s="335"/>
      <c r="C30" s="311">
        <v>1964</v>
      </c>
      <c r="D30" s="336"/>
      <c r="E30" s="336"/>
      <c r="F30" s="336"/>
      <c r="G30" s="310"/>
      <c r="I30" s="335"/>
      <c r="J30" s="311">
        <v>1964</v>
      </c>
      <c r="K30" s="309"/>
      <c r="L30" s="309"/>
      <c r="M30" s="309"/>
      <c r="N30" s="337"/>
      <c r="O30" s="13"/>
      <c r="P30" s="323"/>
      <c r="Q30" s="311">
        <v>1964</v>
      </c>
      <c r="R30" s="309"/>
      <c r="S30" s="309"/>
      <c r="T30" s="309" t="str">
        <f t="shared" si="5"/>
        <v xml:space="preserve"> </v>
      </c>
      <c r="U30" s="354">
        <f t="shared" si="8"/>
        <v>1255.0719565648658</v>
      </c>
      <c r="V30" s="309"/>
      <c r="W30" s="309"/>
      <c r="X30" s="310"/>
      <c r="Z30" s="335"/>
      <c r="AA30" s="311">
        <v>1964</v>
      </c>
      <c r="AB30" s="336"/>
      <c r="AC30" s="336"/>
      <c r="AD30" s="336"/>
      <c r="AE30" s="310"/>
      <c r="AG30" s="335"/>
      <c r="AH30" s="311">
        <v>1964</v>
      </c>
      <c r="AI30" s="309"/>
      <c r="AJ30" s="309"/>
      <c r="AK30" s="309"/>
      <c r="AL30" s="337"/>
      <c r="AM30" s="13"/>
      <c r="AN30" s="323"/>
      <c r="AO30" s="311">
        <v>1964</v>
      </c>
      <c r="AP30" s="309"/>
      <c r="AQ30" s="309"/>
      <c r="AR30" s="309" t="str">
        <f t="shared" si="6"/>
        <v xml:space="preserve"> </v>
      </c>
      <c r="AS30" s="354">
        <f t="shared" si="9"/>
        <v>175.38169798591355</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7"/>
        <v xml:space="preserve"> </v>
      </c>
      <c r="BQ30" s="354">
        <f t="shared" si="10"/>
        <v>1430.4536545507797</v>
      </c>
      <c r="BR30" s="309"/>
      <c r="BS30" s="309"/>
      <c r="BT30" s="310"/>
      <c r="BV30" s="323"/>
      <c r="BW30" s="311">
        <v>1964</v>
      </c>
      <c r="BX30" s="381">
        <f t="shared" si="11"/>
        <v>1430.4536545507797</v>
      </c>
      <c r="BY30" s="381">
        <f>IF(ISNUMBER(INDEX(TARGET_SHIPMENTS,MATCH($BV$2,HVAC_SYSTEMS,0),MATCH(BW30,TARGET_SHIPMENT_YEARS,0))),INDEX(TARGET_SHIPMENTS,MATCH($BV$2,HVAC_SYSTEMS,0),MATCH(BW30,TARGET_SHIPMENT_YEARS,0)),0)*'AHRI Shipments'!$J$10</f>
        <v>0</v>
      </c>
      <c r="BZ30" s="360">
        <f t="shared" si="12"/>
        <v>0</v>
      </c>
      <c r="CA30" s="337"/>
    </row>
    <row r="31" spans="2:79" s="5" customFormat="1" ht="12.75">
      <c r="B31" s="335"/>
      <c r="C31" s="311">
        <v>1965</v>
      </c>
      <c r="D31" s="336"/>
      <c r="E31" s="336"/>
      <c r="F31" s="336"/>
      <c r="G31" s="310"/>
      <c r="I31" s="335"/>
      <c r="J31" s="311">
        <v>1965</v>
      </c>
      <c r="K31" s="309"/>
      <c r="L31" s="327"/>
      <c r="M31" s="327"/>
      <c r="N31" s="338"/>
      <c r="O31" s="14"/>
      <c r="P31" s="324"/>
      <c r="Q31" s="311">
        <v>1965</v>
      </c>
      <c r="R31" s="327"/>
      <c r="S31" s="327"/>
      <c r="T31" s="309" t="str">
        <f t="shared" si="5"/>
        <v xml:space="preserve"> </v>
      </c>
      <c r="U31" s="354">
        <f t="shared" si="8"/>
        <v>1255.0719565648658</v>
      </c>
      <c r="V31" s="309"/>
      <c r="W31" s="309"/>
      <c r="X31" s="310"/>
      <c r="Z31" s="335"/>
      <c r="AA31" s="311">
        <v>1965</v>
      </c>
      <c r="AB31" s="336"/>
      <c r="AC31" s="336"/>
      <c r="AD31" s="336"/>
      <c r="AE31" s="310"/>
      <c r="AG31" s="335"/>
      <c r="AH31" s="311">
        <v>1965</v>
      </c>
      <c r="AI31" s="309"/>
      <c r="AJ31" s="327"/>
      <c r="AK31" s="327"/>
      <c r="AL31" s="338"/>
      <c r="AM31" s="14"/>
      <c r="AN31" s="324"/>
      <c r="AO31" s="311">
        <v>1965</v>
      </c>
      <c r="AP31" s="327"/>
      <c r="AQ31" s="327"/>
      <c r="AR31" s="309" t="str">
        <f t="shared" si="6"/>
        <v xml:space="preserve"> </v>
      </c>
      <c r="AS31" s="354">
        <f t="shared" si="9"/>
        <v>175.38169798591355</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7"/>
        <v xml:space="preserve"> </v>
      </c>
      <c r="BQ31" s="354">
        <f t="shared" si="10"/>
        <v>1430.4536545507797</v>
      </c>
      <c r="BR31" s="309"/>
      <c r="BS31" s="309"/>
      <c r="BT31" s="310"/>
      <c r="BV31" s="324"/>
      <c r="BW31" s="311">
        <v>1965</v>
      </c>
      <c r="BX31" s="381">
        <f t="shared" si="11"/>
        <v>1430.4536545507797</v>
      </c>
      <c r="BY31" s="381">
        <f>IF(ISNUMBER(INDEX(TARGET_SHIPMENTS,MATCH($BV$2,HVAC_SYSTEMS,0),MATCH(BW31,TARGET_SHIPMENT_YEARS,0))),INDEX(TARGET_SHIPMENTS,MATCH($BV$2,HVAC_SYSTEMS,0),MATCH(BW31,TARGET_SHIPMENT_YEARS,0)),0)*'AHRI Shipments'!$J$10</f>
        <v>0</v>
      </c>
      <c r="BZ31" s="360">
        <f t="shared" si="12"/>
        <v>0</v>
      </c>
      <c r="CA31" s="337"/>
    </row>
    <row r="32" spans="2:79" s="5" customFormat="1" ht="12.75">
      <c r="B32" s="335"/>
      <c r="C32" s="311">
        <v>1966</v>
      </c>
      <c r="D32" s="336"/>
      <c r="E32" s="336"/>
      <c r="F32" s="336"/>
      <c r="G32" s="310"/>
      <c r="I32" s="335"/>
      <c r="J32" s="311">
        <v>1966</v>
      </c>
      <c r="K32" s="309"/>
      <c r="L32" s="327"/>
      <c r="M32" s="327"/>
      <c r="N32" s="338"/>
      <c r="O32" s="14"/>
      <c r="P32" s="324"/>
      <c r="Q32" s="311">
        <v>1966</v>
      </c>
      <c r="R32" s="328"/>
      <c r="S32" s="328"/>
      <c r="T32" s="309" t="str">
        <f t="shared" si="5"/>
        <v xml:space="preserve"> </v>
      </c>
      <c r="U32" s="354">
        <f t="shared" si="8"/>
        <v>1255.0719565648658</v>
      </c>
      <c r="V32" s="309"/>
      <c r="W32" s="309"/>
      <c r="X32" s="310"/>
      <c r="Z32" s="335"/>
      <c r="AA32" s="311">
        <v>1966</v>
      </c>
      <c r="AB32" s="336"/>
      <c r="AC32" s="336"/>
      <c r="AD32" s="336"/>
      <c r="AE32" s="310"/>
      <c r="AG32" s="335"/>
      <c r="AH32" s="311">
        <v>1966</v>
      </c>
      <c r="AI32" s="309"/>
      <c r="AJ32" s="327"/>
      <c r="AK32" s="327"/>
      <c r="AL32" s="338"/>
      <c r="AM32" s="14"/>
      <c r="AN32" s="324"/>
      <c r="AO32" s="311">
        <v>1966</v>
      </c>
      <c r="AP32" s="328"/>
      <c r="AQ32" s="328"/>
      <c r="AR32" s="309" t="str">
        <f t="shared" si="6"/>
        <v xml:space="preserve"> </v>
      </c>
      <c r="AS32" s="354">
        <f t="shared" si="9"/>
        <v>175.38169798591355</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7"/>
        <v xml:space="preserve"> </v>
      </c>
      <c r="BQ32" s="354">
        <f t="shared" si="10"/>
        <v>1430.4536545507797</v>
      </c>
      <c r="BR32" s="309"/>
      <c r="BS32" s="309"/>
      <c r="BT32" s="310"/>
      <c r="BV32" s="324"/>
      <c r="BW32" s="311">
        <v>1966</v>
      </c>
      <c r="BX32" s="381">
        <f t="shared" si="11"/>
        <v>1430.4536545507797</v>
      </c>
      <c r="BY32" s="381">
        <f>IF(ISNUMBER(INDEX(TARGET_SHIPMENTS,MATCH($BV$2,HVAC_SYSTEMS,0),MATCH(BW32,TARGET_SHIPMENT_YEARS,0))),INDEX(TARGET_SHIPMENTS,MATCH($BV$2,HVAC_SYSTEMS,0),MATCH(BW32,TARGET_SHIPMENT_YEARS,0)),0)*'AHRI Shipments'!$J$10</f>
        <v>0</v>
      </c>
      <c r="BZ32" s="360">
        <f t="shared" si="12"/>
        <v>0</v>
      </c>
      <c r="CA32" s="337"/>
    </row>
    <row r="33" spans="2:79" s="5" customFormat="1" ht="12.75">
      <c r="B33" s="335"/>
      <c r="C33" s="311">
        <v>1967</v>
      </c>
      <c r="D33" s="336"/>
      <c r="E33" s="336"/>
      <c r="F33" s="336"/>
      <c r="G33" s="310"/>
      <c r="I33" s="335"/>
      <c r="J33" s="311">
        <v>1967</v>
      </c>
      <c r="K33" s="309"/>
      <c r="L33" s="327"/>
      <c r="M33" s="327"/>
      <c r="N33" s="338"/>
      <c r="O33" s="14"/>
      <c r="P33" s="324"/>
      <c r="Q33" s="311">
        <v>1967</v>
      </c>
      <c r="R33" s="328"/>
      <c r="S33" s="328"/>
      <c r="T33" s="309" t="str">
        <f t="shared" si="5"/>
        <v xml:space="preserve"> </v>
      </c>
      <c r="U33" s="354">
        <f t="shared" si="8"/>
        <v>1255.0719565648658</v>
      </c>
      <c r="V33" s="309"/>
      <c r="W33" s="309"/>
      <c r="X33" s="310"/>
      <c r="Z33" s="335"/>
      <c r="AA33" s="311">
        <v>1967</v>
      </c>
      <c r="AB33" s="336"/>
      <c r="AC33" s="336"/>
      <c r="AD33" s="336"/>
      <c r="AE33" s="310"/>
      <c r="AG33" s="335"/>
      <c r="AH33" s="311">
        <v>1967</v>
      </c>
      <c r="AI33" s="309"/>
      <c r="AJ33" s="327"/>
      <c r="AK33" s="327"/>
      <c r="AL33" s="338"/>
      <c r="AM33" s="14"/>
      <c r="AN33" s="324"/>
      <c r="AO33" s="311">
        <v>1967</v>
      </c>
      <c r="AP33" s="328"/>
      <c r="AQ33" s="328"/>
      <c r="AR33" s="309" t="str">
        <f t="shared" si="6"/>
        <v xml:space="preserve"> </v>
      </c>
      <c r="AS33" s="354">
        <f t="shared" si="9"/>
        <v>175.38169798591355</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7"/>
        <v xml:space="preserve"> </v>
      </c>
      <c r="BQ33" s="354">
        <f t="shared" si="10"/>
        <v>1430.4536545507797</v>
      </c>
      <c r="BR33" s="309"/>
      <c r="BS33" s="309"/>
      <c r="BT33" s="310"/>
      <c r="BV33" s="324"/>
      <c r="BW33" s="311">
        <v>1967</v>
      </c>
      <c r="BX33" s="381">
        <f t="shared" si="11"/>
        <v>1430.4536545507797</v>
      </c>
      <c r="BY33" s="381">
        <f>IF(ISNUMBER(INDEX(TARGET_SHIPMENTS,MATCH($BV$2,HVAC_SYSTEMS,0),MATCH(BW33,TARGET_SHIPMENT_YEARS,0))),INDEX(TARGET_SHIPMENTS,MATCH($BV$2,HVAC_SYSTEMS,0),MATCH(BW33,TARGET_SHIPMENT_YEARS,0)),0)*'AHRI Shipments'!$J$10</f>
        <v>0</v>
      </c>
      <c r="BZ33" s="360">
        <f t="shared" si="12"/>
        <v>0</v>
      </c>
      <c r="CA33" s="337"/>
    </row>
    <row r="34" spans="2:79" s="5" customFormat="1" ht="12.75">
      <c r="B34" s="335"/>
      <c r="C34" s="311">
        <v>1968</v>
      </c>
      <c r="D34" s="336"/>
      <c r="E34" s="336"/>
      <c r="F34" s="336"/>
      <c r="G34" s="310"/>
      <c r="I34" s="335"/>
      <c r="J34" s="311">
        <v>1968</v>
      </c>
      <c r="K34" s="309"/>
      <c r="L34" s="327"/>
      <c r="M34" s="327"/>
      <c r="N34" s="338"/>
      <c r="O34" s="14"/>
      <c r="P34" s="324"/>
      <c r="Q34" s="311">
        <v>1968</v>
      </c>
      <c r="R34" s="328"/>
      <c r="S34" s="328"/>
      <c r="T34" s="309" t="str">
        <f t="shared" si="5"/>
        <v xml:space="preserve"> </v>
      </c>
      <c r="U34" s="354">
        <f t="shared" si="8"/>
        <v>1255.0719565648658</v>
      </c>
      <c r="V34" s="309"/>
      <c r="W34" s="309"/>
      <c r="X34" s="310"/>
      <c r="Z34" s="335"/>
      <c r="AA34" s="311">
        <v>1968</v>
      </c>
      <c r="AB34" s="336"/>
      <c r="AC34" s="336"/>
      <c r="AD34" s="336"/>
      <c r="AE34" s="310"/>
      <c r="AG34" s="335"/>
      <c r="AH34" s="311">
        <v>1968</v>
      </c>
      <c r="AI34" s="309"/>
      <c r="AJ34" s="327"/>
      <c r="AK34" s="327"/>
      <c r="AL34" s="338"/>
      <c r="AM34" s="14"/>
      <c r="AN34" s="324"/>
      <c r="AO34" s="311">
        <v>1968</v>
      </c>
      <c r="AP34" s="328"/>
      <c r="AQ34" s="328"/>
      <c r="AR34" s="309" t="str">
        <f t="shared" si="6"/>
        <v xml:space="preserve"> </v>
      </c>
      <c r="AS34" s="354">
        <f t="shared" si="9"/>
        <v>175.38169798591355</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7"/>
        <v xml:space="preserve"> </v>
      </c>
      <c r="BQ34" s="354">
        <f t="shared" si="10"/>
        <v>1430.4536545507797</v>
      </c>
      <c r="BR34" s="309"/>
      <c r="BS34" s="309"/>
      <c r="BT34" s="310"/>
      <c r="BV34" s="324"/>
      <c r="BW34" s="311">
        <v>1968</v>
      </c>
      <c r="BX34" s="381">
        <f t="shared" si="11"/>
        <v>1430.4536545507797</v>
      </c>
      <c r="BY34" s="381">
        <f>IF(ISNUMBER(INDEX(TARGET_SHIPMENTS,MATCH($BV$2,HVAC_SYSTEMS,0),MATCH(BW34,TARGET_SHIPMENT_YEARS,0))),INDEX(TARGET_SHIPMENTS,MATCH($BV$2,HVAC_SYSTEMS,0),MATCH(BW34,TARGET_SHIPMENT_YEARS,0)),0)*'AHRI Shipments'!$J$10</f>
        <v>0</v>
      </c>
      <c r="BZ34" s="360">
        <f t="shared" si="12"/>
        <v>0</v>
      </c>
      <c r="CA34" s="337"/>
    </row>
    <row r="35" spans="2:79" s="5" customFormat="1" ht="12.75">
      <c r="B35" s="335"/>
      <c r="C35" s="311">
        <v>1969</v>
      </c>
      <c r="D35" s="336"/>
      <c r="E35" s="336"/>
      <c r="F35" s="336"/>
      <c r="G35" s="310"/>
      <c r="I35" s="335"/>
      <c r="J35" s="311">
        <v>1969</v>
      </c>
      <c r="K35" s="309"/>
      <c r="L35" s="327"/>
      <c r="M35" s="327"/>
      <c r="N35" s="338"/>
      <c r="O35" s="14"/>
      <c r="P35" s="324"/>
      <c r="Q35" s="311">
        <v>1969</v>
      </c>
      <c r="R35" s="328"/>
      <c r="S35" s="328"/>
      <c r="T35" s="309" t="str">
        <f t="shared" si="5"/>
        <v xml:space="preserve"> </v>
      </c>
      <c r="U35" s="354">
        <f t="shared" si="8"/>
        <v>1255.0719565648658</v>
      </c>
      <c r="V35" s="309"/>
      <c r="W35" s="309"/>
      <c r="X35" s="310"/>
      <c r="Z35" s="335"/>
      <c r="AA35" s="311">
        <v>1969</v>
      </c>
      <c r="AB35" s="336"/>
      <c r="AC35" s="336"/>
      <c r="AD35" s="336"/>
      <c r="AE35" s="310"/>
      <c r="AG35" s="335"/>
      <c r="AH35" s="311">
        <v>1969</v>
      </c>
      <c r="AI35" s="309"/>
      <c r="AJ35" s="327"/>
      <c r="AK35" s="327"/>
      <c r="AL35" s="338"/>
      <c r="AM35" s="14"/>
      <c r="AN35" s="324"/>
      <c r="AO35" s="311">
        <v>1969</v>
      </c>
      <c r="AP35" s="328"/>
      <c r="AQ35" s="328"/>
      <c r="AR35" s="309" t="str">
        <f t="shared" si="6"/>
        <v xml:space="preserve"> </v>
      </c>
      <c r="AS35" s="354">
        <f t="shared" si="9"/>
        <v>175.38169798591355</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7"/>
        <v xml:space="preserve"> </v>
      </c>
      <c r="BQ35" s="354">
        <f t="shared" si="10"/>
        <v>1430.4536545507797</v>
      </c>
      <c r="BR35" s="309"/>
      <c r="BS35" s="309"/>
      <c r="BT35" s="310"/>
      <c r="BV35" s="324"/>
      <c r="BW35" s="311">
        <v>1969</v>
      </c>
      <c r="BX35" s="381">
        <f t="shared" si="11"/>
        <v>1430.4536545507797</v>
      </c>
      <c r="BY35" s="381">
        <f>IF(ISNUMBER(INDEX(TARGET_SHIPMENTS,MATCH($BV$2,HVAC_SYSTEMS,0),MATCH(BW35,TARGET_SHIPMENT_YEARS,0))),INDEX(TARGET_SHIPMENTS,MATCH($BV$2,HVAC_SYSTEMS,0),MATCH(BW35,TARGET_SHIPMENT_YEARS,0)),0)*'AHRI Shipments'!$J$10</f>
        <v>0</v>
      </c>
      <c r="BZ35" s="360">
        <f t="shared" si="12"/>
        <v>0</v>
      </c>
      <c r="CA35" s="337"/>
    </row>
    <row r="36" spans="2:79" s="5" customFormat="1" ht="12.75">
      <c r="B36" s="335"/>
      <c r="C36" s="311">
        <v>1970</v>
      </c>
      <c r="D36" s="336"/>
      <c r="E36" s="336"/>
      <c r="F36" s="336"/>
      <c r="G36" s="310"/>
      <c r="I36" s="335"/>
      <c r="J36" s="311">
        <v>1970</v>
      </c>
      <c r="K36" s="309"/>
      <c r="L36" s="327"/>
      <c r="M36" s="327"/>
      <c r="N36" s="338"/>
      <c r="O36" s="14"/>
      <c r="P36" s="324"/>
      <c r="Q36" s="311">
        <v>1970</v>
      </c>
      <c r="R36" s="328"/>
      <c r="S36" s="328"/>
      <c r="T36" s="309" t="str">
        <f t="shared" si="5"/>
        <v xml:space="preserve"> </v>
      </c>
      <c r="U36" s="354">
        <f t="shared" si="8"/>
        <v>1255.0719565648658</v>
      </c>
      <c r="V36" s="309"/>
      <c r="W36" s="309"/>
      <c r="X36" s="310"/>
      <c r="Z36" s="335"/>
      <c r="AA36" s="311">
        <v>1970</v>
      </c>
      <c r="AB36" s="336"/>
      <c r="AC36" s="336"/>
      <c r="AD36" s="336"/>
      <c r="AE36" s="310"/>
      <c r="AG36" s="335"/>
      <c r="AH36" s="311">
        <v>1970</v>
      </c>
      <c r="AI36" s="309"/>
      <c r="AJ36" s="327"/>
      <c r="AK36" s="327"/>
      <c r="AL36" s="338"/>
      <c r="AM36" s="14"/>
      <c r="AN36" s="324"/>
      <c r="AO36" s="311">
        <v>1970</v>
      </c>
      <c r="AP36" s="328"/>
      <c r="AQ36" s="328"/>
      <c r="AR36" s="309" t="str">
        <f t="shared" si="6"/>
        <v xml:space="preserve"> </v>
      </c>
      <c r="AS36" s="354">
        <f t="shared" si="9"/>
        <v>175.38169798591355</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7"/>
        <v xml:space="preserve"> </v>
      </c>
      <c r="BQ36" s="354">
        <f t="shared" si="10"/>
        <v>1430.4536545507797</v>
      </c>
      <c r="BR36" s="309"/>
      <c r="BS36" s="309"/>
      <c r="BT36" s="310"/>
      <c r="BV36" s="324"/>
      <c r="BW36" s="311">
        <v>1970</v>
      </c>
      <c r="BX36" s="381">
        <f t="shared" si="11"/>
        <v>1430.4536545507797</v>
      </c>
      <c r="BY36" s="381">
        <f>IF(ISNUMBER(INDEX(TARGET_SHIPMENTS,MATCH($BV$2,HVAC_SYSTEMS,0),MATCH(BW36,TARGET_SHIPMENT_YEARS,0))),INDEX(TARGET_SHIPMENTS,MATCH($BV$2,HVAC_SYSTEMS,0),MATCH(BW36,TARGET_SHIPMENT_YEARS,0)),0)*'AHRI Shipments'!$J$10</f>
        <v>0</v>
      </c>
      <c r="BZ36" s="360">
        <f t="shared" si="12"/>
        <v>0</v>
      </c>
      <c r="CA36" s="337"/>
    </row>
    <row r="37" spans="2:79" s="5" customFormat="1" ht="12.75">
      <c r="B37" s="335"/>
      <c r="C37" s="311">
        <v>1971</v>
      </c>
      <c r="D37" s="336"/>
      <c r="E37" s="336"/>
      <c r="F37" s="336"/>
      <c r="G37" s="310"/>
      <c r="I37" s="335"/>
      <c r="J37" s="311">
        <v>1971</v>
      </c>
      <c r="K37" s="309"/>
      <c r="L37" s="327"/>
      <c r="M37" s="327"/>
      <c r="N37" s="338"/>
      <c r="O37" s="14"/>
      <c r="P37" s="324"/>
      <c r="Q37" s="311">
        <v>1971</v>
      </c>
      <c r="R37" s="328"/>
      <c r="S37" s="328"/>
      <c r="T37" s="309" t="str">
        <f t="shared" si="5"/>
        <v xml:space="preserve"> </v>
      </c>
      <c r="U37" s="354">
        <f t="shared" si="8"/>
        <v>1255.0719565648658</v>
      </c>
      <c r="V37" s="309"/>
      <c r="W37" s="309"/>
      <c r="X37" s="310"/>
      <c r="Z37" s="335"/>
      <c r="AA37" s="311">
        <v>1971</v>
      </c>
      <c r="AB37" s="336"/>
      <c r="AC37" s="336"/>
      <c r="AD37" s="336"/>
      <c r="AE37" s="310"/>
      <c r="AG37" s="335"/>
      <c r="AH37" s="311">
        <v>1971</v>
      </c>
      <c r="AI37" s="309"/>
      <c r="AJ37" s="327"/>
      <c r="AK37" s="327"/>
      <c r="AL37" s="338"/>
      <c r="AM37" s="14"/>
      <c r="AN37" s="324"/>
      <c r="AO37" s="311">
        <v>1971</v>
      </c>
      <c r="AP37" s="328"/>
      <c r="AQ37" s="328"/>
      <c r="AR37" s="309" t="str">
        <f t="shared" si="6"/>
        <v xml:space="preserve"> </v>
      </c>
      <c r="AS37" s="354">
        <f t="shared" si="9"/>
        <v>175.38169798591355</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7"/>
        <v xml:space="preserve"> </v>
      </c>
      <c r="BQ37" s="354">
        <f t="shared" si="10"/>
        <v>1430.4536545507797</v>
      </c>
      <c r="BR37" s="309"/>
      <c r="BS37" s="309"/>
      <c r="BT37" s="310"/>
      <c r="BV37" s="324"/>
      <c r="BW37" s="311">
        <v>1971</v>
      </c>
      <c r="BX37" s="381">
        <f t="shared" si="11"/>
        <v>1430.4536545507797</v>
      </c>
      <c r="BY37" s="381">
        <f>IF(ISNUMBER(INDEX(TARGET_SHIPMENTS,MATCH($BV$2,HVAC_SYSTEMS,0),MATCH(BW37,TARGET_SHIPMENT_YEARS,0))),INDEX(TARGET_SHIPMENTS,MATCH($BV$2,HVAC_SYSTEMS,0),MATCH(BW37,TARGET_SHIPMENT_YEARS,0)),0)*'AHRI Shipments'!$J$10</f>
        <v>0</v>
      </c>
      <c r="BZ37" s="360">
        <f t="shared" si="12"/>
        <v>0</v>
      </c>
      <c r="CA37" s="337"/>
    </row>
    <row r="38" spans="2:79" s="5" customFormat="1" ht="12.75">
      <c r="B38" s="335"/>
      <c r="C38" s="311">
        <v>1972</v>
      </c>
      <c r="D38" s="336"/>
      <c r="E38" s="336"/>
      <c r="F38" s="336"/>
      <c r="G38" s="310"/>
      <c r="I38" s="335"/>
      <c r="J38" s="311">
        <v>1972</v>
      </c>
      <c r="K38" s="309"/>
      <c r="L38" s="327"/>
      <c r="M38" s="327"/>
      <c r="N38" s="338"/>
      <c r="O38" s="14"/>
      <c r="P38" s="324"/>
      <c r="Q38" s="311">
        <v>1972</v>
      </c>
      <c r="R38" s="328"/>
      <c r="S38" s="328"/>
      <c r="T38" s="309" t="str">
        <f t="shared" si="5"/>
        <v xml:space="preserve"> </v>
      </c>
      <c r="U38" s="354">
        <f t="shared" si="8"/>
        <v>1255.0719565648658</v>
      </c>
      <c r="V38" s="309"/>
      <c r="W38" s="309"/>
      <c r="X38" s="310"/>
      <c r="Z38" s="335"/>
      <c r="AA38" s="311">
        <v>1972</v>
      </c>
      <c r="AB38" s="336"/>
      <c r="AC38" s="336"/>
      <c r="AD38" s="336"/>
      <c r="AE38" s="310"/>
      <c r="AG38" s="335"/>
      <c r="AH38" s="311">
        <v>1972</v>
      </c>
      <c r="AI38" s="309"/>
      <c r="AJ38" s="327"/>
      <c r="AK38" s="327"/>
      <c r="AL38" s="338"/>
      <c r="AM38" s="14"/>
      <c r="AN38" s="324"/>
      <c r="AO38" s="311">
        <v>1972</v>
      </c>
      <c r="AP38" s="328"/>
      <c r="AQ38" s="328"/>
      <c r="AR38" s="309" t="str">
        <f t="shared" si="6"/>
        <v xml:space="preserve"> </v>
      </c>
      <c r="AS38" s="354">
        <f t="shared" si="9"/>
        <v>175.38169798591355</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7"/>
        <v xml:space="preserve"> </v>
      </c>
      <c r="BQ38" s="354">
        <f t="shared" si="10"/>
        <v>1430.4536545507797</v>
      </c>
      <c r="BR38" s="309"/>
      <c r="BS38" s="309"/>
      <c r="BT38" s="310"/>
      <c r="BV38" s="324"/>
      <c r="BW38" s="311">
        <v>1972</v>
      </c>
      <c r="BX38" s="381">
        <f t="shared" si="11"/>
        <v>1430.4536545507797</v>
      </c>
      <c r="BY38" s="381">
        <f>IF(ISNUMBER(INDEX(TARGET_SHIPMENTS,MATCH($BV$2,HVAC_SYSTEMS,0),MATCH(BW38,TARGET_SHIPMENT_YEARS,0))),INDEX(TARGET_SHIPMENTS,MATCH($BV$2,HVAC_SYSTEMS,0),MATCH(BW38,TARGET_SHIPMENT_YEARS,0)),0)*'AHRI Shipments'!$J$10</f>
        <v>0</v>
      </c>
      <c r="BZ38" s="360">
        <f t="shared" si="12"/>
        <v>0</v>
      </c>
      <c r="CA38" s="337"/>
    </row>
    <row r="39" spans="2:79" s="5" customFormat="1" ht="12.75">
      <c r="B39" s="335"/>
      <c r="C39" s="311">
        <v>1973</v>
      </c>
      <c r="D39" s="336"/>
      <c r="E39" s="336"/>
      <c r="F39" s="336"/>
      <c r="G39" s="310"/>
      <c r="I39" s="335"/>
      <c r="J39" s="311">
        <v>1973</v>
      </c>
      <c r="K39" s="309"/>
      <c r="L39" s="327"/>
      <c r="M39" s="327"/>
      <c r="N39" s="338"/>
      <c r="O39" s="14"/>
      <c r="P39" s="324"/>
      <c r="Q39" s="311">
        <v>1973</v>
      </c>
      <c r="R39" s="328"/>
      <c r="S39" s="328"/>
      <c r="T39" s="309" t="str">
        <f t="shared" si="5"/>
        <v xml:space="preserve"> </v>
      </c>
      <c r="U39" s="354">
        <f t="shared" si="8"/>
        <v>1255.0719565648658</v>
      </c>
      <c r="V39" s="309"/>
      <c r="W39" s="309"/>
      <c r="X39" s="310"/>
      <c r="Z39" s="335"/>
      <c r="AA39" s="311">
        <v>1973</v>
      </c>
      <c r="AB39" s="336"/>
      <c r="AC39" s="336"/>
      <c r="AD39" s="336"/>
      <c r="AE39" s="310"/>
      <c r="AG39" s="335"/>
      <c r="AH39" s="311">
        <v>1973</v>
      </c>
      <c r="AI39" s="309"/>
      <c r="AJ39" s="327"/>
      <c r="AK39" s="327"/>
      <c r="AL39" s="338"/>
      <c r="AM39" s="14"/>
      <c r="AN39" s="324"/>
      <c r="AO39" s="311">
        <v>1973</v>
      </c>
      <c r="AP39" s="328"/>
      <c r="AQ39" s="328"/>
      <c r="AR39" s="309" t="str">
        <f t="shared" si="6"/>
        <v xml:space="preserve"> </v>
      </c>
      <c r="AS39" s="354">
        <f t="shared" si="9"/>
        <v>175.38169798591355</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7"/>
        <v xml:space="preserve"> </v>
      </c>
      <c r="BQ39" s="354">
        <f t="shared" si="10"/>
        <v>1430.4536545507797</v>
      </c>
      <c r="BR39" s="309"/>
      <c r="BS39" s="309"/>
      <c r="BT39" s="310"/>
      <c r="BV39" s="324"/>
      <c r="BW39" s="311">
        <v>1973</v>
      </c>
      <c r="BX39" s="381">
        <f t="shared" si="11"/>
        <v>1430.4536545507797</v>
      </c>
      <c r="BY39" s="381">
        <f>IF(ISNUMBER(INDEX(TARGET_SHIPMENTS,MATCH($BV$2,HVAC_SYSTEMS,0),MATCH(BW39,TARGET_SHIPMENT_YEARS,0))),INDEX(TARGET_SHIPMENTS,MATCH($BV$2,HVAC_SYSTEMS,0),MATCH(BW39,TARGET_SHIPMENT_YEARS,0)),0)*'AHRI Shipments'!$J$10</f>
        <v>0</v>
      </c>
      <c r="BZ39" s="360">
        <f t="shared" si="12"/>
        <v>0</v>
      </c>
      <c r="CA39" s="337"/>
    </row>
    <row r="40" spans="2:79" s="5" customFormat="1" ht="12.75">
      <c r="B40" s="335"/>
      <c r="C40" s="311">
        <v>1974</v>
      </c>
      <c r="D40" s="336"/>
      <c r="E40" s="336"/>
      <c r="F40" s="336"/>
      <c r="G40" s="310"/>
      <c r="I40" s="335"/>
      <c r="J40" s="311">
        <v>1974</v>
      </c>
      <c r="K40" s="309"/>
      <c r="L40" s="327"/>
      <c r="M40" s="327"/>
      <c r="N40" s="338"/>
      <c r="O40" s="14"/>
      <c r="P40" s="324"/>
      <c r="Q40" s="311">
        <v>1974</v>
      </c>
      <c r="R40" s="328"/>
      <c r="S40" s="328"/>
      <c r="T40" s="309" t="str">
        <f t="shared" si="5"/>
        <v xml:space="preserve"> </v>
      </c>
      <c r="U40" s="354">
        <f t="shared" si="8"/>
        <v>1255.0719565648658</v>
      </c>
      <c r="V40" s="309"/>
      <c r="W40" s="309"/>
      <c r="X40" s="310"/>
      <c r="Z40" s="335"/>
      <c r="AA40" s="311">
        <v>1974</v>
      </c>
      <c r="AB40" s="336"/>
      <c r="AC40" s="336"/>
      <c r="AD40" s="336"/>
      <c r="AE40" s="310"/>
      <c r="AG40" s="335"/>
      <c r="AH40" s="311">
        <v>1974</v>
      </c>
      <c r="AI40" s="309"/>
      <c r="AJ40" s="327"/>
      <c r="AK40" s="327"/>
      <c r="AL40" s="338"/>
      <c r="AM40" s="14"/>
      <c r="AN40" s="324"/>
      <c r="AO40" s="311">
        <v>1974</v>
      </c>
      <c r="AP40" s="328"/>
      <c r="AQ40" s="328"/>
      <c r="AR40" s="309" t="str">
        <f t="shared" si="6"/>
        <v xml:space="preserve"> </v>
      </c>
      <c r="AS40" s="354">
        <f t="shared" si="9"/>
        <v>175.38169798591355</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7"/>
        <v xml:space="preserve"> </v>
      </c>
      <c r="BQ40" s="354">
        <f t="shared" si="10"/>
        <v>1430.4536545507797</v>
      </c>
      <c r="BR40" s="309"/>
      <c r="BS40" s="309"/>
      <c r="BT40" s="310"/>
      <c r="BV40" s="324"/>
      <c r="BW40" s="311">
        <v>1974</v>
      </c>
      <c r="BX40" s="381">
        <f t="shared" si="11"/>
        <v>1430.4536545507797</v>
      </c>
      <c r="BY40" s="381">
        <f>IF(ISNUMBER(INDEX(TARGET_SHIPMENTS,MATCH($BV$2,HVAC_SYSTEMS,0),MATCH(BW40,TARGET_SHIPMENT_YEARS,0))),INDEX(TARGET_SHIPMENTS,MATCH($BV$2,HVAC_SYSTEMS,0),MATCH(BW40,TARGET_SHIPMENT_YEARS,0)),0)*'AHRI Shipments'!$J$10</f>
        <v>0</v>
      </c>
      <c r="BZ40" s="360">
        <f t="shared" si="12"/>
        <v>0</v>
      </c>
      <c r="CA40" s="337"/>
    </row>
    <row r="41" spans="2:79" s="5" customFormat="1" ht="12.75">
      <c r="B41" s="335"/>
      <c r="C41" s="311">
        <v>1975</v>
      </c>
      <c r="D41" s="336"/>
      <c r="E41" s="336"/>
      <c r="F41" s="336"/>
      <c r="G41" s="310"/>
      <c r="I41" s="335"/>
      <c r="J41" s="311">
        <v>1975</v>
      </c>
      <c r="K41" s="309"/>
      <c r="L41" s="327"/>
      <c r="M41" s="327"/>
      <c r="N41" s="338"/>
      <c r="O41" s="14"/>
      <c r="P41" s="324"/>
      <c r="Q41" s="311">
        <v>1975</v>
      </c>
      <c r="R41" s="328"/>
      <c r="S41" s="328"/>
      <c r="T41" s="309" t="str">
        <f t="shared" si="5"/>
        <v xml:space="preserve"> </v>
      </c>
      <c r="U41" s="354">
        <f t="shared" si="8"/>
        <v>1255.0719565648658</v>
      </c>
      <c r="V41" s="309"/>
      <c r="W41" s="309"/>
      <c r="X41" s="310"/>
      <c r="Z41" s="335"/>
      <c r="AA41" s="311">
        <v>1975</v>
      </c>
      <c r="AB41" s="336"/>
      <c r="AC41" s="336"/>
      <c r="AD41" s="336"/>
      <c r="AE41" s="310"/>
      <c r="AG41" s="335"/>
      <c r="AH41" s="311">
        <v>1975</v>
      </c>
      <c r="AI41" s="309"/>
      <c r="AJ41" s="327"/>
      <c r="AK41" s="327"/>
      <c r="AL41" s="338"/>
      <c r="AM41" s="14"/>
      <c r="AN41" s="324"/>
      <c r="AO41" s="311">
        <v>1975</v>
      </c>
      <c r="AP41" s="328"/>
      <c r="AQ41" s="328"/>
      <c r="AR41" s="309" t="str">
        <f t="shared" si="6"/>
        <v xml:space="preserve"> </v>
      </c>
      <c r="AS41" s="354">
        <f t="shared" si="9"/>
        <v>175.38169798591355</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7"/>
        <v xml:space="preserve"> </v>
      </c>
      <c r="BQ41" s="354">
        <f t="shared" si="10"/>
        <v>1430.4536545507797</v>
      </c>
      <c r="BR41" s="309"/>
      <c r="BS41" s="309"/>
      <c r="BT41" s="310"/>
      <c r="BV41" s="324"/>
      <c r="BW41" s="311">
        <v>1975</v>
      </c>
      <c r="BX41" s="381">
        <f t="shared" si="11"/>
        <v>1430.4536545507797</v>
      </c>
      <c r="BY41" s="381">
        <f>IF(ISNUMBER(INDEX(TARGET_SHIPMENTS,MATCH($BV$2,HVAC_SYSTEMS,0),MATCH(BW41,TARGET_SHIPMENT_YEARS,0))),INDEX(TARGET_SHIPMENTS,MATCH($BV$2,HVAC_SYSTEMS,0),MATCH(BW41,TARGET_SHIPMENT_YEARS,0)),0)*'AHRI Shipments'!$J$10</f>
        <v>0</v>
      </c>
      <c r="BZ41" s="360">
        <f t="shared" si="12"/>
        <v>0</v>
      </c>
      <c r="CA41" s="337"/>
    </row>
    <row r="42" spans="2:79" s="5" customFormat="1" ht="12.75">
      <c r="B42" s="335"/>
      <c r="C42" s="311">
        <v>1976</v>
      </c>
      <c r="D42" s="336"/>
      <c r="E42" s="336"/>
      <c r="F42" s="336"/>
      <c r="G42" s="310"/>
      <c r="I42" s="335"/>
      <c r="J42" s="311">
        <v>1976</v>
      </c>
      <c r="K42" s="309"/>
      <c r="L42" s="327"/>
      <c r="M42" s="327"/>
      <c r="N42" s="338"/>
      <c r="O42" s="14"/>
      <c r="P42" s="324"/>
      <c r="Q42" s="311">
        <v>1976</v>
      </c>
      <c r="R42" s="328"/>
      <c r="S42" s="328"/>
      <c r="T42" s="309" t="str">
        <f t="shared" si="5"/>
        <v xml:space="preserve"> </v>
      </c>
      <c r="U42" s="354">
        <f t="shared" si="8"/>
        <v>1255.0719565648658</v>
      </c>
      <c r="V42" s="309"/>
      <c r="W42" s="309"/>
      <c r="X42" s="310"/>
      <c r="Z42" s="335"/>
      <c r="AA42" s="311">
        <v>1976</v>
      </c>
      <c r="AB42" s="336"/>
      <c r="AC42" s="336"/>
      <c r="AD42" s="336"/>
      <c r="AE42" s="310"/>
      <c r="AG42" s="335"/>
      <c r="AH42" s="311">
        <v>1976</v>
      </c>
      <c r="AI42" s="309"/>
      <c r="AJ42" s="327"/>
      <c r="AK42" s="327"/>
      <c r="AL42" s="338"/>
      <c r="AM42" s="14"/>
      <c r="AN42" s="324"/>
      <c r="AO42" s="311">
        <v>1976</v>
      </c>
      <c r="AP42" s="328"/>
      <c r="AQ42" s="328"/>
      <c r="AR42" s="309" t="str">
        <f t="shared" si="6"/>
        <v xml:space="preserve"> </v>
      </c>
      <c r="AS42" s="354">
        <f t="shared" si="9"/>
        <v>175.38169798591355</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7"/>
        <v xml:space="preserve"> </v>
      </c>
      <c r="BQ42" s="354">
        <f t="shared" si="10"/>
        <v>1430.4536545507797</v>
      </c>
      <c r="BR42" s="309"/>
      <c r="BS42" s="309"/>
      <c r="BT42" s="310"/>
      <c r="BV42" s="324"/>
      <c r="BW42" s="311">
        <v>1976</v>
      </c>
      <c r="BX42" s="381">
        <f t="shared" si="11"/>
        <v>1430.4536545507797</v>
      </c>
      <c r="BY42" s="381">
        <f>IF(ISNUMBER(INDEX(TARGET_SHIPMENTS,MATCH($BV$2,HVAC_SYSTEMS,0),MATCH(BW42,TARGET_SHIPMENT_YEARS,0))),INDEX(TARGET_SHIPMENTS,MATCH($BV$2,HVAC_SYSTEMS,0),MATCH(BW42,TARGET_SHIPMENT_YEARS,0)),0)*'AHRI Shipments'!$J$10</f>
        <v>0</v>
      </c>
      <c r="BZ42" s="360">
        <f t="shared" si="12"/>
        <v>0</v>
      </c>
      <c r="CA42" s="337"/>
    </row>
    <row r="43" spans="2:79" s="5" customFormat="1" ht="12.75">
      <c r="B43" s="335"/>
      <c r="C43" s="311">
        <v>1977</v>
      </c>
      <c r="D43" s="336"/>
      <c r="E43" s="336"/>
      <c r="F43" s="336"/>
      <c r="G43" s="310"/>
      <c r="I43" s="335"/>
      <c r="J43" s="311">
        <v>1977</v>
      </c>
      <c r="K43" s="309"/>
      <c r="L43" s="327"/>
      <c r="M43" s="327"/>
      <c r="N43" s="338"/>
      <c r="O43" s="14"/>
      <c r="P43" s="324"/>
      <c r="Q43" s="311">
        <v>1977</v>
      </c>
      <c r="R43" s="328"/>
      <c r="S43" s="328"/>
      <c r="T43" s="309" t="str">
        <f t="shared" si="5"/>
        <v xml:space="preserve"> </v>
      </c>
      <c r="U43" s="354">
        <f t="shared" si="8"/>
        <v>1255.0719565648658</v>
      </c>
      <c r="V43" s="309"/>
      <c r="W43" s="309"/>
      <c r="X43" s="310"/>
      <c r="Z43" s="335"/>
      <c r="AA43" s="311">
        <v>1977</v>
      </c>
      <c r="AB43" s="336"/>
      <c r="AC43" s="336"/>
      <c r="AD43" s="336"/>
      <c r="AE43" s="310"/>
      <c r="AG43" s="335"/>
      <c r="AH43" s="311">
        <v>1977</v>
      </c>
      <c r="AI43" s="309"/>
      <c r="AJ43" s="327"/>
      <c r="AK43" s="327"/>
      <c r="AL43" s="338"/>
      <c r="AM43" s="14"/>
      <c r="AN43" s="324"/>
      <c r="AO43" s="311">
        <v>1977</v>
      </c>
      <c r="AP43" s="328"/>
      <c r="AQ43" s="328"/>
      <c r="AR43" s="309" t="str">
        <f t="shared" si="6"/>
        <v xml:space="preserve"> </v>
      </c>
      <c r="AS43" s="354">
        <f t="shared" si="9"/>
        <v>175.38169798591355</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7"/>
        <v xml:space="preserve"> </v>
      </c>
      <c r="BQ43" s="354">
        <f t="shared" si="10"/>
        <v>1430.4536545507797</v>
      </c>
      <c r="BR43" s="309"/>
      <c r="BS43" s="309"/>
      <c r="BT43" s="310"/>
      <c r="BV43" s="324"/>
      <c r="BW43" s="311">
        <v>1977</v>
      </c>
      <c r="BX43" s="381">
        <f t="shared" si="11"/>
        <v>1430.4536545507797</v>
      </c>
      <c r="BY43" s="381">
        <f>IF(ISNUMBER(INDEX(TARGET_SHIPMENTS,MATCH($BV$2,HVAC_SYSTEMS,0),MATCH(BW43,TARGET_SHIPMENT_YEARS,0))),INDEX(TARGET_SHIPMENTS,MATCH($BV$2,HVAC_SYSTEMS,0),MATCH(BW43,TARGET_SHIPMENT_YEARS,0)),0)*'AHRI Shipments'!$J$10</f>
        <v>0</v>
      </c>
      <c r="BZ43" s="360">
        <f t="shared" si="12"/>
        <v>0</v>
      </c>
      <c r="CA43" s="337"/>
    </row>
    <row r="44" spans="2:79" s="5" customFormat="1" ht="12.75">
      <c r="B44" s="335"/>
      <c r="C44" s="311">
        <v>1978</v>
      </c>
      <c r="D44" s="336"/>
      <c r="E44" s="336"/>
      <c r="F44" s="336"/>
      <c r="G44" s="310"/>
      <c r="I44" s="335"/>
      <c r="J44" s="311">
        <v>1978</v>
      </c>
      <c r="K44" s="309"/>
      <c r="L44" s="327"/>
      <c r="M44" s="327"/>
      <c r="N44" s="338"/>
      <c r="O44" s="14"/>
      <c r="P44" s="324"/>
      <c r="Q44" s="311">
        <v>1978</v>
      </c>
      <c r="R44" s="328"/>
      <c r="S44" s="328"/>
      <c r="T44" s="309" t="str">
        <f t="shared" si="5"/>
        <v xml:space="preserve"> </v>
      </c>
      <c r="U44" s="354">
        <f t="shared" si="8"/>
        <v>1255.0719565648658</v>
      </c>
      <c r="V44" s="309"/>
      <c r="W44" s="309"/>
      <c r="X44" s="310"/>
      <c r="Z44" s="335"/>
      <c r="AA44" s="311">
        <v>1978</v>
      </c>
      <c r="AB44" s="336"/>
      <c r="AC44" s="336"/>
      <c r="AD44" s="336"/>
      <c r="AE44" s="310"/>
      <c r="AG44" s="335"/>
      <c r="AH44" s="311">
        <v>1978</v>
      </c>
      <c r="AI44" s="309"/>
      <c r="AJ44" s="327"/>
      <c r="AK44" s="327"/>
      <c r="AL44" s="338"/>
      <c r="AM44" s="14"/>
      <c r="AN44" s="324"/>
      <c r="AO44" s="311">
        <v>1978</v>
      </c>
      <c r="AP44" s="328"/>
      <c r="AQ44" s="328"/>
      <c r="AR44" s="309" t="str">
        <f t="shared" si="6"/>
        <v xml:space="preserve"> </v>
      </c>
      <c r="AS44" s="354">
        <f t="shared" si="9"/>
        <v>175.38169798591355</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7"/>
        <v xml:space="preserve"> </v>
      </c>
      <c r="BQ44" s="354">
        <f t="shared" si="10"/>
        <v>1430.4536545507797</v>
      </c>
      <c r="BR44" s="309"/>
      <c r="BS44" s="309"/>
      <c r="BT44" s="310"/>
      <c r="BV44" s="324"/>
      <c r="BW44" s="311">
        <v>1978</v>
      </c>
      <c r="BX44" s="381">
        <f t="shared" si="11"/>
        <v>1430.4536545507797</v>
      </c>
      <c r="BY44" s="381">
        <f>IF(ISNUMBER(INDEX(TARGET_SHIPMENTS,MATCH($BV$2,HVAC_SYSTEMS,0),MATCH(BW44,TARGET_SHIPMENT_YEARS,0))),INDEX(TARGET_SHIPMENTS,MATCH($BV$2,HVAC_SYSTEMS,0),MATCH(BW44,TARGET_SHIPMENT_YEARS,0)),0)*'AHRI Shipments'!$J$10</f>
        <v>0</v>
      </c>
      <c r="BZ44" s="360">
        <f t="shared" si="12"/>
        <v>0</v>
      </c>
      <c r="CA44" s="337"/>
    </row>
    <row r="45" spans="2:79" s="5" customFormat="1" ht="12.75">
      <c r="B45" s="335"/>
      <c r="C45" s="311">
        <v>1979</v>
      </c>
      <c r="D45" s="336"/>
      <c r="E45" s="336"/>
      <c r="F45" s="336"/>
      <c r="G45" s="310"/>
      <c r="I45" s="335"/>
      <c r="J45" s="311">
        <v>1979</v>
      </c>
      <c r="K45" s="309"/>
      <c r="L45" s="327"/>
      <c r="M45" s="327"/>
      <c r="N45" s="338"/>
      <c r="O45" s="14"/>
      <c r="P45" s="324"/>
      <c r="Q45" s="311">
        <v>1979</v>
      </c>
      <c r="R45" s="328"/>
      <c r="S45" s="328"/>
      <c r="T45" s="309" t="str">
        <f t="shared" si="5"/>
        <v xml:space="preserve"> </v>
      </c>
      <c r="U45" s="354">
        <f t="shared" si="8"/>
        <v>1255.0719565648658</v>
      </c>
      <c r="V45" s="309"/>
      <c r="W45" s="309"/>
      <c r="X45" s="310"/>
      <c r="Z45" s="335"/>
      <c r="AA45" s="311">
        <v>1979</v>
      </c>
      <c r="AB45" s="336"/>
      <c r="AC45" s="336"/>
      <c r="AD45" s="336"/>
      <c r="AE45" s="310"/>
      <c r="AG45" s="335"/>
      <c r="AH45" s="311">
        <v>1979</v>
      </c>
      <c r="AI45" s="309"/>
      <c r="AJ45" s="327"/>
      <c r="AK45" s="327"/>
      <c r="AL45" s="338"/>
      <c r="AM45" s="14"/>
      <c r="AN45" s="324"/>
      <c r="AO45" s="311">
        <v>1979</v>
      </c>
      <c r="AP45" s="328"/>
      <c r="AQ45" s="328"/>
      <c r="AR45" s="309" t="str">
        <f t="shared" si="6"/>
        <v xml:space="preserve"> </v>
      </c>
      <c r="AS45" s="354">
        <f t="shared" si="9"/>
        <v>175.38169798591355</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7"/>
        <v xml:space="preserve"> </v>
      </c>
      <c r="BQ45" s="354">
        <f t="shared" si="10"/>
        <v>1430.4536545507797</v>
      </c>
      <c r="BR45" s="309"/>
      <c r="BS45" s="309"/>
      <c r="BT45" s="310"/>
      <c r="BV45" s="324"/>
      <c r="BW45" s="311">
        <v>1979</v>
      </c>
      <c r="BX45" s="381">
        <f t="shared" si="11"/>
        <v>1430.4536545507797</v>
      </c>
      <c r="BY45" s="381">
        <f>IF(ISNUMBER(INDEX(TARGET_SHIPMENTS,MATCH($BV$2,HVAC_SYSTEMS,0),MATCH(BW45,TARGET_SHIPMENT_YEARS,0))),INDEX(TARGET_SHIPMENTS,MATCH($BV$2,HVAC_SYSTEMS,0),MATCH(BW45,TARGET_SHIPMENT_YEARS,0)),0)*'AHRI Shipments'!$J$10</f>
        <v>0</v>
      </c>
      <c r="BZ45" s="360">
        <f t="shared" si="12"/>
        <v>0</v>
      </c>
      <c r="CA45" s="337"/>
    </row>
    <row r="46" spans="2:79" ht="13.5" thickBot="1">
      <c r="B46" s="343"/>
      <c r="C46" s="311">
        <v>1980</v>
      </c>
      <c r="D46" s="345">
        <f aca="true" t="shared" si="13" ref="D46:D77">INDEX(HOUSING_STOCK,MATCH(C46,HOUSING_STOCK_YEARS,0)+2,MATCH(B$6,HOUSING_STOCK_BLDG,0)+MATCH(D$10,HOUSING_STOCK_CATEGORY,0)-1)</f>
        <v>0</v>
      </c>
      <c r="E46" s="345">
        <f aca="true" t="shared" si="14" ref="E46:E77">INDEX(HOUSING_STOCK,MATCH(C46,HOUSING_STOCK_YEARS,0)+2,MATCH(B$6,HOUSING_STOCK_BLDG,0)+MATCH(E$10,HOUSING_STOCK_CATEGORY,0)-1)</f>
        <v>0</v>
      </c>
      <c r="F46" s="345">
        <f aca="true" t="shared" si="15" ref="F46:F77">INDEX(HOUSING_STOCK,MATCH(C46,HOUSING_STOCK_YEARS,0)+2,MATCH(B$6,HOUSING_STOCK_BLDG,0)+MATCH(F$10,HOUSING_STOCK_CATEGORY,0)-1)</f>
        <v>2612400</v>
      </c>
      <c r="G46" s="344"/>
      <c r="H46" s="12"/>
      <c r="I46" s="339"/>
      <c r="J46" s="311">
        <v>1980</v>
      </c>
      <c r="K46" s="346">
        <f>FORECAST(J46,K$58:K$77,J$58:J$77)</f>
        <v>0.011049860282112967</v>
      </c>
      <c r="L46" s="347">
        <f>F46*K46</f>
        <v>28866.655000991916</v>
      </c>
      <c r="M46" s="327"/>
      <c r="N46" s="340"/>
      <c r="O46" s="15"/>
      <c r="P46" s="325"/>
      <c r="Q46" s="311">
        <v>1980</v>
      </c>
      <c r="R46" s="329"/>
      <c r="S46" s="329"/>
      <c r="T46" s="309" t="str">
        <f t="shared" si="5"/>
        <v xml:space="preserve"> </v>
      </c>
      <c r="U46" s="355">
        <f t="shared" si="8"/>
        <v>1255.0719565648658</v>
      </c>
      <c r="V46" s="309"/>
      <c r="W46" s="309"/>
      <c r="X46" s="307"/>
      <c r="Z46" s="343"/>
      <c r="AA46" s="311">
        <v>1980</v>
      </c>
      <c r="AB46" s="345">
        <f aca="true" t="shared" si="16" ref="AB46:AB77">INDEX(HOUSING_STOCK,MATCH(AA46,HOUSING_STOCK_YEARS,0)+2,MATCH(Z$6,HOUSING_STOCK_BLDG,0)+MATCH(AB$10,HOUSING_STOCK_CATEGORY,0)-1)</f>
        <v>0</v>
      </c>
      <c r="AC46" s="345">
        <f aca="true" t="shared" si="17" ref="AC46:AC77">INDEX(HOUSING_STOCK,MATCH(AA46,HOUSING_STOCK_YEARS,0)+2,MATCH(Z$6,HOUSING_STOCK_BLDG,0)+MATCH(AC$10,HOUSING_STOCK_CATEGORY,0)-1)</f>
        <v>0</v>
      </c>
      <c r="AD46" s="345">
        <f aca="true" t="shared" si="18" ref="AD46:AD77">INDEX(HOUSING_STOCK,MATCH(AA46,HOUSING_STOCK_YEARS,0)+2,MATCH(Z$6,HOUSING_STOCK_BLDG,0)+MATCH(AD$10,HOUSING_STOCK_CATEGORY,0)-1)</f>
        <v>275356</v>
      </c>
      <c r="AE46" s="344"/>
      <c r="AF46" s="12"/>
      <c r="AG46" s="339"/>
      <c r="AH46" s="311">
        <v>1980</v>
      </c>
      <c r="AI46" s="346">
        <f>FORECAST(AH46,AI$58:AI$77,AH$58:AH$77)</f>
        <v>0.014649323253083324</v>
      </c>
      <c r="AJ46" s="347">
        <f>AD46*AI46</f>
        <v>4033.7790536760117</v>
      </c>
      <c r="AK46" s="327"/>
      <c r="AL46" s="340"/>
      <c r="AM46" s="15"/>
      <c r="AN46" s="325"/>
      <c r="AO46" s="311">
        <v>1980</v>
      </c>
      <c r="AP46" s="329"/>
      <c r="AQ46" s="329"/>
      <c r="AR46" s="309" t="str">
        <f t="shared" si="6"/>
        <v xml:space="preserve"> </v>
      </c>
      <c r="AS46" s="355">
        <f t="shared" si="9"/>
        <v>175.38169798591355</v>
      </c>
      <c r="AT46" s="309"/>
      <c r="AU46" s="309"/>
      <c r="AV46" s="307"/>
      <c r="AX46" s="343"/>
      <c r="AY46" s="311">
        <v>1980</v>
      </c>
      <c r="AZ46" s="345">
        <f aca="true" t="shared" si="19" ref="AZ46:AZ77">D46+AB46</f>
        <v>0</v>
      </c>
      <c r="BA46" s="345">
        <f aca="true" t="shared" si="20" ref="BA46:BA77">E46+AC46</f>
        <v>0</v>
      </c>
      <c r="BB46" s="345">
        <f aca="true" t="shared" si="21" ref="BB46:BB77">F46+AD46</f>
        <v>2887756</v>
      </c>
      <c r="BC46" s="344"/>
      <c r="BD46" s="12"/>
      <c r="BE46" s="339"/>
      <c r="BF46" s="311">
        <v>1980</v>
      </c>
      <c r="BG46" s="346">
        <f>BH46/BB46</f>
        <v>0.01139307962815</v>
      </c>
      <c r="BH46" s="345">
        <f aca="true" t="shared" si="22" ref="BH46:BH77">L46+AJ46</f>
        <v>32900.43405466793</v>
      </c>
      <c r="BI46" s="327"/>
      <c r="BJ46" s="340"/>
      <c r="BK46" s="15"/>
      <c r="BL46" s="325"/>
      <c r="BM46" s="311">
        <v>1980</v>
      </c>
      <c r="BN46" s="329"/>
      <c r="BO46" s="329"/>
      <c r="BP46" s="309" t="str">
        <f t="shared" si="7"/>
        <v xml:space="preserve"> </v>
      </c>
      <c r="BQ46" s="355">
        <f t="shared" si="10"/>
        <v>1430.4536545507797</v>
      </c>
      <c r="BR46" s="309"/>
      <c r="BS46" s="309"/>
      <c r="BT46" s="307"/>
      <c r="BV46" s="375"/>
      <c r="BW46" s="311">
        <v>1980</v>
      </c>
      <c r="BX46" s="381">
        <f t="shared" si="11"/>
        <v>1430.4536545507797</v>
      </c>
      <c r="BY46" s="381">
        <f>IF(ISNUMBER(INDEX(TARGET_SHIPMENTS,MATCH($BV$2,HVAC_SYSTEMS,0),MATCH(BW46,TARGET_SHIPMENT_YEARS,0))),INDEX(TARGET_SHIPMENTS,MATCH($BV$2,HVAC_SYSTEMS,0),MATCH(BW46,TARGET_SHIPMENT_YEARS,0)),0)*'AHRI Shipments'!$J$10</f>
        <v>0</v>
      </c>
      <c r="BZ46" s="360">
        <f t="shared" si="12"/>
        <v>0</v>
      </c>
      <c r="CA46" s="373"/>
    </row>
    <row r="47" spans="2:79" ht="12.75">
      <c r="B47" s="343"/>
      <c r="C47" s="311">
        <v>1981</v>
      </c>
      <c r="D47" s="345">
        <f t="shared" si="13"/>
        <v>2612400</v>
      </c>
      <c r="E47" s="345">
        <f t="shared" si="14"/>
        <v>32998.3</v>
      </c>
      <c r="F47" s="345">
        <f t="shared" si="15"/>
        <v>2639466.110927178</v>
      </c>
      <c r="G47" s="344"/>
      <c r="H47" s="12"/>
      <c r="I47" s="339"/>
      <c r="J47" s="311">
        <v>1981</v>
      </c>
      <c r="K47" s="346">
        <f aca="true" t="shared" si="23" ref="K47:K57">FORECAST(J47,K$58:K$77,J$58:J$77)</f>
        <v>0.015005284143980724</v>
      </c>
      <c r="L47" s="348">
        <f>F47*K47</f>
        <v>39605.93898287005</v>
      </c>
      <c r="M47" s="351">
        <f>F47/F46-1</f>
        <v>0.010360630426878847</v>
      </c>
      <c r="N47" s="340"/>
      <c r="O47" s="15"/>
      <c r="P47" s="325"/>
      <c r="Q47" s="311">
        <v>1981</v>
      </c>
      <c r="R47" s="352">
        <f ca="1">E47*FORECAST(Q47,OFFSET('Saturations and Allocations'!$C$13,1,MATCH(B$6,SATURATIONS_HOUSING_TYPE,0)-1+MATCH(B$2,HVAC_SYSTEMS,0),2,1),'Saturations and Allocations'!$C$14:$C$15)</f>
        <v>3299.8300000000004</v>
      </c>
      <c r="S47" s="347">
        <f aca="true" ca="1" t="shared" si="24" ref="S47:S81">OFFSET(U47,-U$6,0)</f>
        <v>1255.0719565648658</v>
      </c>
      <c r="T47" s="347">
        <f ca="1">L47-L46-R47</f>
        <v>7439.453981878136</v>
      </c>
      <c r="U47" s="348">
        <f ca="1">SUM(R47:T47)</f>
        <v>11994.355938443001</v>
      </c>
      <c r="V47" s="347">
        <f ca="1">IF(SUM(R47,T47)&gt;0,SUM(R47,T47),0)</f>
        <v>10739.283981878136</v>
      </c>
      <c r="W47" s="347">
        <f ca="1">IF(SUM(R47,T47)&gt;0,S47,SUM(R47:T47))</f>
        <v>1255.0719565648658</v>
      </c>
      <c r="X47" s="307"/>
      <c r="Z47" s="343"/>
      <c r="AA47" s="311">
        <v>1981</v>
      </c>
      <c r="AB47" s="345">
        <f t="shared" si="16"/>
        <v>275356</v>
      </c>
      <c r="AC47" s="345">
        <f t="shared" si="17"/>
        <v>10843</v>
      </c>
      <c r="AD47" s="345">
        <f t="shared" si="18"/>
        <v>283256.27415152383</v>
      </c>
      <c r="AE47" s="344"/>
      <c r="AF47" s="12"/>
      <c r="AG47" s="339"/>
      <c r="AH47" s="311">
        <v>1981</v>
      </c>
      <c r="AI47" s="346">
        <f aca="true" t="shared" si="25" ref="AI47:AI57">FORECAST(AH47,AI$58:AI$77,AH$58:AH$77)</f>
        <v>0.019893216051372065</v>
      </c>
      <c r="AJ47" s="348">
        <f>AD47*AI47</f>
        <v>5634.87825960294</v>
      </c>
      <c r="AK47" s="351">
        <f>AD47/AD46-1</f>
        <v>0.02869112767298998</v>
      </c>
      <c r="AL47" s="340"/>
      <c r="AM47" s="15"/>
      <c r="AN47" s="325"/>
      <c r="AO47" s="311">
        <v>1981</v>
      </c>
      <c r="AP47" s="352">
        <f ca="1">AC47*FORECAST(AO47,OFFSET('Saturations and Allocations'!$C$13,1,MATCH(Z$6,SATURATIONS_HOUSING_TYPE,0)-1+MATCH(Z$2,HVAC_SYSTEMS,0),2,1),'Saturations and Allocations'!$C$14:$C$15)</f>
        <v>1084.3</v>
      </c>
      <c r="AQ47" s="347">
        <f aca="true" ca="1" t="shared" si="26" ref="AQ47:AQ81">OFFSET(AS47,-AS$6,0)</f>
        <v>175.38169798591355</v>
      </c>
      <c r="AR47" s="347">
        <f ca="1">AJ47-AJ46-AP47</f>
        <v>516.7992059269279</v>
      </c>
      <c r="AS47" s="348">
        <f ca="1">SUM(AP47:AR47)</f>
        <v>1776.4809039128415</v>
      </c>
      <c r="AT47" s="347">
        <f ca="1">IF(SUM(AP47,AR47)&gt;0,SUM(AP47,AR47),0)</f>
        <v>1601.0992059269279</v>
      </c>
      <c r="AU47" s="347">
        <f ca="1">IF(SUM(AP47,AR47)&gt;0,AQ47,SUM(AP47:AR47))</f>
        <v>175.38169798591355</v>
      </c>
      <c r="AV47" s="307"/>
      <c r="AX47" s="343"/>
      <c r="AY47" s="311">
        <v>1981</v>
      </c>
      <c r="AZ47" s="345">
        <f t="shared" si="19"/>
        <v>2887756</v>
      </c>
      <c r="BA47" s="345">
        <f t="shared" si="20"/>
        <v>43841.3</v>
      </c>
      <c r="BB47" s="345">
        <f t="shared" si="21"/>
        <v>2922722.385078702</v>
      </c>
      <c r="BC47" s="344"/>
      <c r="BD47" s="12"/>
      <c r="BE47" s="339"/>
      <c r="BF47" s="311">
        <v>1981</v>
      </c>
      <c r="BG47" s="346">
        <f aca="true" t="shared" si="27" ref="BG47:BG81">BH47/BB47</f>
        <v>0.015478999125418051</v>
      </c>
      <c r="BH47" s="345">
        <f t="shared" si="22"/>
        <v>45240.81724247299</v>
      </c>
      <c r="BI47" s="351">
        <f>BB47/BB46-1</f>
        <v>0.012108497074788227</v>
      </c>
      <c r="BJ47" s="340"/>
      <c r="BK47" s="15"/>
      <c r="BL47" s="325"/>
      <c r="BM47" s="311">
        <v>1981</v>
      </c>
      <c r="BN47" s="345">
        <f aca="true" t="shared" si="28" ref="BN47:BN78">R47+AP47</f>
        <v>4384.13</v>
      </c>
      <c r="BO47" s="345">
        <f aca="true" t="shared" si="29" ref="BO47:BO78">S47+AQ47</f>
        <v>1430.4536545507794</v>
      </c>
      <c r="BP47" s="345">
        <f aca="true" t="shared" si="30" ref="BP47:BP78">T47+AR47</f>
        <v>7956.253187805064</v>
      </c>
      <c r="BQ47" s="345">
        <f aca="true" t="shared" si="31" ref="BQ47:BQ52">U47+AS47</f>
        <v>13770.836842355842</v>
      </c>
      <c r="BR47" s="345">
        <f aca="true" t="shared" si="32" ref="BR47:BR78">V47+AT47</f>
        <v>12340.383187805064</v>
      </c>
      <c r="BS47" s="345">
        <f aca="true" t="shared" si="33" ref="BS47:BS78">W47+AU47</f>
        <v>1430.4536545507794</v>
      </c>
      <c r="BT47" s="307"/>
      <c r="BV47" s="375"/>
      <c r="BW47" s="311">
        <v>1981</v>
      </c>
      <c r="BX47" s="381">
        <f ca="1" t="shared" si="11"/>
        <v>13770.836842355842</v>
      </c>
      <c r="BY47" s="381">
        <f>IF(ISNUMBER(INDEX(TARGET_SHIPMENTS,MATCH($BV$2,HVAC_SYSTEMS,0),MATCH(BW47,TARGET_SHIPMENT_YEARS,0))),INDEX(TARGET_SHIPMENTS,MATCH($BV$2,HVAC_SYSTEMS,0),MATCH(BW47,TARGET_SHIPMENT_YEARS,0)),0)*'AHRI Shipments'!$J$10</f>
        <v>0</v>
      </c>
      <c r="BZ47" s="360">
        <f ca="1" t="shared" si="12"/>
        <v>0</v>
      </c>
      <c r="CA47" s="373"/>
    </row>
    <row r="48" spans="2:79" ht="12.75">
      <c r="B48" s="343"/>
      <c r="C48" s="311">
        <v>1982</v>
      </c>
      <c r="D48" s="345">
        <f t="shared" si="13"/>
        <v>2639466.110927178</v>
      </c>
      <c r="E48" s="345">
        <f t="shared" si="14"/>
        <v>22690.6</v>
      </c>
      <c r="F48" s="345">
        <f t="shared" si="15"/>
        <v>2656237.9925583815</v>
      </c>
      <c r="G48" s="344"/>
      <c r="H48" s="12"/>
      <c r="I48" s="339"/>
      <c r="J48" s="311">
        <v>1982</v>
      </c>
      <c r="K48" s="346">
        <f t="shared" si="23"/>
        <v>0.018960708005847593</v>
      </c>
      <c r="L48" s="347">
        <f aca="true" t="shared" si="34" ref="L48:L81">F48*K48</f>
        <v>50364.152970938245</v>
      </c>
      <c r="M48" s="351">
        <f aca="true" t="shared" si="35" ref="M48:M81">F48/F47-1</f>
        <v>0.006354270494994818</v>
      </c>
      <c r="N48" s="340"/>
      <c r="O48" s="15"/>
      <c r="P48" s="325"/>
      <c r="Q48" s="311">
        <v>1982</v>
      </c>
      <c r="R48" s="352">
        <f ca="1">E48*FORECAST(Q48,OFFSET('Saturations and Allocations'!$C$13,1,MATCH(B$6,SATURATIONS_HOUSING_TYPE,0)-1+MATCH(B$2,HVAC_SYSTEMS,0),2,1),'Saturations and Allocations'!$C$14:$C$15)</f>
        <v>2269.06</v>
      </c>
      <c r="S48" s="347">
        <f ca="1" t="shared" si="24"/>
        <v>1255.0719565648658</v>
      </c>
      <c r="T48" s="347">
        <f aca="true" t="shared" si="36" ref="T48:T81">L48-L47-R48</f>
        <v>8489.153988068194</v>
      </c>
      <c r="U48" s="347">
        <f aca="true" t="shared" si="37" ref="U48:U81">SUM(R48:T48)</f>
        <v>12013.285944633059</v>
      </c>
      <c r="V48" s="347">
        <f aca="true" t="shared" si="38" ref="V48:V81">IF(SUM(R48,T48)&gt;0,SUM(R48,T48),0)</f>
        <v>10758.213988068193</v>
      </c>
      <c r="W48" s="347">
        <f aca="true" t="shared" si="39" ref="W48:W81">IF(SUM(R48,T48)&gt;0,S48,SUM(R48:T48))</f>
        <v>1255.0719565648658</v>
      </c>
      <c r="X48" s="307"/>
      <c r="Z48" s="343"/>
      <c r="AA48" s="311">
        <v>1982</v>
      </c>
      <c r="AB48" s="345">
        <f t="shared" si="16"/>
        <v>283256.27415152383</v>
      </c>
      <c r="AC48" s="345">
        <f t="shared" si="17"/>
        <v>8758</v>
      </c>
      <c r="AD48" s="345">
        <f t="shared" si="18"/>
        <v>289102.99717439705</v>
      </c>
      <c r="AE48" s="344"/>
      <c r="AF48" s="12"/>
      <c r="AG48" s="339"/>
      <c r="AH48" s="311">
        <v>1982</v>
      </c>
      <c r="AI48" s="346">
        <f t="shared" si="25"/>
        <v>0.02513710884965903</v>
      </c>
      <c r="AJ48" s="347">
        <f aca="true" t="shared" si="40" ref="AJ48:AJ81">AD48*AI48</f>
        <v>7267.213508735485</v>
      </c>
      <c r="AK48" s="351">
        <f aca="true" t="shared" si="41" ref="AK48:AK81">AD48/AD47-1</f>
        <v>0.020641106857691716</v>
      </c>
      <c r="AL48" s="340"/>
      <c r="AM48" s="15"/>
      <c r="AN48" s="325"/>
      <c r="AO48" s="311">
        <v>1982</v>
      </c>
      <c r="AP48" s="352">
        <f ca="1">AC48*FORECAST(AO48,OFFSET('Saturations and Allocations'!$C$13,1,MATCH(Z$6,SATURATIONS_HOUSING_TYPE,0)-1+MATCH(Z$2,HVAC_SYSTEMS,0),2,1),'Saturations and Allocations'!$C$14:$C$15)</f>
        <v>875.8000000000001</v>
      </c>
      <c r="AQ48" s="347">
        <f ca="1" t="shared" si="26"/>
        <v>175.38169798591355</v>
      </c>
      <c r="AR48" s="347">
        <f aca="true" t="shared" si="42" ref="AR48:AR81">AJ48-AJ47-AP48</f>
        <v>756.5352491325458</v>
      </c>
      <c r="AS48" s="347">
        <f aca="true" t="shared" si="43" ref="AS48:AS75">SUM(AP48:AR48)</f>
        <v>1807.7169471184593</v>
      </c>
      <c r="AT48" s="347">
        <f aca="true" t="shared" si="44" ref="AT48:AT81">IF(SUM(AP48,AR48)&gt;0,SUM(AP48,AR48),0)</f>
        <v>1632.3352491325459</v>
      </c>
      <c r="AU48" s="347">
        <f aca="true" t="shared" si="45" ref="AU48:AU81">IF(SUM(AP48,AR48)&gt;0,AQ48,SUM(AP48:AR48))</f>
        <v>175.38169798591355</v>
      </c>
      <c r="AV48" s="307"/>
      <c r="AX48" s="343"/>
      <c r="AY48" s="311">
        <v>1982</v>
      </c>
      <c r="AZ48" s="345">
        <f t="shared" si="19"/>
        <v>2922722.385078702</v>
      </c>
      <c r="BA48" s="345">
        <f t="shared" si="20"/>
        <v>31448.6</v>
      </c>
      <c r="BB48" s="345">
        <f t="shared" si="21"/>
        <v>2945340.9897327786</v>
      </c>
      <c r="BC48" s="344"/>
      <c r="BD48" s="12"/>
      <c r="BE48" s="339"/>
      <c r="BF48" s="311">
        <v>1982</v>
      </c>
      <c r="BG48" s="346">
        <f t="shared" si="27"/>
        <v>0.019566959031423536</v>
      </c>
      <c r="BH48" s="345">
        <f t="shared" si="22"/>
        <v>57631.36647967373</v>
      </c>
      <c r="BI48" s="351">
        <f aca="true" t="shared" si="46" ref="BI48:BI81">BB48/BB47-1</f>
        <v>0.0077388823411865815</v>
      </c>
      <c r="BJ48" s="340"/>
      <c r="BK48" s="15"/>
      <c r="BL48" s="325"/>
      <c r="BM48" s="311">
        <v>1982</v>
      </c>
      <c r="BN48" s="345">
        <f ca="1" t="shared" si="28"/>
        <v>3144.86</v>
      </c>
      <c r="BO48" s="345">
        <f ca="1" t="shared" si="29"/>
        <v>1430.4536545507794</v>
      </c>
      <c r="BP48" s="345">
        <f ca="1" t="shared" si="30"/>
        <v>9245.68923720074</v>
      </c>
      <c r="BQ48" s="345">
        <f ca="1" t="shared" si="31"/>
        <v>13821.002891751517</v>
      </c>
      <c r="BR48" s="345">
        <f ca="1" t="shared" si="32"/>
        <v>12390.54923720074</v>
      </c>
      <c r="BS48" s="345">
        <f ca="1" t="shared" si="33"/>
        <v>1430.4536545507794</v>
      </c>
      <c r="BT48" s="307"/>
      <c r="BV48" s="375"/>
      <c r="BW48" s="311">
        <v>1982</v>
      </c>
      <c r="BX48" s="381">
        <f ca="1" t="shared" si="11"/>
        <v>13821.002891751517</v>
      </c>
      <c r="BY48" s="381">
        <f>IF(ISNUMBER(INDEX(TARGET_SHIPMENTS,MATCH($BV$2,HVAC_SYSTEMS,0),MATCH(BW48,TARGET_SHIPMENT_YEARS,0))),INDEX(TARGET_SHIPMENTS,MATCH($BV$2,HVAC_SYSTEMS,0),MATCH(BW48,TARGET_SHIPMENT_YEARS,0)),0)*'AHRI Shipments'!$J$10</f>
        <v>0</v>
      </c>
      <c r="BZ48" s="360">
        <f ca="1" t="shared" si="12"/>
        <v>0</v>
      </c>
      <c r="CA48" s="373"/>
    </row>
    <row r="49" spans="2:79" ht="12.75">
      <c r="B49" s="343"/>
      <c r="C49" s="311">
        <v>1983</v>
      </c>
      <c r="D49" s="345">
        <f t="shared" si="13"/>
        <v>2656237.9925583815</v>
      </c>
      <c r="E49" s="345">
        <f t="shared" si="14"/>
        <v>35193.1</v>
      </c>
      <c r="F49" s="345">
        <f t="shared" si="15"/>
        <v>2685525.8143045874</v>
      </c>
      <c r="G49" s="344"/>
      <c r="H49" s="12"/>
      <c r="I49" s="339"/>
      <c r="J49" s="311">
        <v>1983</v>
      </c>
      <c r="K49" s="346">
        <f t="shared" si="23"/>
        <v>0.02291613186771535</v>
      </c>
      <c r="L49" s="347">
        <f t="shared" si="34"/>
        <v>61541.86369475757</v>
      </c>
      <c r="M49" s="351">
        <f t="shared" si="35"/>
        <v>0.011026053323631935</v>
      </c>
      <c r="N49" s="340"/>
      <c r="O49" s="15"/>
      <c r="P49" s="325"/>
      <c r="Q49" s="311">
        <v>1983</v>
      </c>
      <c r="R49" s="352">
        <f ca="1">E49*FORECAST(Q49,OFFSET('Saturations and Allocations'!$C$13,1,MATCH(B$6,SATURATIONS_HOUSING_TYPE,0)-1+MATCH(B$2,HVAC_SYSTEMS,0),2,1),'Saturations and Allocations'!$C$14:$C$15)</f>
        <v>3519.31</v>
      </c>
      <c r="S49" s="347">
        <f ca="1" t="shared" si="24"/>
        <v>1255.0719565648658</v>
      </c>
      <c r="T49" s="347">
        <f ca="1" t="shared" si="36"/>
        <v>7658.400723819328</v>
      </c>
      <c r="U49" s="347">
        <f ca="1" t="shared" si="37"/>
        <v>12432.782680384193</v>
      </c>
      <c r="V49" s="347">
        <f ca="1" t="shared" si="38"/>
        <v>11177.710723819328</v>
      </c>
      <c r="W49" s="347">
        <f ca="1" t="shared" si="39"/>
        <v>1255.0719565648658</v>
      </c>
      <c r="X49" s="307"/>
      <c r="Z49" s="343"/>
      <c r="AA49" s="311">
        <v>1983</v>
      </c>
      <c r="AB49" s="345">
        <f t="shared" si="16"/>
        <v>289102.99717439705</v>
      </c>
      <c r="AC49" s="345">
        <f t="shared" si="17"/>
        <v>12114</v>
      </c>
      <c r="AD49" s="345">
        <f t="shared" si="18"/>
        <v>298336.8329749569</v>
      </c>
      <c r="AE49" s="344"/>
      <c r="AF49" s="12"/>
      <c r="AG49" s="339"/>
      <c r="AH49" s="311">
        <v>1983</v>
      </c>
      <c r="AI49" s="346">
        <f t="shared" si="25"/>
        <v>0.030381001647945993</v>
      </c>
      <c r="AJ49" s="347">
        <f t="shared" si="40"/>
        <v>9063.771814255155</v>
      </c>
      <c r="AK49" s="351">
        <f t="shared" si="41"/>
        <v>0.031939605921794234</v>
      </c>
      <c r="AL49" s="340"/>
      <c r="AM49" s="15"/>
      <c r="AN49" s="325"/>
      <c r="AO49" s="311">
        <v>1983</v>
      </c>
      <c r="AP49" s="352">
        <f ca="1">AC49*FORECAST(AO49,OFFSET('Saturations and Allocations'!$C$13,1,MATCH(Z$6,SATURATIONS_HOUSING_TYPE,0)-1+MATCH(Z$2,HVAC_SYSTEMS,0),2,1),'Saturations and Allocations'!$C$14:$C$15)</f>
        <v>1211.4</v>
      </c>
      <c r="AQ49" s="347">
        <f ca="1" t="shared" si="26"/>
        <v>175.38169798591355</v>
      </c>
      <c r="AR49" s="347">
        <f ca="1" t="shared" si="42"/>
        <v>585.1583055196693</v>
      </c>
      <c r="AS49" s="347">
        <f ca="1" t="shared" si="43"/>
        <v>1971.9400035055828</v>
      </c>
      <c r="AT49" s="347">
        <f ca="1" t="shared" si="44"/>
        <v>1796.5583055196694</v>
      </c>
      <c r="AU49" s="347">
        <f ca="1" t="shared" si="45"/>
        <v>175.38169798591355</v>
      </c>
      <c r="AV49" s="307"/>
      <c r="AX49" s="343"/>
      <c r="AY49" s="311">
        <v>1983</v>
      </c>
      <c r="AZ49" s="345">
        <f t="shared" si="19"/>
        <v>2945340.9897327786</v>
      </c>
      <c r="BA49" s="345">
        <f t="shared" si="20"/>
        <v>47307.1</v>
      </c>
      <c r="BB49" s="345">
        <f t="shared" si="21"/>
        <v>2983862.6472795443</v>
      </c>
      <c r="BC49" s="344"/>
      <c r="BD49" s="12"/>
      <c r="BE49" s="339"/>
      <c r="BF49" s="311">
        <v>1983</v>
      </c>
      <c r="BG49" s="346">
        <f t="shared" si="27"/>
        <v>0.023662495179992787</v>
      </c>
      <c r="BH49" s="345">
        <f t="shared" si="22"/>
        <v>70605.63550901273</v>
      </c>
      <c r="BI49" s="351">
        <f t="shared" si="46"/>
        <v>0.013078844752118401</v>
      </c>
      <c r="BJ49" s="340"/>
      <c r="BK49" s="15"/>
      <c r="BL49" s="325"/>
      <c r="BM49" s="311">
        <v>1983</v>
      </c>
      <c r="BN49" s="345">
        <f ca="1" t="shared" si="28"/>
        <v>4730.71</v>
      </c>
      <c r="BO49" s="345">
        <f ca="1" t="shared" si="29"/>
        <v>1430.4536545507794</v>
      </c>
      <c r="BP49" s="345">
        <f ca="1" t="shared" si="30"/>
        <v>8243.559029338998</v>
      </c>
      <c r="BQ49" s="345">
        <f ca="1" t="shared" si="31"/>
        <v>14404.722683889775</v>
      </c>
      <c r="BR49" s="345">
        <f ca="1" t="shared" si="32"/>
        <v>12974.269029338997</v>
      </c>
      <c r="BS49" s="345">
        <f ca="1" t="shared" si="33"/>
        <v>1430.4536545507794</v>
      </c>
      <c r="BT49" s="307"/>
      <c r="BV49" s="375"/>
      <c r="BW49" s="311">
        <v>1983</v>
      </c>
      <c r="BX49" s="381">
        <f ca="1" t="shared" si="11"/>
        <v>14404.722683889775</v>
      </c>
      <c r="BY49" s="381">
        <f>IF(ISNUMBER(INDEX(TARGET_SHIPMENTS,MATCH($BV$2,HVAC_SYSTEMS,0),MATCH(BW49,TARGET_SHIPMENT_YEARS,0))),INDEX(TARGET_SHIPMENTS,MATCH($BV$2,HVAC_SYSTEMS,0),MATCH(BW49,TARGET_SHIPMENT_YEARS,0)),0)*'AHRI Shipments'!$J$10</f>
        <v>0</v>
      </c>
      <c r="BZ49" s="360">
        <f ca="1" t="shared" si="12"/>
        <v>0</v>
      </c>
      <c r="CA49" s="373"/>
    </row>
    <row r="50" spans="2:79" ht="12.75">
      <c r="B50" s="343"/>
      <c r="C50" s="311">
        <v>1984</v>
      </c>
      <c r="D50" s="345">
        <f t="shared" si="13"/>
        <v>2685525.8143045874</v>
      </c>
      <c r="E50" s="345">
        <f t="shared" si="14"/>
        <v>32702.6</v>
      </c>
      <c r="F50" s="345">
        <f t="shared" si="15"/>
        <v>2712336.545646234</v>
      </c>
      <c r="G50" s="344"/>
      <c r="H50" s="12"/>
      <c r="I50" s="339"/>
      <c r="J50" s="311">
        <v>1984</v>
      </c>
      <c r="K50" s="346">
        <f t="shared" si="23"/>
        <v>0.02687155572958222</v>
      </c>
      <c r="L50" s="347">
        <f t="shared" si="34"/>
        <v>72884.7026437153</v>
      </c>
      <c r="M50" s="351">
        <f t="shared" si="35"/>
        <v>0.009983419708288643</v>
      </c>
      <c r="N50" s="340"/>
      <c r="O50" s="15"/>
      <c r="P50" s="325"/>
      <c r="Q50" s="311">
        <v>1984</v>
      </c>
      <c r="R50" s="352">
        <f ca="1">E50*FORECAST(Q50,OFFSET('Saturations and Allocations'!$C$13,1,MATCH(B$6,SATURATIONS_HOUSING_TYPE,0)-1+MATCH(B$2,HVAC_SYSTEMS,0),2,1),'Saturations and Allocations'!$C$14:$C$15)</f>
        <v>3270.26</v>
      </c>
      <c r="S50" s="347">
        <f ca="1" t="shared" si="24"/>
        <v>1255.0719565648658</v>
      </c>
      <c r="T50" s="347">
        <f ca="1" t="shared" si="36"/>
        <v>8072.578948957724</v>
      </c>
      <c r="U50" s="347">
        <f ca="1" t="shared" si="37"/>
        <v>12597.910905522589</v>
      </c>
      <c r="V50" s="347">
        <f ca="1" t="shared" si="38"/>
        <v>11342.838948957724</v>
      </c>
      <c r="W50" s="347">
        <f ca="1" t="shared" si="39"/>
        <v>1255.0719565648658</v>
      </c>
      <c r="X50" s="307"/>
      <c r="Z50" s="343"/>
      <c r="AA50" s="311">
        <v>1984</v>
      </c>
      <c r="AB50" s="345">
        <f t="shared" si="16"/>
        <v>298336.8329749569</v>
      </c>
      <c r="AC50" s="345">
        <f t="shared" si="17"/>
        <v>11892</v>
      </c>
      <c r="AD50" s="345">
        <f t="shared" si="18"/>
        <v>307379.44905136887</v>
      </c>
      <c r="AE50" s="344"/>
      <c r="AF50" s="12"/>
      <c r="AG50" s="339"/>
      <c r="AH50" s="311">
        <v>1984</v>
      </c>
      <c r="AI50" s="346">
        <f t="shared" si="25"/>
        <v>0.035624894446234734</v>
      </c>
      <c r="AJ50" s="347">
        <f t="shared" si="40"/>
        <v>10950.360427396803</v>
      </c>
      <c r="AK50" s="351">
        <f t="shared" si="41"/>
        <v>0.03031008939204982</v>
      </c>
      <c r="AL50" s="340"/>
      <c r="AM50" s="15"/>
      <c r="AN50" s="325"/>
      <c r="AO50" s="311">
        <v>1984</v>
      </c>
      <c r="AP50" s="352">
        <f ca="1">AC50*FORECAST(AO50,OFFSET('Saturations and Allocations'!$C$13,1,MATCH(Z$6,SATURATIONS_HOUSING_TYPE,0)-1+MATCH(Z$2,HVAC_SYSTEMS,0),2,1),'Saturations and Allocations'!$C$14:$C$15)</f>
        <v>1189.2</v>
      </c>
      <c r="AQ50" s="347">
        <f ca="1" t="shared" si="26"/>
        <v>175.38169798591355</v>
      </c>
      <c r="AR50" s="347">
        <f ca="1" t="shared" si="42"/>
        <v>697.3886131416482</v>
      </c>
      <c r="AS50" s="347">
        <f ca="1" t="shared" si="43"/>
        <v>2061.970311127562</v>
      </c>
      <c r="AT50" s="347">
        <f ca="1" t="shared" si="44"/>
        <v>1886.5886131416482</v>
      </c>
      <c r="AU50" s="347">
        <f ca="1" t="shared" si="45"/>
        <v>175.38169798591355</v>
      </c>
      <c r="AV50" s="307"/>
      <c r="AX50" s="343"/>
      <c r="AY50" s="311">
        <v>1984</v>
      </c>
      <c r="AZ50" s="345">
        <f t="shared" si="19"/>
        <v>2983862.6472795443</v>
      </c>
      <c r="BA50" s="345">
        <f t="shared" si="20"/>
        <v>44594.6</v>
      </c>
      <c r="BB50" s="345">
        <f t="shared" si="21"/>
        <v>3019715.994697603</v>
      </c>
      <c r="BC50" s="344"/>
      <c r="BD50" s="12"/>
      <c r="BE50" s="339"/>
      <c r="BF50" s="311">
        <v>1984</v>
      </c>
      <c r="BG50" s="346">
        <f t="shared" si="27"/>
        <v>0.027762565492357644</v>
      </c>
      <c r="BH50" s="345">
        <f t="shared" si="22"/>
        <v>83835.0630711121</v>
      </c>
      <c r="BI50" s="351">
        <f t="shared" si="46"/>
        <v>0.012015749937667852</v>
      </c>
      <c r="BJ50" s="340"/>
      <c r="BK50" s="15"/>
      <c r="BL50" s="325"/>
      <c r="BM50" s="311">
        <v>1984</v>
      </c>
      <c r="BN50" s="345">
        <f ca="1" t="shared" si="28"/>
        <v>4459.46</v>
      </c>
      <c r="BO50" s="345">
        <f ca="1" t="shared" si="29"/>
        <v>1430.4536545507794</v>
      </c>
      <c r="BP50" s="345">
        <f ca="1" t="shared" si="30"/>
        <v>8769.967562099371</v>
      </c>
      <c r="BQ50" s="345">
        <f ca="1" t="shared" si="31"/>
        <v>14659.881216650152</v>
      </c>
      <c r="BR50" s="345">
        <f ca="1" t="shared" si="32"/>
        <v>13229.427562099372</v>
      </c>
      <c r="BS50" s="345">
        <f ca="1" t="shared" si="33"/>
        <v>1430.4536545507794</v>
      </c>
      <c r="BT50" s="307"/>
      <c r="BV50" s="375"/>
      <c r="BW50" s="311">
        <v>1984</v>
      </c>
      <c r="BX50" s="381">
        <f ca="1" t="shared" si="11"/>
        <v>14659.881216650152</v>
      </c>
      <c r="BY50" s="381">
        <f>IF(ISNUMBER(INDEX(TARGET_SHIPMENTS,MATCH($BV$2,HVAC_SYSTEMS,0),MATCH(BW50,TARGET_SHIPMENT_YEARS,0))),INDEX(TARGET_SHIPMENTS,MATCH($BV$2,HVAC_SYSTEMS,0),MATCH(BW50,TARGET_SHIPMENT_YEARS,0)),0)*'AHRI Shipments'!$J$10</f>
        <v>0</v>
      </c>
      <c r="BZ50" s="360">
        <f ca="1" t="shared" si="12"/>
        <v>0</v>
      </c>
      <c r="CA50" s="373"/>
    </row>
    <row r="51" spans="2:79" ht="12.75">
      <c r="B51" s="343"/>
      <c r="C51" s="311">
        <v>1985</v>
      </c>
      <c r="D51" s="345">
        <f t="shared" si="13"/>
        <v>2712336.545646234</v>
      </c>
      <c r="E51" s="345">
        <f t="shared" si="14"/>
        <v>31199.2</v>
      </c>
      <c r="F51" s="345">
        <f t="shared" si="15"/>
        <v>2737657.2561330628</v>
      </c>
      <c r="G51" s="344"/>
      <c r="H51" s="12"/>
      <c r="I51" s="339"/>
      <c r="J51" s="311">
        <v>1985</v>
      </c>
      <c r="K51" s="346">
        <f t="shared" si="23"/>
        <v>0.030826979591449977</v>
      </c>
      <c r="L51" s="347">
        <f t="shared" si="34"/>
        <v>84393.70436319886</v>
      </c>
      <c r="M51" s="351">
        <f t="shared" si="35"/>
        <v>0.009335386689927061</v>
      </c>
      <c r="N51" s="340"/>
      <c r="O51" s="15"/>
      <c r="P51" s="325"/>
      <c r="Q51" s="311">
        <v>1985</v>
      </c>
      <c r="R51" s="352">
        <f ca="1">E51*FORECAST(Q51,OFFSET('Saturations and Allocations'!$C$13,1,MATCH(B$6,SATURATIONS_HOUSING_TYPE,0)-1+MATCH(B$2,HVAC_SYSTEMS,0),2,1),'Saturations and Allocations'!$C$14:$C$15)</f>
        <v>3119.92</v>
      </c>
      <c r="S51" s="347">
        <f ca="1" t="shared" si="24"/>
        <v>1255.0719565648658</v>
      </c>
      <c r="T51" s="347">
        <f ca="1" t="shared" si="36"/>
        <v>8389.081719483567</v>
      </c>
      <c r="U51" s="347">
        <f ca="1" t="shared" si="37"/>
        <v>12764.073676048432</v>
      </c>
      <c r="V51" s="347">
        <f ca="1" t="shared" si="38"/>
        <v>11509.001719483567</v>
      </c>
      <c r="W51" s="347">
        <f ca="1" t="shared" si="39"/>
        <v>1255.0719565648658</v>
      </c>
      <c r="X51" s="307"/>
      <c r="Z51" s="343"/>
      <c r="AA51" s="311">
        <v>1985</v>
      </c>
      <c r="AB51" s="345">
        <f t="shared" si="16"/>
        <v>307379.44905136887</v>
      </c>
      <c r="AC51" s="345">
        <f t="shared" si="17"/>
        <v>10090</v>
      </c>
      <c r="AD51" s="345">
        <f t="shared" si="18"/>
        <v>314650.51645524125</v>
      </c>
      <c r="AE51" s="344"/>
      <c r="AF51" s="12"/>
      <c r="AG51" s="339"/>
      <c r="AH51" s="311">
        <v>1985</v>
      </c>
      <c r="AI51" s="346">
        <f t="shared" si="25"/>
        <v>0.0408687872445217</v>
      </c>
      <c r="AJ51" s="347">
        <f t="shared" si="40"/>
        <v>12859.385013388128</v>
      </c>
      <c r="AK51" s="351">
        <f t="shared" si="41"/>
        <v>0.023655021265449827</v>
      </c>
      <c r="AL51" s="340"/>
      <c r="AM51" s="15"/>
      <c r="AN51" s="325"/>
      <c r="AO51" s="311">
        <v>1985</v>
      </c>
      <c r="AP51" s="352">
        <f ca="1">AC51*FORECAST(AO51,OFFSET('Saturations and Allocations'!$C$13,1,MATCH(Z$6,SATURATIONS_HOUSING_TYPE,0)-1+MATCH(Z$2,HVAC_SYSTEMS,0),2,1),'Saturations and Allocations'!$C$14:$C$15)</f>
        <v>1009</v>
      </c>
      <c r="AQ51" s="347">
        <f ca="1" t="shared" si="26"/>
        <v>175.38169798591355</v>
      </c>
      <c r="AR51" s="347">
        <f ca="1" t="shared" si="42"/>
        <v>900.0245859913248</v>
      </c>
      <c r="AS51" s="347">
        <f ca="1" t="shared" si="43"/>
        <v>2084.406283977238</v>
      </c>
      <c r="AT51" s="347">
        <f ca="1" t="shared" si="44"/>
        <v>1909.0245859913248</v>
      </c>
      <c r="AU51" s="347">
        <f ca="1" t="shared" si="45"/>
        <v>175.38169798591355</v>
      </c>
      <c r="AV51" s="307"/>
      <c r="AX51" s="343"/>
      <c r="AY51" s="311">
        <v>1985</v>
      </c>
      <c r="AZ51" s="345">
        <f t="shared" si="19"/>
        <v>3019715.994697603</v>
      </c>
      <c r="BA51" s="345">
        <f t="shared" si="20"/>
        <v>41289.2</v>
      </c>
      <c r="BB51" s="345">
        <f t="shared" si="21"/>
        <v>3052307.7725883042</v>
      </c>
      <c r="BC51" s="344"/>
      <c r="BD51" s="12"/>
      <c r="BE51" s="339"/>
      <c r="BF51" s="311">
        <v>1985</v>
      </c>
      <c r="BG51" s="346">
        <f t="shared" si="27"/>
        <v>0.03186215041942446</v>
      </c>
      <c r="BH51" s="345">
        <f t="shared" si="22"/>
        <v>97253.08937658698</v>
      </c>
      <c r="BI51" s="351">
        <f t="shared" si="46"/>
        <v>0.0107929944232934</v>
      </c>
      <c r="BJ51" s="340"/>
      <c r="BK51" s="15"/>
      <c r="BL51" s="325"/>
      <c r="BM51" s="311">
        <v>1985</v>
      </c>
      <c r="BN51" s="345">
        <f ca="1" t="shared" si="28"/>
        <v>4128.92</v>
      </c>
      <c r="BO51" s="345">
        <f ca="1" t="shared" si="29"/>
        <v>1430.4536545507794</v>
      </c>
      <c r="BP51" s="345">
        <f ca="1" t="shared" si="30"/>
        <v>9289.106305474892</v>
      </c>
      <c r="BQ51" s="345">
        <f ca="1" t="shared" si="31"/>
        <v>14848.47996002567</v>
      </c>
      <c r="BR51" s="345">
        <f ca="1" t="shared" si="32"/>
        <v>13418.026305474892</v>
      </c>
      <c r="BS51" s="345">
        <f ca="1" t="shared" si="33"/>
        <v>1430.4536545507794</v>
      </c>
      <c r="BT51" s="307"/>
      <c r="BV51" s="375"/>
      <c r="BW51" s="311">
        <v>1985</v>
      </c>
      <c r="BX51" s="381">
        <f ca="1" t="shared" si="11"/>
        <v>14848.47996002567</v>
      </c>
      <c r="BY51" s="381">
        <f>IF(ISNUMBER(INDEX(TARGET_SHIPMENTS,MATCH($BV$2,HVAC_SYSTEMS,0),MATCH(BW51,TARGET_SHIPMENT_YEARS,0))),INDEX(TARGET_SHIPMENTS,MATCH($BV$2,HVAC_SYSTEMS,0),MATCH(BW51,TARGET_SHIPMENT_YEARS,0)),0)*'AHRI Shipments'!$J$10</f>
        <v>0</v>
      </c>
      <c r="BZ51" s="360">
        <f ca="1" t="shared" si="12"/>
        <v>0</v>
      </c>
      <c r="CA51" s="373"/>
    </row>
    <row r="52" spans="2:79" ht="12.75">
      <c r="B52" s="343"/>
      <c r="C52" s="311">
        <v>1986</v>
      </c>
      <c r="D52" s="345">
        <f t="shared" si="13"/>
        <v>2737657.2561330628</v>
      </c>
      <c r="E52" s="345">
        <f t="shared" si="14"/>
        <v>33696.6</v>
      </c>
      <c r="F52" s="345">
        <f t="shared" si="15"/>
        <v>2765488.715383961</v>
      </c>
      <c r="G52" s="344"/>
      <c r="H52" s="12"/>
      <c r="I52" s="339"/>
      <c r="J52" s="311">
        <v>1986</v>
      </c>
      <c r="K52" s="346">
        <f t="shared" si="23"/>
        <v>0.034782403453316846</v>
      </c>
      <c r="L52" s="347">
        <f t="shared" si="34"/>
        <v>96190.34424407985</v>
      </c>
      <c r="M52" s="351">
        <f t="shared" si="35"/>
        <v>0.010166159108686346</v>
      </c>
      <c r="N52" s="340"/>
      <c r="O52" s="15"/>
      <c r="P52" s="325"/>
      <c r="Q52" s="311">
        <v>1986</v>
      </c>
      <c r="R52" s="352">
        <f ca="1">E52*FORECAST(Q52,OFFSET('Saturations and Allocations'!$C$13,1,MATCH(B$6,SATURATIONS_HOUSING_TYPE,0)-1+MATCH(B$2,HVAC_SYSTEMS,0),2,1),'Saturations and Allocations'!$C$14:$C$15)</f>
        <v>3369.66</v>
      </c>
      <c r="S52" s="347">
        <f ca="1" t="shared" si="24"/>
        <v>1255.0719565648658</v>
      </c>
      <c r="T52" s="347">
        <f ca="1" t="shared" si="36"/>
        <v>8426.97988088099</v>
      </c>
      <c r="U52" s="347">
        <f ca="1" t="shared" si="37"/>
        <v>13051.711837445855</v>
      </c>
      <c r="V52" s="347">
        <f ca="1" t="shared" si="38"/>
        <v>11796.63988088099</v>
      </c>
      <c r="W52" s="347">
        <f ca="1" t="shared" si="39"/>
        <v>1255.0719565648658</v>
      </c>
      <c r="X52" s="307"/>
      <c r="Z52" s="343"/>
      <c r="AA52" s="311">
        <v>1986</v>
      </c>
      <c r="AB52" s="345">
        <f t="shared" si="16"/>
        <v>314650.51645524125</v>
      </c>
      <c r="AC52" s="345">
        <f t="shared" si="17"/>
        <v>8352</v>
      </c>
      <c r="AD52" s="345">
        <f t="shared" si="18"/>
        <v>320213.7097536492</v>
      </c>
      <c r="AE52" s="344"/>
      <c r="AF52" s="12"/>
      <c r="AG52" s="339"/>
      <c r="AH52" s="311">
        <v>1986</v>
      </c>
      <c r="AI52" s="346">
        <f t="shared" si="25"/>
        <v>0.04611268004280866</v>
      </c>
      <c r="AJ52" s="347">
        <f t="shared" si="40"/>
        <v>14765.912343190825</v>
      </c>
      <c r="AK52" s="351">
        <f t="shared" si="41"/>
        <v>0.017680547170496386</v>
      </c>
      <c r="AL52" s="340"/>
      <c r="AM52" s="15"/>
      <c r="AN52" s="325"/>
      <c r="AO52" s="311">
        <v>1986</v>
      </c>
      <c r="AP52" s="352">
        <f ca="1">AC52*FORECAST(AO52,OFFSET('Saturations and Allocations'!$C$13,1,MATCH(Z$6,SATURATIONS_HOUSING_TYPE,0)-1+MATCH(Z$2,HVAC_SYSTEMS,0),2,1),'Saturations and Allocations'!$C$14:$C$15)</f>
        <v>835.2</v>
      </c>
      <c r="AQ52" s="347">
        <f ca="1" t="shared" si="26"/>
        <v>175.38169798591355</v>
      </c>
      <c r="AR52" s="347">
        <f ca="1" t="shared" si="42"/>
        <v>1071.3273298026968</v>
      </c>
      <c r="AS52" s="347">
        <f ca="1" t="shared" si="43"/>
        <v>2081.9090277886103</v>
      </c>
      <c r="AT52" s="347">
        <f ca="1" t="shared" si="44"/>
        <v>1906.5273298026968</v>
      </c>
      <c r="AU52" s="347">
        <f ca="1" t="shared" si="45"/>
        <v>175.38169798591355</v>
      </c>
      <c r="AV52" s="307"/>
      <c r="AX52" s="343"/>
      <c r="AY52" s="311">
        <v>1986</v>
      </c>
      <c r="AZ52" s="345">
        <f t="shared" si="19"/>
        <v>3052307.7725883042</v>
      </c>
      <c r="BA52" s="345">
        <f t="shared" si="20"/>
        <v>42048.6</v>
      </c>
      <c r="BB52" s="345">
        <f t="shared" si="21"/>
        <v>3085702.42513761</v>
      </c>
      <c r="BC52" s="344"/>
      <c r="BD52" s="12"/>
      <c r="BE52" s="339"/>
      <c r="BF52" s="311">
        <v>1986</v>
      </c>
      <c r="BG52" s="346">
        <f t="shared" si="27"/>
        <v>0.035958184328912554</v>
      </c>
      <c r="BH52" s="345">
        <f t="shared" si="22"/>
        <v>110956.25658727068</v>
      </c>
      <c r="BI52" s="351">
        <f t="shared" si="46"/>
        <v>0.01094078809784893</v>
      </c>
      <c r="BJ52" s="340"/>
      <c r="BK52" s="15"/>
      <c r="BL52" s="325"/>
      <c r="BM52" s="311">
        <v>1986</v>
      </c>
      <c r="BN52" s="345">
        <f ca="1" t="shared" si="28"/>
        <v>4204.86</v>
      </c>
      <c r="BO52" s="345">
        <f ca="1" t="shared" si="29"/>
        <v>1430.4536545507794</v>
      </c>
      <c r="BP52" s="345">
        <f ca="1" t="shared" si="30"/>
        <v>9498.307210683686</v>
      </c>
      <c r="BQ52" s="345">
        <f ca="1" t="shared" si="31"/>
        <v>15133.620865234465</v>
      </c>
      <c r="BR52" s="345">
        <f ca="1" t="shared" si="32"/>
        <v>13703.167210683687</v>
      </c>
      <c r="BS52" s="345">
        <f ca="1" t="shared" si="33"/>
        <v>1430.4536545507794</v>
      </c>
      <c r="BT52" s="307"/>
      <c r="BV52" s="375"/>
      <c r="BW52" s="311">
        <v>1986</v>
      </c>
      <c r="BX52" s="381">
        <f ca="1" t="shared" si="11"/>
        <v>15133.620865234465</v>
      </c>
      <c r="BY52" s="381">
        <f>IF(ISNUMBER(INDEX(TARGET_SHIPMENTS,MATCH($BV$2,HVAC_SYSTEMS,0),MATCH(BW52,TARGET_SHIPMENT_YEARS,0))),INDEX(TARGET_SHIPMENTS,MATCH($BV$2,HVAC_SYSTEMS,0),MATCH(BW52,TARGET_SHIPMENT_YEARS,0)),0)*'AHRI Shipments'!$J$10</f>
        <v>0</v>
      </c>
      <c r="BZ52" s="360">
        <f ca="1" t="shared" si="12"/>
        <v>0</v>
      </c>
      <c r="CA52" s="373"/>
    </row>
    <row r="53" spans="2:79" ht="12.75">
      <c r="B53" s="343"/>
      <c r="C53" s="311">
        <v>1987</v>
      </c>
      <c r="D53" s="345">
        <f t="shared" si="13"/>
        <v>2765488.715383961</v>
      </c>
      <c r="E53" s="345">
        <f t="shared" si="14"/>
        <v>33896.5</v>
      </c>
      <c r="F53" s="345">
        <f t="shared" si="15"/>
        <v>2793533.3930868045</v>
      </c>
      <c r="G53" s="344"/>
      <c r="H53" s="12"/>
      <c r="I53" s="339"/>
      <c r="J53" s="311">
        <v>1987</v>
      </c>
      <c r="K53" s="346">
        <f t="shared" si="23"/>
        <v>0.0387378273151846</v>
      </c>
      <c r="L53" s="347">
        <f t="shared" si="34"/>
        <v>108215.41418059834</v>
      </c>
      <c r="M53" s="351">
        <f t="shared" si="35"/>
        <v>0.010140948161110108</v>
      </c>
      <c r="N53" s="340"/>
      <c r="O53" s="15"/>
      <c r="P53" s="325"/>
      <c r="Q53" s="311">
        <v>1987</v>
      </c>
      <c r="R53" s="352">
        <f ca="1">E53*FORECAST(Q53,OFFSET('Saturations and Allocations'!$C$13,1,MATCH(B$6,SATURATIONS_HOUSING_TYPE,0)-1+MATCH(B$2,HVAC_SYSTEMS,0),2,1),'Saturations and Allocations'!$C$14:$C$15)</f>
        <v>3389.65</v>
      </c>
      <c r="S53" s="347">
        <f ca="1" t="shared" si="24"/>
        <v>1255.0719565648658</v>
      </c>
      <c r="T53" s="347">
        <f ca="1" t="shared" si="36"/>
        <v>8635.419936518485</v>
      </c>
      <c r="U53" s="347">
        <f ca="1" t="shared" si="37"/>
        <v>13280.14189308335</v>
      </c>
      <c r="V53" s="347">
        <f ca="1" t="shared" si="38"/>
        <v>12025.069936518485</v>
      </c>
      <c r="W53" s="347">
        <f ca="1" t="shared" si="39"/>
        <v>1255.0719565648658</v>
      </c>
      <c r="X53" s="307"/>
      <c r="Z53" s="343"/>
      <c r="AA53" s="311">
        <v>1987</v>
      </c>
      <c r="AB53" s="345">
        <f t="shared" si="16"/>
        <v>320213.7097536492</v>
      </c>
      <c r="AC53" s="345">
        <f t="shared" si="17"/>
        <v>7902</v>
      </c>
      <c r="AD53" s="345">
        <f t="shared" si="18"/>
        <v>325356.7069915652</v>
      </c>
      <c r="AE53" s="344"/>
      <c r="AF53" s="12"/>
      <c r="AG53" s="339"/>
      <c r="AH53" s="311">
        <v>1987</v>
      </c>
      <c r="AI53" s="346">
        <f t="shared" si="25"/>
        <v>0.0513565728410974</v>
      </c>
      <c r="AJ53" s="347">
        <f t="shared" si="40"/>
        <v>16709.2054219519</v>
      </c>
      <c r="AK53" s="351">
        <f t="shared" si="41"/>
        <v>0.016061140048852618</v>
      </c>
      <c r="AL53" s="340"/>
      <c r="AM53" s="15"/>
      <c r="AN53" s="325"/>
      <c r="AO53" s="311">
        <v>1987</v>
      </c>
      <c r="AP53" s="352">
        <f ca="1">AC53*FORECAST(AO53,OFFSET('Saturations and Allocations'!$C$13,1,MATCH(Z$6,SATURATIONS_HOUSING_TYPE,0)-1+MATCH(Z$2,HVAC_SYSTEMS,0),2,1),'Saturations and Allocations'!$C$14:$C$15)</f>
        <v>790.2</v>
      </c>
      <c r="AQ53" s="347">
        <f ca="1" t="shared" si="26"/>
        <v>175.38169798591355</v>
      </c>
      <c r="AR53" s="347">
        <f ca="1" t="shared" si="42"/>
        <v>1153.0930787610766</v>
      </c>
      <c r="AS53" s="347">
        <f ca="1" t="shared" si="43"/>
        <v>2118.67477674699</v>
      </c>
      <c r="AT53" s="347">
        <f ca="1" t="shared" si="44"/>
        <v>1943.2930787610767</v>
      </c>
      <c r="AU53" s="347">
        <f ca="1" t="shared" si="45"/>
        <v>175.38169798591355</v>
      </c>
      <c r="AV53" s="307"/>
      <c r="AX53" s="343"/>
      <c r="AY53" s="311">
        <v>1987</v>
      </c>
      <c r="AZ53" s="345">
        <f t="shared" si="19"/>
        <v>3085702.42513761</v>
      </c>
      <c r="BA53" s="345">
        <f t="shared" si="20"/>
        <v>41798.5</v>
      </c>
      <c r="BB53" s="345">
        <f t="shared" si="21"/>
        <v>3118890.1000783695</v>
      </c>
      <c r="BC53" s="344"/>
      <c r="BD53" s="12"/>
      <c r="BE53" s="339"/>
      <c r="BF53" s="311">
        <v>1987</v>
      </c>
      <c r="BG53" s="346">
        <f t="shared" si="27"/>
        <v>0.0400541909442116</v>
      </c>
      <c r="BH53" s="345">
        <f t="shared" si="22"/>
        <v>124924.61960255024</v>
      </c>
      <c r="BI53" s="351">
        <f t="shared" si="46"/>
        <v>0.010755306367327133</v>
      </c>
      <c r="BJ53" s="340"/>
      <c r="BK53" s="15"/>
      <c r="BL53" s="325"/>
      <c r="BM53" s="311">
        <v>1987</v>
      </c>
      <c r="BN53" s="345">
        <f ca="1" t="shared" si="28"/>
        <v>4179.85</v>
      </c>
      <c r="BO53" s="345">
        <f ca="1" t="shared" si="29"/>
        <v>1430.4536545507794</v>
      </c>
      <c r="BP53" s="345">
        <f ca="1" t="shared" si="30"/>
        <v>9788.513015279561</v>
      </c>
      <c r="BQ53" s="345">
        <f aca="true" t="shared" si="47" ref="BQ53:BQ81">U53+AS53</f>
        <v>15398.81666983034</v>
      </c>
      <c r="BR53" s="345">
        <f ca="1" t="shared" si="32"/>
        <v>13968.363015279561</v>
      </c>
      <c r="BS53" s="345">
        <f ca="1" t="shared" si="33"/>
        <v>1430.4536545507794</v>
      </c>
      <c r="BT53" s="307"/>
      <c r="BV53" s="375"/>
      <c r="BW53" s="311">
        <v>1987</v>
      </c>
      <c r="BX53" s="381">
        <f ca="1" t="shared" si="11"/>
        <v>15398.81666983034</v>
      </c>
      <c r="BY53" s="381">
        <f>IF(ISNUMBER(INDEX(TARGET_SHIPMENTS,MATCH($BV$2,HVAC_SYSTEMS,0),MATCH(BW53,TARGET_SHIPMENT_YEARS,0))),INDEX(TARGET_SHIPMENTS,MATCH($BV$2,HVAC_SYSTEMS,0),MATCH(BW53,TARGET_SHIPMENT_YEARS,0)),0)*'AHRI Shipments'!$J$10</f>
        <v>0</v>
      </c>
      <c r="BZ53" s="360">
        <f ca="1" t="shared" si="12"/>
        <v>0</v>
      </c>
      <c r="CA53" s="373"/>
    </row>
    <row r="54" spans="2:79" ht="12.75">
      <c r="B54" s="343"/>
      <c r="C54" s="311">
        <v>1988</v>
      </c>
      <c r="D54" s="345">
        <f t="shared" si="13"/>
        <v>2793533.3930868045</v>
      </c>
      <c r="E54" s="345">
        <f t="shared" si="14"/>
        <v>37379.9</v>
      </c>
      <c r="F54" s="345">
        <f t="shared" si="15"/>
        <v>2825074.758998302</v>
      </c>
      <c r="G54" s="344"/>
      <c r="H54" s="12"/>
      <c r="I54" s="339"/>
      <c r="J54" s="311">
        <v>1988</v>
      </c>
      <c r="K54" s="346">
        <f t="shared" si="23"/>
        <v>0.04269325117705147</v>
      </c>
      <c r="L54" s="347">
        <f t="shared" si="34"/>
        <v>120611.62627986266</v>
      </c>
      <c r="M54" s="351">
        <f t="shared" si="35"/>
        <v>0.011290849785276613</v>
      </c>
      <c r="N54" s="340"/>
      <c r="O54" s="15"/>
      <c r="P54" s="325"/>
      <c r="Q54" s="311">
        <v>1988</v>
      </c>
      <c r="R54" s="352">
        <f ca="1">E54*FORECAST(Q54,OFFSET('Saturations and Allocations'!$C$13,1,MATCH(B$6,SATURATIONS_HOUSING_TYPE,0)-1+MATCH(B$2,HVAC_SYSTEMS,0),2,1),'Saturations and Allocations'!$C$14:$C$15)</f>
        <v>3737.9900000000002</v>
      </c>
      <c r="S54" s="347">
        <f ca="1" t="shared" si="24"/>
        <v>1255.0719565648658</v>
      </c>
      <c r="T54" s="347">
        <f ca="1" t="shared" si="36"/>
        <v>8658.222099264318</v>
      </c>
      <c r="U54" s="347">
        <f ca="1" t="shared" si="37"/>
        <v>13651.284055829183</v>
      </c>
      <c r="V54" s="347">
        <f ca="1" t="shared" si="38"/>
        <v>12396.212099264318</v>
      </c>
      <c r="W54" s="347">
        <f ca="1" t="shared" si="39"/>
        <v>1255.0719565648658</v>
      </c>
      <c r="X54" s="307"/>
      <c r="Z54" s="343"/>
      <c r="AA54" s="311">
        <v>1988</v>
      </c>
      <c r="AB54" s="345">
        <f t="shared" si="16"/>
        <v>325356.7069915652</v>
      </c>
      <c r="AC54" s="345">
        <f t="shared" si="17"/>
        <v>9049</v>
      </c>
      <c r="AD54" s="345">
        <f t="shared" si="18"/>
        <v>331676.1896546907</v>
      </c>
      <c r="AE54" s="344"/>
      <c r="AF54" s="12"/>
      <c r="AG54" s="339"/>
      <c r="AH54" s="311">
        <v>1988</v>
      </c>
      <c r="AI54" s="346">
        <f t="shared" si="25"/>
        <v>0.05660046563938437</v>
      </c>
      <c r="AJ54" s="347">
        <f t="shared" si="40"/>
        <v>18773.026775952254</v>
      </c>
      <c r="AK54" s="351">
        <f t="shared" si="41"/>
        <v>0.019423243865353435</v>
      </c>
      <c r="AL54" s="340"/>
      <c r="AM54" s="15"/>
      <c r="AN54" s="325"/>
      <c r="AO54" s="311">
        <v>1988</v>
      </c>
      <c r="AP54" s="352">
        <f ca="1">AC54*FORECAST(AO54,OFFSET('Saturations and Allocations'!$C$13,1,MATCH(Z$6,SATURATIONS_HOUSING_TYPE,0)-1+MATCH(Z$2,HVAC_SYSTEMS,0),2,1),'Saturations and Allocations'!$C$14:$C$15)</f>
        <v>904.9000000000001</v>
      </c>
      <c r="AQ54" s="347">
        <f ca="1" t="shared" si="26"/>
        <v>175.38169798591355</v>
      </c>
      <c r="AR54" s="347">
        <f ca="1" t="shared" si="42"/>
        <v>1158.9213540003525</v>
      </c>
      <c r="AS54" s="347">
        <f ca="1" t="shared" si="43"/>
        <v>2239.203051986266</v>
      </c>
      <c r="AT54" s="347">
        <f ca="1" t="shared" si="44"/>
        <v>2063.8213540003526</v>
      </c>
      <c r="AU54" s="347">
        <f ca="1" t="shared" si="45"/>
        <v>175.38169798591355</v>
      </c>
      <c r="AV54" s="307"/>
      <c r="AX54" s="343"/>
      <c r="AY54" s="311">
        <v>1988</v>
      </c>
      <c r="AZ54" s="345">
        <f t="shared" si="19"/>
        <v>3118890.1000783695</v>
      </c>
      <c r="BA54" s="345">
        <f t="shared" si="20"/>
        <v>46428.9</v>
      </c>
      <c r="BB54" s="345">
        <f t="shared" si="21"/>
        <v>3156750.9486529925</v>
      </c>
      <c r="BC54" s="344"/>
      <c r="BD54" s="12"/>
      <c r="BE54" s="339"/>
      <c r="BF54" s="311">
        <v>1988</v>
      </c>
      <c r="BG54" s="346">
        <f t="shared" si="27"/>
        <v>0.044154466197370214</v>
      </c>
      <c r="BH54" s="345">
        <f t="shared" si="22"/>
        <v>139384.6530558149</v>
      </c>
      <c r="BI54" s="351">
        <f t="shared" si="46"/>
        <v>0.012139205730163916</v>
      </c>
      <c r="BJ54" s="340"/>
      <c r="BK54" s="15"/>
      <c r="BL54" s="325"/>
      <c r="BM54" s="311">
        <v>1988</v>
      </c>
      <c r="BN54" s="345">
        <f ca="1" t="shared" si="28"/>
        <v>4642.89</v>
      </c>
      <c r="BO54" s="345">
        <f ca="1" t="shared" si="29"/>
        <v>1430.4536545507794</v>
      </c>
      <c r="BP54" s="345">
        <f ca="1" t="shared" si="30"/>
        <v>9817.14345326467</v>
      </c>
      <c r="BQ54" s="345">
        <f ca="1" t="shared" si="47"/>
        <v>15890.487107815448</v>
      </c>
      <c r="BR54" s="345">
        <f ca="1" t="shared" si="32"/>
        <v>14460.03345326467</v>
      </c>
      <c r="BS54" s="345">
        <f ca="1" t="shared" si="33"/>
        <v>1430.4536545507794</v>
      </c>
      <c r="BT54" s="307"/>
      <c r="BV54" s="375"/>
      <c r="BW54" s="311">
        <v>1988</v>
      </c>
      <c r="BX54" s="381">
        <f ca="1" t="shared" si="11"/>
        <v>15890.487107815448</v>
      </c>
      <c r="BY54" s="381">
        <f>IF(ISNUMBER(INDEX(TARGET_SHIPMENTS,MATCH($BV$2,HVAC_SYSTEMS,0),MATCH(BW54,TARGET_SHIPMENT_YEARS,0))),INDEX(TARGET_SHIPMENTS,MATCH($BV$2,HVAC_SYSTEMS,0),MATCH(BW54,TARGET_SHIPMENT_YEARS,0)),0)*'AHRI Shipments'!$J$10</f>
        <v>0</v>
      </c>
      <c r="BZ54" s="360">
        <f ca="1" t="shared" si="12"/>
        <v>0</v>
      </c>
      <c r="CA54" s="373"/>
    </row>
    <row r="55" spans="2:79" ht="12.75">
      <c r="B55" s="343"/>
      <c r="C55" s="311">
        <v>1989</v>
      </c>
      <c r="D55" s="345">
        <f t="shared" si="13"/>
        <v>2825074.758998302</v>
      </c>
      <c r="E55" s="345">
        <f t="shared" si="14"/>
        <v>45933.1</v>
      </c>
      <c r="F55" s="345">
        <f t="shared" si="15"/>
        <v>2865182.582943837</v>
      </c>
      <c r="G55" s="344"/>
      <c r="H55" s="12"/>
      <c r="I55" s="339"/>
      <c r="J55" s="311">
        <v>1989</v>
      </c>
      <c r="K55" s="346">
        <f t="shared" si="23"/>
        <v>0.04664867503891923</v>
      </c>
      <c r="L55" s="347">
        <f t="shared" si="34"/>
        <v>133656.9712389183</v>
      </c>
      <c r="M55" s="351">
        <f t="shared" si="35"/>
        <v>0.01419708410115006</v>
      </c>
      <c r="N55" s="340"/>
      <c r="O55" s="15"/>
      <c r="P55" s="325"/>
      <c r="Q55" s="311">
        <v>1989</v>
      </c>
      <c r="R55" s="352">
        <f ca="1">E55*FORECAST(Q55,OFFSET('Saturations and Allocations'!$C$13,1,MATCH(B$6,SATURATIONS_HOUSING_TYPE,0)-1+MATCH(B$2,HVAC_SYSTEMS,0),2,1),'Saturations and Allocations'!$C$14:$C$15)</f>
        <v>4593.31</v>
      </c>
      <c r="S55" s="347">
        <f ca="1" t="shared" si="24"/>
        <v>1255.0719565648658</v>
      </c>
      <c r="T55" s="347">
        <f ca="1" t="shared" si="36"/>
        <v>8452.034959055654</v>
      </c>
      <c r="U55" s="347">
        <f ca="1" t="shared" si="37"/>
        <v>14300.41691562052</v>
      </c>
      <c r="V55" s="347">
        <f ca="1" t="shared" si="38"/>
        <v>13045.344959055656</v>
      </c>
      <c r="W55" s="347">
        <f ca="1" t="shared" si="39"/>
        <v>1255.0719565648658</v>
      </c>
      <c r="X55" s="307"/>
      <c r="Z55" s="343"/>
      <c r="AA55" s="311">
        <v>1989</v>
      </c>
      <c r="AB55" s="345">
        <f t="shared" si="16"/>
        <v>331676.1896546907</v>
      </c>
      <c r="AC55" s="345">
        <f t="shared" si="17"/>
        <v>9967</v>
      </c>
      <c r="AD55" s="345">
        <f t="shared" si="18"/>
        <v>338942.84263268526</v>
      </c>
      <c r="AE55" s="344"/>
      <c r="AF55" s="12"/>
      <c r="AG55" s="339"/>
      <c r="AH55" s="311">
        <v>1989</v>
      </c>
      <c r="AI55" s="346">
        <f t="shared" si="25"/>
        <v>0.06184435843767311</v>
      </c>
      <c r="AJ55" s="347">
        <f t="shared" si="40"/>
        <v>20961.70264965962</v>
      </c>
      <c r="AK55" s="351">
        <f t="shared" si="41"/>
        <v>0.02190887740708769</v>
      </c>
      <c r="AL55" s="340"/>
      <c r="AM55" s="15"/>
      <c r="AN55" s="325"/>
      <c r="AO55" s="311">
        <v>1989</v>
      </c>
      <c r="AP55" s="352">
        <f ca="1">AC55*FORECAST(AO55,OFFSET('Saturations and Allocations'!$C$13,1,MATCH(Z$6,SATURATIONS_HOUSING_TYPE,0)-1+MATCH(Z$2,HVAC_SYSTEMS,0),2,1),'Saturations and Allocations'!$C$14:$C$15)</f>
        <v>996.7</v>
      </c>
      <c r="AQ55" s="347">
        <f ca="1" t="shared" si="26"/>
        <v>175.38169798591355</v>
      </c>
      <c r="AR55" s="347">
        <f ca="1" t="shared" si="42"/>
        <v>1191.975873707365</v>
      </c>
      <c r="AS55" s="347">
        <f ca="1" t="shared" si="43"/>
        <v>2364.057571693279</v>
      </c>
      <c r="AT55" s="347">
        <f ca="1" t="shared" si="44"/>
        <v>2188.675873707365</v>
      </c>
      <c r="AU55" s="347">
        <f ca="1" t="shared" si="45"/>
        <v>175.38169798591355</v>
      </c>
      <c r="AV55" s="307"/>
      <c r="AX55" s="343"/>
      <c r="AY55" s="311">
        <v>1989</v>
      </c>
      <c r="AZ55" s="345">
        <f t="shared" si="19"/>
        <v>3156750.9486529925</v>
      </c>
      <c r="BA55" s="345">
        <f t="shared" si="20"/>
        <v>55900.1</v>
      </c>
      <c r="BB55" s="345">
        <f t="shared" si="21"/>
        <v>3204125.4255765225</v>
      </c>
      <c r="BC55" s="344"/>
      <c r="BD55" s="12"/>
      <c r="BE55" s="339"/>
      <c r="BF55" s="311">
        <v>1989</v>
      </c>
      <c r="BG55" s="346">
        <f t="shared" si="27"/>
        <v>0.048256124012610147</v>
      </c>
      <c r="BH55" s="345">
        <f t="shared" si="22"/>
        <v>154618.67388857793</v>
      </c>
      <c r="BI55" s="351">
        <f t="shared" si="46"/>
        <v>0.01500735334972969</v>
      </c>
      <c r="BJ55" s="340"/>
      <c r="BK55" s="15"/>
      <c r="BL55" s="325"/>
      <c r="BM55" s="311">
        <v>1989</v>
      </c>
      <c r="BN55" s="345">
        <f ca="1" t="shared" si="28"/>
        <v>5590.01</v>
      </c>
      <c r="BO55" s="345">
        <f ca="1" t="shared" si="29"/>
        <v>1430.4536545507794</v>
      </c>
      <c r="BP55" s="345">
        <f ca="1" t="shared" si="30"/>
        <v>9644.010832763019</v>
      </c>
      <c r="BQ55" s="345">
        <f ca="1" t="shared" si="47"/>
        <v>16664.4744873138</v>
      </c>
      <c r="BR55" s="345">
        <f ca="1" t="shared" si="32"/>
        <v>15234.02083276302</v>
      </c>
      <c r="BS55" s="345">
        <f ca="1" t="shared" si="33"/>
        <v>1430.4536545507794</v>
      </c>
      <c r="BT55" s="307"/>
      <c r="BV55" s="375"/>
      <c r="BW55" s="311">
        <v>1989</v>
      </c>
      <c r="BX55" s="381">
        <f ca="1" t="shared" si="11"/>
        <v>16664.4744873138</v>
      </c>
      <c r="BY55" s="381">
        <f>IF(ISNUMBER(INDEX(TARGET_SHIPMENTS,MATCH($BV$2,HVAC_SYSTEMS,0),MATCH(BW55,TARGET_SHIPMENT_YEARS,0))),INDEX(TARGET_SHIPMENTS,MATCH($BV$2,HVAC_SYSTEMS,0),MATCH(BW55,TARGET_SHIPMENT_YEARS,0)),0)*'AHRI Shipments'!$J$10</f>
        <v>0</v>
      </c>
      <c r="BZ55" s="360">
        <f ca="1" t="shared" si="12"/>
        <v>0</v>
      </c>
      <c r="CA55" s="373"/>
    </row>
    <row r="56" spans="2:79" ht="12.75">
      <c r="B56" s="343"/>
      <c r="C56" s="311">
        <v>1990</v>
      </c>
      <c r="D56" s="345">
        <f t="shared" si="13"/>
        <v>2865182.582943837</v>
      </c>
      <c r="E56" s="345">
        <f t="shared" si="14"/>
        <v>52299.2</v>
      </c>
      <c r="F56" s="345">
        <f t="shared" si="15"/>
        <v>2911669.734817315</v>
      </c>
      <c r="G56" s="344"/>
      <c r="H56" s="12"/>
      <c r="I56" s="339"/>
      <c r="J56" s="311">
        <v>1990</v>
      </c>
      <c r="K56" s="346">
        <f t="shared" si="23"/>
        <v>0.0506040989007861</v>
      </c>
      <c r="L56" s="347">
        <f t="shared" si="34"/>
        <v>147342.42322712103</v>
      </c>
      <c r="M56" s="351">
        <f t="shared" si="35"/>
        <v>0.016224847990564895</v>
      </c>
      <c r="N56" s="340"/>
      <c r="O56" s="15"/>
      <c r="P56" s="325"/>
      <c r="Q56" s="311">
        <v>1990</v>
      </c>
      <c r="R56" s="352">
        <f ca="1">E56*FORECAST(Q56,OFFSET('Saturations and Allocations'!$C$13,1,MATCH(B$6,SATURATIONS_HOUSING_TYPE,0)-1+MATCH(B$2,HVAC_SYSTEMS,0),2,1),'Saturations and Allocations'!$C$14:$C$15)</f>
        <v>5229.92</v>
      </c>
      <c r="S56" s="347">
        <f ca="1" t="shared" si="24"/>
        <v>1255.0719565648658</v>
      </c>
      <c r="T56" s="347">
        <f ca="1" t="shared" si="36"/>
        <v>8455.531988202723</v>
      </c>
      <c r="U56" s="347">
        <f ca="1" t="shared" si="37"/>
        <v>14940.523944767589</v>
      </c>
      <c r="V56" s="347">
        <f ca="1" t="shared" si="38"/>
        <v>13685.451988202723</v>
      </c>
      <c r="W56" s="347">
        <f ca="1" t="shared" si="39"/>
        <v>1255.0719565648658</v>
      </c>
      <c r="X56" s="307"/>
      <c r="Z56" s="343"/>
      <c r="AA56" s="311">
        <v>1990</v>
      </c>
      <c r="AB56" s="345">
        <f t="shared" si="16"/>
        <v>338942.84263268526</v>
      </c>
      <c r="AC56" s="345">
        <f t="shared" si="17"/>
        <v>11875</v>
      </c>
      <c r="AD56" s="345">
        <f t="shared" si="18"/>
        <v>348146.35418278835</v>
      </c>
      <c r="AE56" s="344"/>
      <c r="AF56" s="12"/>
      <c r="AG56" s="339"/>
      <c r="AH56" s="311">
        <v>1990</v>
      </c>
      <c r="AI56" s="346">
        <f t="shared" si="25"/>
        <v>0.06708825123596007</v>
      </c>
      <c r="AJ56" s="347">
        <f t="shared" si="40"/>
        <v>23356.530076298444</v>
      </c>
      <c r="AK56" s="351">
        <f t="shared" si="41"/>
        <v>0.027153579873869793</v>
      </c>
      <c r="AL56" s="340"/>
      <c r="AM56" s="15"/>
      <c r="AN56" s="325"/>
      <c r="AO56" s="311">
        <v>1990</v>
      </c>
      <c r="AP56" s="352">
        <f ca="1">AC56*FORECAST(AO56,OFFSET('Saturations and Allocations'!$C$13,1,MATCH(Z$6,SATURATIONS_HOUSING_TYPE,0)-1+MATCH(Z$2,HVAC_SYSTEMS,0),2,1),'Saturations and Allocations'!$C$14:$C$15)</f>
        <v>1187.5</v>
      </c>
      <c r="AQ56" s="347">
        <f ca="1" t="shared" si="26"/>
        <v>175.38169798591355</v>
      </c>
      <c r="AR56" s="347">
        <f ca="1" t="shared" si="42"/>
        <v>1207.3274266388253</v>
      </c>
      <c r="AS56" s="347">
        <f ca="1" t="shared" si="43"/>
        <v>2570.2091246247387</v>
      </c>
      <c r="AT56" s="347">
        <f ca="1" t="shared" si="44"/>
        <v>2394.8274266388253</v>
      </c>
      <c r="AU56" s="347">
        <f ca="1" t="shared" si="45"/>
        <v>175.38169798591355</v>
      </c>
      <c r="AV56" s="307"/>
      <c r="AX56" s="343"/>
      <c r="AY56" s="311">
        <v>1990</v>
      </c>
      <c r="AZ56" s="345">
        <f t="shared" si="19"/>
        <v>3204125.4255765225</v>
      </c>
      <c r="BA56" s="345">
        <f t="shared" si="20"/>
        <v>64174.2</v>
      </c>
      <c r="BB56" s="345">
        <f t="shared" si="21"/>
        <v>3259816.089000103</v>
      </c>
      <c r="BC56" s="344"/>
      <c r="BD56" s="12"/>
      <c r="BE56" s="339"/>
      <c r="BF56" s="311">
        <v>1990</v>
      </c>
      <c r="BG56" s="346">
        <f t="shared" si="27"/>
        <v>0.05236459623578908</v>
      </c>
      <c r="BH56" s="345">
        <f t="shared" si="22"/>
        <v>170698.9533034195</v>
      </c>
      <c r="BI56" s="351">
        <f t="shared" si="46"/>
        <v>0.01738092490981691</v>
      </c>
      <c r="BJ56" s="340"/>
      <c r="BK56" s="15"/>
      <c r="BL56" s="325"/>
      <c r="BM56" s="311">
        <v>1990</v>
      </c>
      <c r="BN56" s="345">
        <f ca="1" t="shared" si="28"/>
        <v>6417.42</v>
      </c>
      <c r="BO56" s="345">
        <f ca="1" t="shared" si="29"/>
        <v>1430.4536545507794</v>
      </c>
      <c r="BP56" s="345">
        <f ca="1" t="shared" si="30"/>
        <v>9662.859414841549</v>
      </c>
      <c r="BQ56" s="345">
        <f ca="1" t="shared" si="47"/>
        <v>17510.73306939233</v>
      </c>
      <c r="BR56" s="345">
        <f ca="1" t="shared" si="32"/>
        <v>16080.279414841549</v>
      </c>
      <c r="BS56" s="345">
        <f ca="1" t="shared" si="33"/>
        <v>1430.4536545507794</v>
      </c>
      <c r="BT56" s="307"/>
      <c r="BV56" s="375"/>
      <c r="BW56" s="311">
        <v>1990</v>
      </c>
      <c r="BX56" s="381">
        <f ca="1" t="shared" si="11"/>
        <v>17510.73306939233</v>
      </c>
      <c r="BY56" s="381">
        <f>IF(ISNUMBER(INDEX(TARGET_SHIPMENTS,MATCH($BV$2,HVAC_SYSTEMS,0),MATCH(BW56,TARGET_SHIPMENT_YEARS,0))),INDEX(TARGET_SHIPMENTS,MATCH($BV$2,HVAC_SYSTEMS,0),MATCH(BW56,TARGET_SHIPMENT_YEARS,0)),0)*'AHRI Shipments'!$J$10</f>
        <v>0</v>
      </c>
      <c r="BZ56" s="360">
        <f ca="1" t="shared" si="12"/>
        <v>0</v>
      </c>
      <c r="CA56" s="373"/>
    </row>
    <row r="57" spans="2:79" ht="13.5" thickBot="1">
      <c r="B57" s="343"/>
      <c r="C57" s="311">
        <v>1991</v>
      </c>
      <c r="D57" s="345">
        <f t="shared" si="13"/>
        <v>2911669.734817315</v>
      </c>
      <c r="E57" s="345">
        <f t="shared" si="14"/>
        <v>45813.8</v>
      </c>
      <c r="F57" s="345">
        <f t="shared" si="15"/>
        <v>2951684.684581003</v>
      </c>
      <c r="G57" s="344"/>
      <c r="H57" s="12"/>
      <c r="I57" s="339"/>
      <c r="J57" s="311">
        <v>1991</v>
      </c>
      <c r="K57" s="346">
        <f t="shared" si="23"/>
        <v>0.054559522762653856</v>
      </c>
      <c r="L57" s="347">
        <f t="shared" si="34"/>
        <v>161042.507736574</v>
      </c>
      <c r="M57" s="351">
        <f t="shared" si="35"/>
        <v>0.013742956244382931</v>
      </c>
      <c r="N57" s="340"/>
      <c r="O57" s="15"/>
      <c r="P57" s="325"/>
      <c r="Q57" s="311">
        <v>1991</v>
      </c>
      <c r="R57" s="352">
        <f ca="1">E57*FORECAST(Q57,OFFSET('Saturations and Allocations'!$C$13,1,MATCH(B$6,SATURATIONS_HOUSING_TYPE,0)-1+MATCH(B$2,HVAC_SYSTEMS,0),2,1),'Saturations and Allocations'!$C$14:$C$15)</f>
        <v>4581.38</v>
      </c>
      <c r="S57" s="347">
        <f ca="1" t="shared" si="24"/>
        <v>1255.0719565648658</v>
      </c>
      <c r="T57" s="347">
        <f ca="1" t="shared" si="36"/>
        <v>9118.704509452979</v>
      </c>
      <c r="U57" s="347">
        <f ca="1" t="shared" si="37"/>
        <v>14955.156466017845</v>
      </c>
      <c r="V57" s="347">
        <f ca="1" t="shared" si="38"/>
        <v>13700.08450945298</v>
      </c>
      <c r="W57" s="347">
        <f ca="1" t="shared" si="39"/>
        <v>1255.0719565648658</v>
      </c>
      <c r="X57" s="307"/>
      <c r="Z57" s="343"/>
      <c r="AA57" s="311">
        <v>1991</v>
      </c>
      <c r="AB57" s="345">
        <f t="shared" si="16"/>
        <v>348146.35418278835</v>
      </c>
      <c r="AC57" s="345">
        <f t="shared" si="17"/>
        <v>11815</v>
      </c>
      <c r="AD57" s="345">
        <f t="shared" si="18"/>
        <v>357318.41589383007</v>
      </c>
      <c r="AE57" s="344"/>
      <c r="AF57" s="12"/>
      <c r="AG57" s="339"/>
      <c r="AH57" s="311">
        <v>1991</v>
      </c>
      <c r="AI57" s="346">
        <f t="shared" si="25"/>
        <v>0.07233214403424704</v>
      </c>
      <c r="AJ57" s="347">
        <f t="shared" si="40"/>
        <v>25845.607124521503</v>
      </c>
      <c r="AK57" s="351">
        <f t="shared" si="41"/>
        <v>0.026345419392862723</v>
      </c>
      <c r="AL57" s="340"/>
      <c r="AM57" s="15"/>
      <c r="AN57" s="325"/>
      <c r="AO57" s="311">
        <v>1991</v>
      </c>
      <c r="AP57" s="352">
        <f ca="1">AC57*FORECAST(AO57,OFFSET('Saturations and Allocations'!$C$13,1,MATCH(Z$6,SATURATIONS_HOUSING_TYPE,0)-1+MATCH(Z$2,HVAC_SYSTEMS,0),2,1),'Saturations and Allocations'!$C$14:$C$15)</f>
        <v>1181.5</v>
      </c>
      <c r="AQ57" s="347">
        <f ca="1" t="shared" si="26"/>
        <v>175.38169798591355</v>
      </c>
      <c r="AR57" s="347">
        <f ca="1" t="shared" si="42"/>
        <v>1307.5770482230582</v>
      </c>
      <c r="AS57" s="347">
        <f ca="1" t="shared" si="43"/>
        <v>2664.4587462089717</v>
      </c>
      <c r="AT57" s="347">
        <f ca="1" t="shared" si="44"/>
        <v>2489.0770482230582</v>
      </c>
      <c r="AU57" s="347">
        <f ca="1" t="shared" si="45"/>
        <v>175.38169798591355</v>
      </c>
      <c r="AV57" s="307"/>
      <c r="AX57" s="343"/>
      <c r="AY57" s="311">
        <v>1991</v>
      </c>
      <c r="AZ57" s="345">
        <f t="shared" si="19"/>
        <v>3259816.089000103</v>
      </c>
      <c r="BA57" s="345">
        <f t="shared" si="20"/>
        <v>57628.8</v>
      </c>
      <c r="BB57" s="345">
        <f t="shared" si="21"/>
        <v>3309003.100474833</v>
      </c>
      <c r="BC57" s="344"/>
      <c r="BD57" s="12"/>
      <c r="BE57" s="339"/>
      <c r="BF57" s="311">
        <v>1991</v>
      </c>
      <c r="BG57" s="346">
        <f t="shared" si="27"/>
        <v>0.05647867626182568</v>
      </c>
      <c r="BH57" s="345">
        <f t="shared" si="22"/>
        <v>186888.11486109553</v>
      </c>
      <c r="BI57" s="351">
        <f t="shared" si="46"/>
        <v>0.015088891560694595</v>
      </c>
      <c r="BJ57" s="340"/>
      <c r="BK57" s="15"/>
      <c r="BL57" s="325"/>
      <c r="BM57" s="311">
        <v>1991</v>
      </c>
      <c r="BN57" s="345">
        <f ca="1" t="shared" si="28"/>
        <v>5762.88</v>
      </c>
      <c r="BO57" s="345">
        <f ca="1" t="shared" si="29"/>
        <v>1430.4536545507794</v>
      </c>
      <c r="BP57" s="345">
        <f ca="1" t="shared" si="30"/>
        <v>10426.281557676037</v>
      </c>
      <c r="BQ57" s="345">
        <f ca="1" t="shared" si="47"/>
        <v>17619.615212226818</v>
      </c>
      <c r="BR57" s="345">
        <f ca="1" t="shared" si="32"/>
        <v>16189.161557676038</v>
      </c>
      <c r="BS57" s="345">
        <f ca="1" t="shared" si="33"/>
        <v>1430.4536545507794</v>
      </c>
      <c r="BT57" s="307"/>
      <c r="BV57" s="375"/>
      <c r="BW57" s="311">
        <v>1991</v>
      </c>
      <c r="BX57" s="381">
        <f ca="1" t="shared" si="11"/>
        <v>17619.615212226818</v>
      </c>
      <c r="BY57" s="381">
        <f>IF(ISNUMBER(INDEX(TARGET_SHIPMENTS,MATCH($BV$2,HVAC_SYSTEMS,0),MATCH(BW57,TARGET_SHIPMENT_YEARS,0))),INDEX(TARGET_SHIPMENTS,MATCH($BV$2,HVAC_SYSTEMS,0),MATCH(BW57,TARGET_SHIPMENT_YEARS,0)),0)*'AHRI Shipments'!$J$10</f>
        <v>0</v>
      </c>
      <c r="BZ57" s="360">
        <f ca="1" t="shared" si="12"/>
        <v>0</v>
      </c>
      <c r="CA57" s="373"/>
    </row>
    <row r="58" spans="2:79" ht="13.5" thickBot="1">
      <c r="B58" s="343"/>
      <c r="C58" s="311">
        <v>1992</v>
      </c>
      <c r="D58" s="345">
        <f t="shared" si="13"/>
        <v>2951684.684581003</v>
      </c>
      <c r="E58" s="345">
        <f t="shared" si="14"/>
        <v>56749.3</v>
      </c>
      <c r="F58" s="345">
        <f t="shared" si="15"/>
        <v>3002648.30226538</v>
      </c>
      <c r="G58" s="344"/>
      <c r="H58" s="12"/>
      <c r="I58" s="339"/>
      <c r="J58" s="311">
        <v>1992</v>
      </c>
      <c r="K58" s="349">
        <f>INDEX(SATURATIONS_TABLE,MATCH(J58,SATURATIONS_YEARS,0),MATCH(B$6,SATURATIONS_HOUSING_TYPE,0)-1+MATCH(B$2,HVAC_SYSTEMS,0))</f>
        <v>0.05851494662452086</v>
      </c>
      <c r="L58" s="347">
        <f t="shared" si="34"/>
        <v>175699.8051392669</v>
      </c>
      <c r="M58" s="351">
        <f t="shared" si="35"/>
        <v>0.017265942378805077</v>
      </c>
      <c r="N58" s="340"/>
      <c r="O58" s="15"/>
      <c r="P58" s="325"/>
      <c r="Q58" s="311">
        <v>1992</v>
      </c>
      <c r="R58" s="352">
        <f ca="1">E58*FORECAST(Q58,OFFSET('Saturations and Allocations'!$C$13,1,MATCH(B$6,SATURATIONS_HOUSING_TYPE,0)-1+MATCH(B$2,HVAC_SYSTEMS,0),2,1),'Saturations and Allocations'!$C$14:$C$15)</f>
        <v>5674.93</v>
      </c>
      <c r="S58" s="347">
        <f ca="1" t="shared" si="24"/>
        <v>1255.0719565648658</v>
      </c>
      <c r="T58" s="347">
        <f ca="1" t="shared" si="36"/>
        <v>8982.367402692871</v>
      </c>
      <c r="U58" s="347">
        <f ca="1" t="shared" si="37"/>
        <v>15912.369359257737</v>
      </c>
      <c r="V58" s="347">
        <f ca="1" t="shared" si="38"/>
        <v>14657.297402692871</v>
      </c>
      <c r="W58" s="347">
        <f ca="1" t="shared" si="39"/>
        <v>1255.0719565648658</v>
      </c>
      <c r="X58" s="307"/>
      <c r="Z58" s="343"/>
      <c r="AA58" s="311">
        <v>1992</v>
      </c>
      <c r="AB58" s="345">
        <f t="shared" si="16"/>
        <v>357318.41589383007</v>
      </c>
      <c r="AC58" s="345">
        <f t="shared" si="17"/>
        <v>13784</v>
      </c>
      <c r="AD58" s="345">
        <f t="shared" si="18"/>
        <v>368487.72265062656</v>
      </c>
      <c r="AE58" s="344"/>
      <c r="AF58" s="12"/>
      <c r="AG58" s="339"/>
      <c r="AH58" s="311">
        <v>1992</v>
      </c>
      <c r="AI58" s="349">
        <f>INDEX(SATURATIONS_TABLE,MATCH(AH58,SATURATIONS_YEARS,0),MATCH(Z$6,SATURATIONS_HOUSING_TYPE,0)-1+MATCH(Z$2,HVAC_SYSTEMS,0))</f>
        <v>0.07757603683253539</v>
      </c>
      <c r="AJ58" s="347">
        <f t="shared" si="40"/>
        <v>28585.817144682092</v>
      </c>
      <c r="AK58" s="351">
        <f t="shared" si="41"/>
        <v>0.031258693255024506</v>
      </c>
      <c r="AL58" s="340"/>
      <c r="AM58" s="15"/>
      <c r="AN58" s="325"/>
      <c r="AO58" s="311">
        <v>1992</v>
      </c>
      <c r="AP58" s="352">
        <f ca="1">AC58*FORECAST(AO58,OFFSET('Saturations and Allocations'!$C$13,1,MATCH(Z$6,SATURATIONS_HOUSING_TYPE,0)-1+MATCH(Z$2,HVAC_SYSTEMS,0),2,1),'Saturations and Allocations'!$C$14:$C$15)</f>
        <v>1378.4</v>
      </c>
      <c r="AQ58" s="347">
        <f ca="1" t="shared" si="26"/>
        <v>175.38169798591355</v>
      </c>
      <c r="AR58" s="347">
        <f ca="1" t="shared" si="42"/>
        <v>1361.8100201605898</v>
      </c>
      <c r="AS58" s="347">
        <f ca="1" t="shared" si="43"/>
        <v>2915.5917181465034</v>
      </c>
      <c r="AT58" s="347">
        <f ca="1" t="shared" si="44"/>
        <v>2740.21002016059</v>
      </c>
      <c r="AU58" s="347">
        <f ca="1" t="shared" si="45"/>
        <v>175.38169798591355</v>
      </c>
      <c r="AV58" s="307"/>
      <c r="AX58" s="343"/>
      <c r="AY58" s="311">
        <v>1992</v>
      </c>
      <c r="AZ58" s="345">
        <f t="shared" si="19"/>
        <v>3309003.100474833</v>
      </c>
      <c r="BA58" s="345">
        <f t="shared" si="20"/>
        <v>70533.3</v>
      </c>
      <c r="BB58" s="345">
        <f t="shared" si="21"/>
        <v>3371136.0249160067</v>
      </c>
      <c r="BC58" s="344"/>
      <c r="BD58" s="12"/>
      <c r="BE58" s="339"/>
      <c r="BF58" s="311">
        <v>1992</v>
      </c>
      <c r="BG58" s="346">
        <f t="shared" si="27"/>
        <v>0.06059845131554395</v>
      </c>
      <c r="BH58" s="345">
        <f t="shared" si="22"/>
        <v>204285.622283949</v>
      </c>
      <c r="BI58" s="351">
        <f t="shared" si="46"/>
        <v>0.018776931466838898</v>
      </c>
      <c r="BJ58" s="340"/>
      <c r="BK58" s="15"/>
      <c r="BL58" s="325"/>
      <c r="BM58" s="311">
        <v>1992</v>
      </c>
      <c r="BN58" s="345">
        <f ca="1" t="shared" si="28"/>
        <v>7053.33</v>
      </c>
      <c r="BO58" s="345">
        <f ca="1" t="shared" si="29"/>
        <v>1430.4536545507794</v>
      </c>
      <c r="BP58" s="345">
        <f ca="1" t="shared" si="30"/>
        <v>10344.177422853461</v>
      </c>
      <c r="BQ58" s="345">
        <f ca="1" t="shared" si="47"/>
        <v>18827.96107740424</v>
      </c>
      <c r="BR58" s="345">
        <f ca="1" t="shared" si="32"/>
        <v>17397.50742285346</v>
      </c>
      <c r="BS58" s="345">
        <f ca="1" t="shared" si="33"/>
        <v>1430.4536545507794</v>
      </c>
      <c r="BT58" s="307"/>
      <c r="BV58" s="375"/>
      <c r="BW58" s="311">
        <v>1992</v>
      </c>
      <c r="BX58" s="381">
        <f ca="1" t="shared" si="11"/>
        <v>18827.96107740424</v>
      </c>
      <c r="BY58" s="381">
        <f>IF(ISNUMBER(INDEX(TARGET_SHIPMENTS,MATCH($BV$2,HVAC_SYSTEMS,0),MATCH(BW58,TARGET_SHIPMENT_YEARS,0))),INDEX(TARGET_SHIPMENTS,MATCH($BV$2,HVAC_SYSTEMS,0),MATCH(BW58,TARGET_SHIPMENT_YEARS,0)),0)*'AHRI Shipments'!$J$10</f>
        <v>0</v>
      </c>
      <c r="BZ58" s="360">
        <f ca="1" t="shared" si="12"/>
        <v>0</v>
      </c>
      <c r="CA58" s="373"/>
    </row>
    <row r="59" spans="2:79" ht="12.75">
      <c r="B59" s="343"/>
      <c r="C59" s="311">
        <v>1993</v>
      </c>
      <c r="D59" s="345">
        <f t="shared" si="13"/>
        <v>3002648.30226538</v>
      </c>
      <c r="E59" s="345">
        <f t="shared" si="14"/>
        <v>62971.3</v>
      </c>
      <c r="F59" s="345">
        <f t="shared" si="15"/>
        <v>3059847.0579689774</v>
      </c>
      <c r="G59" s="344"/>
      <c r="H59" s="12"/>
      <c r="I59" s="339"/>
      <c r="J59" s="311">
        <v>1993</v>
      </c>
      <c r="K59" s="346">
        <f>(K$77-K$58)/(J$77-J$58)+K58</f>
        <v>0.06247037048638818</v>
      </c>
      <c r="L59" s="347">
        <f t="shared" si="34"/>
        <v>191149.7793430069</v>
      </c>
      <c r="M59" s="351">
        <f t="shared" si="35"/>
        <v>0.0190494356799773</v>
      </c>
      <c r="N59" s="340"/>
      <c r="O59" s="15"/>
      <c r="P59" s="325"/>
      <c r="Q59" s="311">
        <v>1993</v>
      </c>
      <c r="R59" s="352">
        <f ca="1">E59*FORECAST(Q59,OFFSET('Saturations and Allocations'!$C$13,1,MATCH(B$6,SATURATIONS_HOUSING_TYPE,0)-1+MATCH(B$2,HVAC_SYSTEMS,0),2,1),'Saturations and Allocations'!$C$14:$C$15)</f>
        <v>6297.130000000001</v>
      </c>
      <c r="S59" s="347">
        <f ca="1" t="shared" si="24"/>
        <v>1255.0719565648658</v>
      </c>
      <c r="T59" s="347">
        <f ca="1" t="shared" si="36"/>
        <v>9152.844203740013</v>
      </c>
      <c r="U59" s="347">
        <f ca="1" t="shared" si="37"/>
        <v>16705.04616030488</v>
      </c>
      <c r="V59" s="347">
        <f ca="1" t="shared" si="38"/>
        <v>15449.974203740014</v>
      </c>
      <c r="W59" s="347">
        <f ca="1" t="shared" si="39"/>
        <v>1255.0719565648658</v>
      </c>
      <c r="X59" s="307"/>
      <c r="Z59" s="343"/>
      <c r="AA59" s="311">
        <v>1993</v>
      </c>
      <c r="AB59" s="345">
        <f t="shared" si="16"/>
        <v>368487.72265062656</v>
      </c>
      <c r="AC59" s="345">
        <f t="shared" si="17"/>
        <v>17535</v>
      </c>
      <c r="AD59" s="345">
        <f t="shared" si="18"/>
        <v>383435.97259875573</v>
      </c>
      <c r="AE59" s="344"/>
      <c r="AF59" s="12"/>
      <c r="AG59" s="339"/>
      <c r="AH59" s="311">
        <v>1993</v>
      </c>
      <c r="AI59" s="346">
        <f>(AI$77-AI$58)/(AH$77-AH$58)+AI58</f>
        <v>0.082819929630823</v>
      </c>
      <c r="AJ59" s="347">
        <f t="shared" si="40"/>
        <v>31756.14026855513</v>
      </c>
      <c r="AK59" s="351">
        <f t="shared" si="41"/>
        <v>0.04056648031745147</v>
      </c>
      <c r="AL59" s="340"/>
      <c r="AM59" s="15"/>
      <c r="AN59" s="325"/>
      <c r="AO59" s="311">
        <v>1993</v>
      </c>
      <c r="AP59" s="352">
        <f ca="1">AC59*FORECAST(AO59,OFFSET('Saturations and Allocations'!$C$13,1,MATCH(Z$6,SATURATIONS_HOUSING_TYPE,0)-1+MATCH(Z$2,HVAC_SYSTEMS,0),2,1),'Saturations and Allocations'!$C$14:$C$15)</f>
        <v>1753.5</v>
      </c>
      <c r="AQ59" s="347">
        <f ca="1" t="shared" si="26"/>
        <v>175.38169798591355</v>
      </c>
      <c r="AR59" s="347">
        <f ca="1" t="shared" si="42"/>
        <v>1416.8231238730368</v>
      </c>
      <c r="AS59" s="347">
        <f ca="1" t="shared" si="43"/>
        <v>3345.7048218589503</v>
      </c>
      <c r="AT59" s="347">
        <f ca="1" t="shared" si="44"/>
        <v>3170.323123873037</v>
      </c>
      <c r="AU59" s="347">
        <f ca="1" t="shared" si="45"/>
        <v>175.38169798591355</v>
      </c>
      <c r="AV59" s="307"/>
      <c r="AX59" s="343"/>
      <c r="AY59" s="311">
        <v>1993</v>
      </c>
      <c r="AZ59" s="345">
        <f t="shared" si="19"/>
        <v>3371136.0249160067</v>
      </c>
      <c r="BA59" s="345">
        <f t="shared" si="20"/>
        <v>80506.3</v>
      </c>
      <c r="BB59" s="345">
        <f t="shared" si="21"/>
        <v>3443283.030567733</v>
      </c>
      <c r="BC59" s="344"/>
      <c r="BD59" s="12"/>
      <c r="BE59" s="339"/>
      <c r="BF59" s="311">
        <v>1993</v>
      </c>
      <c r="BG59" s="346">
        <f t="shared" si="27"/>
        <v>0.06473644996148023</v>
      </c>
      <c r="BH59" s="345">
        <f t="shared" si="22"/>
        <v>222905.91961156204</v>
      </c>
      <c r="BI59" s="351">
        <f t="shared" si="46"/>
        <v>0.021401392622097948</v>
      </c>
      <c r="BJ59" s="340"/>
      <c r="BK59" s="15"/>
      <c r="BL59" s="325"/>
      <c r="BM59" s="311">
        <v>1993</v>
      </c>
      <c r="BN59" s="345">
        <f ca="1" t="shared" si="28"/>
        <v>8050.630000000001</v>
      </c>
      <c r="BO59" s="345">
        <f ca="1" t="shared" si="29"/>
        <v>1430.4536545507794</v>
      </c>
      <c r="BP59" s="345">
        <f ca="1" t="shared" si="30"/>
        <v>10569.66732761305</v>
      </c>
      <c r="BQ59" s="345">
        <f ca="1" t="shared" si="47"/>
        <v>20050.75098216383</v>
      </c>
      <c r="BR59" s="345">
        <f ca="1" t="shared" si="32"/>
        <v>18620.29732761305</v>
      </c>
      <c r="BS59" s="345">
        <f ca="1" t="shared" si="33"/>
        <v>1430.4536545507794</v>
      </c>
      <c r="BT59" s="307"/>
      <c r="BV59" s="375"/>
      <c r="BW59" s="311">
        <v>1993</v>
      </c>
      <c r="BX59" s="381">
        <f ca="1" t="shared" si="11"/>
        <v>20050.75098216383</v>
      </c>
      <c r="BY59" s="381">
        <f>IF(ISNUMBER(INDEX(TARGET_SHIPMENTS,MATCH($BV$2,HVAC_SYSTEMS,0),MATCH(BW59,TARGET_SHIPMENT_YEARS,0))),INDEX(TARGET_SHIPMENTS,MATCH($BV$2,HVAC_SYSTEMS,0),MATCH(BW59,TARGET_SHIPMENT_YEARS,0)),0)*'AHRI Shipments'!$J$10</f>
        <v>0</v>
      </c>
      <c r="BZ59" s="360">
        <f ca="1" t="shared" si="12"/>
        <v>0</v>
      </c>
      <c r="CA59" s="373"/>
    </row>
    <row r="60" spans="2:79" ht="12.75">
      <c r="B60" s="343"/>
      <c r="C60" s="311">
        <v>1994</v>
      </c>
      <c r="D60" s="345">
        <f t="shared" si="13"/>
        <v>3059847.0579689774</v>
      </c>
      <c r="E60" s="345">
        <f t="shared" si="14"/>
        <v>66755.1</v>
      </c>
      <c r="F60" s="345">
        <f t="shared" si="15"/>
        <v>3120842.721858227</v>
      </c>
      <c r="G60" s="344"/>
      <c r="H60" s="12"/>
      <c r="I60" s="339"/>
      <c r="J60" s="311">
        <v>1994</v>
      </c>
      <c r="K60" s="346">
        <f aca="true" t="shared" si="48" ref="K60:K76">(K$77-K$58)/(J$77-J$58)+K59</f>
        <v>0.0664257943482555</v>
      </c>
      <c r="L60" s="347">
        <f t="shared" si="34"/>
        <v>207304.45683540456</v>
      </c>
      <c r="M60" s="351">
        <f t="shared" si="35"/>
        <v>0.019934219826574173</v>
      </c>
      <c r="N60" s="340"/>
      <c r="O60" s="15"/>
      <c r="P60" s="325"/>
      <c r="Q60" s="311">
        <v>1994</v>
      </c>
      <c r="R60" s="352">
        <f ca="1">E60*FORECAST(Q60,OFFSET('Saturations and Allocations'!$C$13,1,MATCH(B$6,SATURATIONS_HOUSING_TYPE,0)-1+MATCH(B$2,HVAC_SYSTEMS,0),2,1),'Saturations and Allocations'!$C$14:$C$15)</f>
        <v>6675.510000000001</v>
      </c>
      <c r="S60" s="347">
        <f ca="1" t="shared" si="24"/>
        <v>1255.0719565648658</v>
      </c>
      <c r="T60" s="347">
        <f ca="1" t="shared" si="36"/>
        <v>9479.16749239766</v>
      </c>
      <c r="U60" s="347">
        <f ca="1" t="shared" si="37"/>
        <v>17409.749448962528</v>
      </c>
      <c r="V60" s="347">
        <f ca="1" t="shared" si="38"/>
        <v>16154.677492397663</v>
      </c>
      <c r="W60" s="347">
        <f ca="1" t="shared" si="39"/>
        <v>1255.0719565648658</v>
      </c>
      <c r="X60" s="307"/>
      <c r="Z60" s="343"/>
      <c r="AA60" s="311">
        <v>1994</v>
      </c>
      <c r="AB60" s="345">
        <f t="shared" si="16"/>
        <v>383435.97259875573</v>
      </c>
      <c r="AC60" s="345">
        <f t="shared" si="17"/>
        <v>20512</v>
      </c>
      <c r="AD60" s="345">
        <f t="shared" si="18"/>
        <v>401388.8671097097</v>
      </c>
      <c r="AE60" s="344"/>
      <c r="AF60" s="12"/>
      <c r="AG60" s="339"/>
      <c r="AH60" s="311">
        <v>1994</v>
      </c>
      <c r="AI60" s="346">
        <f aca="true" t="shared" si="49" ref="AI60:AI76">(AI$77-AI$58)/(AH$77-AH$58)+AI59</f>
        <v>0.08806382242911062</v>
      </c>
      <c r="AJ60" s="347">
        <f t="shared" si="40"/>
        <v>35347.83791817135</v>
      </c>
      <c r="AK60" s="351">
        <f t="shared" si="41"/>
        <v>0.04682110128916017</v>
      </c>
      <c r="AL60" s="340"/>
      <c r="AM60" s="15"/>
      <c r="AN60" s="325"/>
      <c r="AO60" s="311">
        <v>1994</v>
      </c>
      <c r="AP60" s="352">
        <f ca="1">AC60*FORECAST(AO60,OFFSET('Saturations and Allocations'!$C$13,1,MATCH(Z$6,SATURATIONS_HOUSING_TYPE,0)-1+MATCH(Z$2,HVAC_SYSTEMS,0),2,1),'Saturations and Allocations'!$C$14:$C$15)</f>
        <v>2051.2000000000003</v>
      </c>
      <c r="AQ60" s="347">
        <f ca="1" t="shared" si="26"/>
        <v>175.38169798591355</v>
      </c>
      <c r="AR60" s="347">
        <f ca="1" t="shared" si="42"/>
        <v>1540.497649616224</v>
      </c>
      <c r="AS60" s="347">
        <f ca="1" t="shared" si="43"/>
        <v>3767.0793476021377</v>
      </c>
      <c r="AT60" s="347">
        <f ca="1" t="shared" si="44"/>
        <v>3591.697649616224</v>
      </c>
      <c r="AU60" s="347">
        <f ca="1" t="shared" si="45"/>
        <v>175.38169798591355</v>
      </c>
      <c r="AV60" s="307"/>
      <c r="AX60" s="343"/>
      <c r="AY60" s="311">
        <v>1994</v>
      </c>
      <c r="AZ60" s="345">
        <f t="shared" si="19"/>
        <v>3443283.030567733</v>
      </c>
      <c r="BA60" s="345">
        <f t="shared" si="20"/>
        <v>87267.1</v>
      </c>
      <c r="BB60" s="345">
        <f t="shared" si="21"/>
        <v>3522231.588967937</v>
      </c>
      <c r="BC60" s="344"/>
      <c r="BD60" s="12"/>
      <c r="BE60" s="339"/>
      <c r="BF60" s="311">
        <v>1994</v>
      </c>
      <c r="BG60" s="346">
        <f t="shared" si="27"/>
        <v>0.06889163549426812</v>
      </c>
      <c r="BH60" s="345">
        <f t="shared" si="22"/>
        <v>242652.29475357593</v>
      </c>
      <c r="BI60" s="351">
        <f t="shared" si="46"/>
        <v>0.022928280277670687</v>
      </c>
      <c r="BJ60" s="340"/>
      <c r="BK60" s="15"/>
      <c r="BL60" s="325"/>
      <c r="BM60" s="311">
        <v>1994</v>
      </c>
      <c r="BN60" s="345">
        <f ca="1" t="shared" si="28"/>
        <v>8726.710000000001</v>
      </c>
      <c r="BO60" s="345">
        <f ca="1" t="shared" si="29"/>
        <v>1430.4536545507794</v>
      </c>
      <c r="BP60" s="345">
        <f ca="1" t="shared" si="30"/>
        <v>11019.665142013884</v>
      </c>
      <c r="BQ60" s="345">
        <f ca="1" t="shared" si="47"/>
        <v>21176.828796564667</v>
      </c>
      <c r="BR60" s="345">
        <f ca="1" t="shared" si="32"/>
        <v>19746.375142013887</v>
      </c>
      <c r="BS60" s="345">
        <f ca="1" t="shared" si="33"/>
        <v>1430.4536545507794</v>
      </c>
      <c r="BT60" s="307"/>
      <c r="BV60" s="375"/>
      <c r="BW60" s="311">
        <v>1994</v>
      </c>
      <c r="BX60" s="381">
        <f ca="1" t="shared" si="11"/>
        <v>21176.828796564667</v>
      </c>
      <c r="BY60" s="381">
        <f>IF(ISNUMBER(INDEX(TARGET_SHIPMENTS,MATCH($BV$2,HVAC_SYSTEMS,0),MATCH(BW60,TARGET_SHIPMENT_YEARS,0))),INDEX(TARGET_SHIPMENTS,MATCH($BV$2,HVAC_SYSTEMS,0),MATCH(BW60,TARGET_SHIPMENT_YEARS,0)),0)*'AHRI Shipments'!$J$10</f>
        <v>0</v>
      </c>
      <c r="BZ60" s="360">
        <f ca="1" t="shared" si="12"/>
        <v>0</v>
      </c>
      <c r="CA60" s="373"/>
    </row>
    <row r="61" spans="2:79" ht="12.75">
      <c r="B61" s="343"/>
      <c r="C61" s="311">
        <v>1995</v>
      </c>
      <c r="D61" s="345">
        <f t="shared" si="13"/>
        <v>3120842.721858227</v>
      </c>
      <c r="E61" s="345">
        <f t="shared" si="14"/>
        <v>59583.7</v>
      </c>
      <c r="F61" s="345">
        <f t="shared" si="15"/>
        <v>3174680.0641673063</v>
      </c>
      <c r="G61" s="344"/>
      <c r="H61" s="12"/>
      <c r="I61" s="339"/>
      <c r="J61" s="311">
        <v>1995</v>
      </c>
      <c r="K61" s="346">
        <f t="shared" si="48"/>
        <v>0.07038121821012283</v>
      </c>
      <c r="L61" s="347">
        <f t="shared" si="34"/>
        <v>223437.85034348594</v>
      </c>
      <c r="M61" s="351">
        <f t="shared" si="35"/>
        <v>0.017250898910094126</v>
      </c>
      <c r="N61" s="340"/>
      <c r="O61" s="15"/>
      <c r="P61" s="325"/>
      <c r="Q61" s="311">
        <v>1995</v>
      </c>
      <c r="R61" s="352">
        <f ca="1">E61*FORECAST(Q61,OFFSET('Saturations and Allocations'!$C$13,1,MATCH(B$6,SATURATIONS_HOUSING_TYPE,0)-1+MATCH(B$2,HVAC_SYSTEMS,0),2,1),'Saturations and Allocations'!$C$14:$C$15)</f>
        <v>5958.37</v>
      </c>
      <c r="S61" s="347">
        <f ca="1" t="shared" si="24"/>
        <v>1255.0719565648658</v>
      </c>
      <c r="T61" s="347">
        <f ca="1" t="shared" si="36"/>
        <v>10175.023508081384</v>
      </c>
      <c r="U61" s="347">
        <f ca="1" t="shared" si="37"/>
        <v>17388.46546464625</v>
      </c>
      <c r="V61" s="347">
        <f ca="1" t="shared" si="38"/>
        <v>16133.393508081383</v>
      </c>
      <c r="W61" s="347">
        <f ca="1" t="shared" si="39"/>
        <v>1255.0719565648658</v>
      </c>
      <c r="X61" s="307"/>
      <c r="Z61" s="343"/>
      <c r="AA61" s="311">
        <v>1995</v>
      </c>
      <c r="AB61" s="345">
        <f t="shared" si="16"/>
        <v>401388.8671097097</v>
      </c>
      <c r="AC61" s="345">
        <f t="shared" si="17"/>
        <v>19641</v>
      </c>
      <c r="AD61" s="345">
        <f t="shared" si="18"/>
        <v>418498.1107464194</v>
      </c>
      <c r="AE61" s="344"/>
      <c r="AF61" s="12"/>
      <c r="AG61" s="339"/>
      <c r="AH61" s="311">
        <v>1995</v>
      </c>
      <c r="AI61" s="346">
        <f t="shared" si="49"/>
        <v>0.09330771522739824</v>
      </c>
      <c r="AJ61" s="347">
        <f t="shared" si="40"/>
        <v>39049.10254073107</v>
      </c>
      <c r="AK61" s="351">
        <f t="shared" si="41"/>
        <v>0.04262510756690552</v>
      </c>
      <c r="AL61" s="340"/>
      <c r="AM61" s="15"/>
      <c r="AN61" s="325"/>
      <c r="AO61" s="311">
        <v>1995</v>
      </c>
      <c r="AP61" s="352">
        <f ca="1">AC61*FORECAST(AO61,OFFSET('Saturations and Allocations'!$C$13,1,MATCH(Z$6,SATURATIONS_HOUSING_TYPE,0)-1+MATCH(Z$2,HVAC_SYSTEMS,0),2,1),'Saturations and Allocations'!$C$14:$C$15)</f>
        <v>1964.1000000000001</v>
      </c>
      <c r="AQ61" s="347">
        <f ca="1" t="shared" si="26"/>
        <v>175.38169798591355</v>
      </c>
      <c r="AR61" s="347">
        <f ca="1" t="shared" si="42"/>
        <v>1737.1646225597199</v>
      </c>
      <c r="AS61" s="347">
        <f ca="1" t="shared" si="43"/>
        <v>3876.646320545634</v>
      </c>
      <c r="AT61" s="347">
        <f ca="1" t="shared" si="44"/>
        <v>3701.26462255972</v>
      </c>
      <c r="AU61" s="347">
        <f ca="1" t="shared" si="45"/>
        <v>175.38169798591355</v>
      </c>
      <c r="AV61" s="307"/>
      <c r="AX61" s="343"/>
      <c r="AY61" s="311">
        <v>1995</v>
      </c>
      <c r="AZ61" s="345">
        <f t="shared" si="19"/>
        <v>3522231.588967937</v>
      </c>
      <c r="BA61" s="345">
        <f t="shared" si="20"/>
        <v>79224.7</v>
      </c>
      <c r="BB61" s="345">
        <f t="shared" si="21"/>
        <v>3593178.174913726</v>
      </c>
      <c r="BC61" s="344"/>
      <c r="BD61" s="12"/>
      <c r="BE61" s="339"/>
      <c r="BF61" s="311">
        <v>1995</v>
      </c>
      <c r="BG61" s="346">
        <f t="shared" si="27"/>
        <v>0.07305147145688635</v>
      </c>
      <c r="BH61" s="345">
        <f t="shared" si="22"/>
        <v>262486.952884217</v>
      </c>
      <c r="BI61" s="351">
        <f t="shared" si="46"/>
        <v>0.020142510267638913</v>
      </c>
      <c r="BJ61" s="340"/>
      <c r="BK61" s="15"/>
      <c r="BL61" s="325"/>
      <c r="BM61" s="311">
        <v>1995</v>
      </c>
      <c r="BN61" s="345">
        <f ca="1" t="shared" si="28"/>
        <v>7922.47</v>
      </c>
      <c r="BO61" s="345">
        <f ca="1" t="shared" si="29"/>
        <v>1430.4536545507794</v>
      </c>
      <c r="BP61" s="345">
        <f ca="1" t="shared" si="30"/>
        <v>11912.188130641103</v>
      </c>
      <c r="BQ61" s="345">
        <f ca="1" t="shared" si="47"/>
        <v>21265.111785191886</v>
      </c>
      <c r="BR61" s="345">
        <f ca="1" t="shared" si="32"/>
        <v>19834.658130641103</v>
      </c>
      <c r="BS61" s="345">
        <f ca="1" t="shared" si="33"/>
        <v>1430.4536545507794</v>
      </c>
      <c r="BT61" s="307"/>
      <c r="BV61" s="375"/>
      <c r="BW61" s="311">
        <v>1995</v>
      </c>
      <c r="BX61" s="381">
        <f ca="1" t="shared" si="11"/>
        <v>21265.111785191886</v>
      </c>
      <c r="BY61" s="381">
        <f>IF(ISNUMBER(INDEX(TARGET_SHIPMENTS,MATCH($BV$2,HVAC_SYSTEMS,0),MATCH(BW61,TARGET_SHIPMENT_YEARS,0))),INDEX(TARGET_SHIPMENTS,MATCH($BV$2,HVAC_SYSTEMS,0),MATCH(BW61,TARGET_SHIPMENT_YEARS,0)),0)*'AHRI Shipments'!$J$10</f>
        <v>0</v>
      </c>
      <c r="BZ61" s="360">
        <f ca="1" t="shared" si="12"/>
        <v>0</v>
      </c>
      <c r="CA61" s="373"/>
    </row>
    <row r="62" spans="2:79" ht="12.75">
      <c r="B62" s="343"/>
      <c r="C62" s="311">
        <v>1996</v>
      </c>
      <c r="D62" s="345">
        <f t="shared" si="13"/>
        <v>3174680.0641673063</v>
      </c>
      <c r="E62" s="345">
        <f t="shared" si="14"/>
        <v>62109.7</v>
      </c>
      <c r="F62" s="345">
        <f t="shared" si="15"/>
        <v>3231056.4551979834</v>
      </c>
      <c r="G62" s="344"/>
      <c r="H62" s="12"/>
      <c r="I62" s="339"/>
      <c r="J62" s="311">
        <v>1996</v>
      </c>
      <c r="K62" s="346">
        <f t="shared" si="48"/>
        <v>0.07433664207199016</v>
      </c>
      <c r="L62" s="347">
        <f t="shared" si="34"/>
        <v>240185.8872244458</v>
      </c>
      <c r="M62" s="351">
        <f t="shared" si="35"/>
        <v>0.01775813306890317</v>
      </c>
      <c r="N62" s="340"/>
      <c r="O62" s="15"/>
      <c r="P62" s="325"/>
      <c r="Q62" s="311">
        <v>1996</v>
      </c>
      <c r="R62" s="352">
        <f ca="1">E62*FORECAST(Q62,OFFSET('Saturations and Allocations'!$C$13,1,MATCH(B$6,SATURATIONS_HOUSING_TYPE,0)-1+MATCH(B$2,HVAC_SYSTEMS,0),2,1),'Saturations and Allocations'!$C$14:$C$15)</f>
        <v>6210.97</v>
      </c>
      <c r="S62" s="347">
        <f ca="1" t="shared" si="24"/>
        <v>1255.0719565648658</v>
      </c>
      <c r="T62" s="347">
        <f ca="1" t="shared" si="36"/>
        <v>10537.066880959843</v>
      </c>
      <c r="U62" s="347">
        <f ca="1" t="shared" si="37"/>
        <v>18003.10883752471</v>
      </c>
      <c r="V62" s="347">
        <f ca="1" t="shared" si="38"/>
        <v>16748.036880959844</v>
      </c>
      <c r="W62" s="347">
        <f ca="1" t="shared" si="39"/>
        <v>1255.0719565648658</v>
      </c>
      <c r="X62" s="307"/>
      <c r="Z62" s="343"/>
      <c r="AA62" s="311">
        <v>1996</v>
      </c>
      <c r="AB62" s="345">
        <f t="shared" si="16"/>
        <v>418498.1107464194</v>
      </c>
      <c r="AC62" s="345">
        <f t="shared" si="17"/>
        <v>17125</v>
      </c>
      <c r="AD62" s="345">
        <f t="shared" si="18"/>
        <v>433118.4112291477</v>
      </c>
      <c r="AE62" s="344"/>
      <c r="AF62" s="12"/>
      <c r="AG62" s="339"/>
      <c r="AH62" s="311">
        <v>1996</v>
      </c>
      <c r="AI62" s="346">
        <f t="shared" si="49"/>
        <v>0.09855160802568586</v>
      </c>
      <c r="AJ62" s="347">
        <f t="shared" si="40"/>
        <v>42684.51589216278</v>
      </c>
      <c r="AK62" s="351">
        <f t="shared" si="41"/>
        <v>0.034935164836591426</v>
      </c>
      <c r="AL62" s="340"/>
      <c r="AM62" s="15"/>
      <c r="AN62" s="325"/>
      <c r="AO62" s="311">
        <v>1996</v>
      </c>
      <c r="AP62" s="352">
        <f ca="1">AC62*FORECAST(AO62,OFFSET('Saturations and Allocations'!$C$13,1,MATCH(Z$6,SATURATIONS_HOUSING_TYPE,0)-1+MATCH(Z$2,HVAC_SYSTEMS,0),2,1),'Saturations and Allocations'!$C$14:$C$15)</f>
        <v>1712.5</v>
      </c>
      <c r="AQ62" s="347">
        <f ca="1" t="shared" si="26"/>
        <v>175.38169798591355</v>
      </c>
      <c r="AR62" s="347">
        <f ca="1" t="shared" si="42"/>
        <v>1922.9133514317073</v>
      </c>
      <c r="AS62" s="347">
        <f ca="1" t="shared" si="43"/>
        <v>3810.7950494176207</v>
      </c>
      <c r="AT62" s="347">
        <f ca="1" t="shared" si="44"/>
        <v>3635.4133514317073</v>
      </c>
      <c r="AU62" s="347">
        <f ca="1" t="shared" si="45"/>
        <v>175.38169798591355</v>
      </c>
      <c r="AV62" s="307"/>
      <c r="AX62" s="343"/>
      <c r="AY62" s="311">
        <v>1996</v>
      </c>
      <c r="AZ62" s="345">
        <f t="shared" si="19"/>
        <v>3593178.174913726</v>
      </c>
      <c r="BA62" s="345">
        <f t="shared" si="20"/>
        <v>79234.7</v>
      </c>
      <c r="BB62" s="345">
        <f t="shared" si="21"/>
        <v>3664174.866427131</v>
      </c>
      <c r="BC62" s="344"/>
      <c r="BD62" s="12"/>
      <c r="BE62" s="339"/>
      <c r="BF62" s="311">
        <v>1996</v>
      </c>
      <c r="BG62" s="346">
        <f t="shared" si="27"/>
        <v>0.07719893657598013</v>
      </c>
      <c r="BH62" s="345">
        <f t="shared" si="22"/>
        <v>282870.40311660856</v>
      </c>
      <c r="BI62" s="351">
        <f t="shared" si="46"/>
        <v>0.01975874506003583</v>
      </c>
      <c r="BJ62" s="340"/>
      <c r="BK62" s="15"/>
      <c r="BL62" s="325"/>
      <c r="BM62" s="311">
        <v>1996</v>
      </c>
      <c r="BN62" s="345">
        <f ca="1" t="shared" si="28"/>
        <v>7923.47</v>
      </c>
      <c r="BO62" s="345">
        <f ca="1" t="shared" si="29"/>
        <v>1430.4536545507794</v>
      </c>
      <c r="BP62" s="345">
        <f ca="1" t="shared" si="30"/>
        <v>12459.98023239155</v>
      </c>
      <c r="BQ62" s="345">
        <f ca="1" t="shared" si="47"/>
        <v>21813.90388694233</v>
      </c>
      <c r="BR62" s="345">
        <f ca="1" t="shared" si="32"/>
        <v>20383.45023239155</v>
      </c>
      <c r="BS62" s="345">
        <f ca="1" t="shared" si="33"/>
        <v>1430.4536545507794</v>
      </c>
      <c r="BT62" s="307"/>
      <c r="BV62" s="375"/>
      <c r="BW62" s="311">
        <v>1996</v>
      </c>
      <c r="BX62" s="381">
        <f ca="1" t="shared" si="11"/>
        <v>21813.90388694233</v>
      </c>
      <c r="BY62" s="381">
        <f>IF(ISNUMBER(INDEX(TARGET_SHIPMENTS,MATCH($BV$2,HVAC_SYSTEMS,0),MATCH(BW62,TARGET_SHIPMENT_YEARS,0))),INDEX(TARGET_SHIPMENTS,MATCH($BV$2,HVAC_SYSTEMS,0),MATCH(BW62,TARGET_SHIPMENT_YEARS,0)),0)*'AHRI Shipments'!$J$10</f>
        <v>0</v>
      </c>
      <c r="BZ62" s="360">
        <f ca="1" t="shared" si="12"/>
        <v>0</v>
      </c>
      <c r="CA62" s="373"/>
    </row>
    <row r="63" spans="2:79" ht="12.75">
      <c r="B63" s="343"/>
      <c r="C63" s="311">
        <v>1997</v>
      </c>
      <c r="D63" s="345">
        <f t="shared" si="13"/>
        <v>3231056.4551979834</v>
      </c>
      <c r="E63" s="345">
        <f t="shared" si="14"/>
        <v>61718.1</v>
      </c>
      <c r="F63" s="345">
        <f t="shared" si="15"/>
        <v>3287054.265319465</v>
      </c>
      <c r="G63" s="344"/>
      <c r="H63" s="12"/>
      <c r="I63" s="339"/>
      <c r="J63" s="311">
        <v>1997</v>
      </c>
      <c r="K63" s="346">
        <f t="shared" si="48"/>
        <v>0.07829206593385749</v>
      </c>
      <c r="L63" s="347">
        <f t="shared" si="34"/>
        <v>257350.26926855906</v>
      </c>
      <c r="M63" s="351">
        <f t="shared" si="35"/>
        <v>0.017331114729176145</v>
      </c>
      <c r="N63" s="340"/>
      <c r="O63" s="15"/>
      <c r="P63" s="325"/>
      <c r="Q63" s="311">
        <v>1997</v>
      </c>
      <c r="R63" s="352">
        <f ca="1">E63*FORECAST(Q63,OFFSET('Saturations and Allocations'!$C$13,1,MATCH(B$6,SATURATIONS_HOUSING_TYPE,0)-1+MATCH(B$2,HVAC_SYSTEMS,0),2,1),'Saturations and Allocations'!$C$14:$C$15)</f>
        <v>6171.81</v>
      </c>
      <c r="S63" s="347">
        <f ca="1" t="shared" si="24"/>
        <v>1255.0719565648658</v>
      </c>
      <c r="T63" s="347">
        <f ca="1" t="shared" si="36"/>
        <v>10992.572044113269</v>
      </c>
      <c r="U63" s="347">
        <f ca="1" t="shared" si="37"/>
        <v>18419.454000678135</v>
      </c>
      <c r="V63" s="347">
        <f ca="1" t="shared" si="38"/>
        <v>17164.38204411327</v>
      </c>
      <c r="W63" s="347">
        <f ca="1" t="shared" si="39"/>
        <v>1255.0719565648658</v>
      </c>
      <c r="X63" s="307"/>
      <c r="Z63" s="343"/>
      <c r="AA63" s="311">
        <v>1997</v>
      </c>
      <c r="AB63" s="345">
        <f t="shared" si="16"/>
        <v>433118.4112291477</v>
      </c>
      <c r="AC63" s="345">
        <f t="shared" si="17"/>
        <v>17301</v>
      </c>
      <c r="AD63" s="345">
        <f t="shared" si="18"/>
        <v>447941.4794017471</v>
      </c>
      <c r="AE63" s="344"/>
      <c r="AF63" s="12"/>
      <c r="AG63" s="339"/>
      <c r="AH63" s="311">
        <v>1997</v>
      </c>
      <c r="AI63" s="346">
        <f t="shared" si="49"/>
        <v>0.10379550082397347</v>
      </c>
      <c r="AJ63" s="347">
        <f t="shared" si="40"/>
        <v>46494.310194335936</v>
      </c>
      <c r="AK63" s="351">
        <f t="shared" si="41"/>
        <v>0.03422405464254674</v>
      </c>
      <c r="AL63" s="340"/>
      <c r="AM63" s="15"/>
      <c r="AN63" s="325"/>
      <c r="AO63" s="311">
        <v>1997</v>
      </c>
      <c r="AP63" s="352">
        <f ca="1">AC63*FORECAST(AO63,OFFSET('Saturations and Allocations'!$C$13,1,MATCH(Z$6,SATURATIONS_HOUSING_TYPE,0)-1+MATCH(Z$2,HVAC_SYSTEMS,0),2,1),'Saturations and Allocations'!$C$14:$C$15)</f>
        <v>1730.1000000000001</v>
      </c>
      <c r="AQ63" s="347">
        <f ca="1" t="shared" si="26"/>
        <v>175.38169798591355</v>
      </c>
      <c r="AR63" s="347">
        <f ca="1" t="shared" si="42"/>
        <v>2079.694302173155</v>
      </c>
      <c r="AS63" s="347">
        <f ca="1" t="shared" si="43"/>
        <v>3985.1760001590687</v>
      </c>
      <c r="AT63" s="347">
        <f ca="1" t="shared" si="44"/>
        <v>3809.7943021731553</v>
      </c>
      <c r="AU63" s="347">
        <f ca="1" t="shared" si="45"/>
        <v>175.38169798591355</v>
      </c>
      <c r="AV63" s="307"/>
      <c r="AX63" s="343"/>
      <c r="AY63" s="311">
        <v>1997</v>
      </c>
      <c r="AZ63" s="345">
        <f t="shared" si="19"/>
        <v>3664174.866427131</v>
      </c>
      <c r="BA63" s="345">
        <f t="shared" si="20"/>
        <v>79019.1</v>
      </c>
      <c r="BB63" s="345">
        <f t="shared" si="21"/>
        <v>3734995.7447212124</v>
      </c>
      <c r="BC63" s="344"/>
      <c r="BD63" s="12"/>
      <c r="BE63" s="339"/>
      <c r="BF63" s="311">
        <v>1997</v>
      </c>
      <c r="BG63" s="346">
        <f t="shared" si="27"/>
        <v>0.08135071636756967</v>
      </c>
      <c r="BH63" s="345">
        <f t="shared" si="22"/>
        <v>303844.579462895</v>
      </c>
      <c r="BI63" s="351">
        <f t="shared" si="46"/>
        <v>0.019327919893500578</v>
      </c>
      <c r="BJ63" s="340"/>
      <c r="BK63" s="15"/>
      <c r="BL63" s="325"/>
      <c r="BM63" s="311">
        <v>1997</v>
      </c>
      <c r="BN63" s="345">
        <f ca="1" t="shared" si="28"/>
        <v>7901.910000000001</v>
      </c>
      <c r="BO63" s="345">
        <f ca="1" t="shared" si="29"/>
        <v>1430.4536545507794</v>
      </c>
      <c r="BP63" s="345">
        <f ca="1" t="shared" si="30"/>
        <v>13072.266346286424</v>
      </c>
      <c r="BQ63" s="345">
        <f ca="1" t="shared" si="47"/>
        <v>22404.630000837205</v>
      </c>
      <c r="BR63" s="345">
        <f ca="1" t="shared" si="32"/>
        <v>20974.176346286426</v>
      </c>
      <c r="BS63" s="345">
        <f ca="1" t="shared" si="33"/>
        <v>1430.4536545507794</v>
      </c>
      <c r="BT63" s="307"/>
      <c r="BV63" s="375"/>
      <c r="BW63" s="311">
        <v>1997</v>
      </c>
      <c r="BX63" s="381">
        <f ca="1" t="shared" si="11"/>
        <v>22404.630000837205</v>
      </c>
      <c r="BY63" s="381">
        <f>IF(ISNUMBER(INDEX(TARGET_SHIPMENTS,MATCH($BV$2,HVAC_SYSTEMS,0),MATCH(BW63,TARGET_SHIPMENT_YEARS,0))),INDEX(TARGET_SHIPMENTS,MATCH($BV$2,HVAC_SYSTEMS,0),MATCH(BW63,TARGET_SHIPMENT_YEARS,0)),0)*'AHRI Shipments'!$J$10</f>
        <v>0</v>
      </c>
      <c r="BZ63" s="360">
        <f ca="1" t="shared" si="12"/>
        <v>0</v>
      </c>
      <c r="CA63" s="373"/>
    </row>
    <row r="64" spans="2:79" ht="12.75">
      <c r="B64" s="343"/>
      <c r="C64" s="311">
        <v>1998</v>
      </c>
      <c r="D64" s="345">
        <f t="shared" si="13"/>
        <v>3287054.265319465</v>
      </c>
      <c r="E64" s="345">
        <f t="shared" si="14"/>
        <v>63984.7</v>
      </c>
      <c r="F64" s="345">
        <f t="shared" si="15"/>
        <v>3345331.6649682443</v>
      </c>
      <c r="G64" s="344"/>
      <c r="H64" s="12"/>
      <c r="I64" s="339"/>
      <c r="J64" s="311">
        <v>1998</v>
      </c>
      <c r="K64" s="346">
        <f t="shared" si="48"/>
        <v>0.08224748979572481</v>
      </c>
      <c r="L64" s="347">
        <f t="shared" si="34"/>
        <v>275145.1319777908</v>
      </c>
      <c r="M64" s="351">
        <f t="shared" si="35"/>
        <v>0.017729369503766135</v>
      </c>
      <c r="N64" s="340"/>
      <c r="O64" s="15"/>
      <c r="P64" s="325"/>
      <c r="Q64" s="311">
        <v>1998</v>
      </c>
      <c r="R64" s="352">
        <f ca="1">E64*FORECAST(Q64,OFFSET('Saturations and Allocations'!$C$13,1,MATCH(B$6,SATURATIONS_HOUSING_TYPE,0)-1+MATCH(B$2,HVAC_SYSTEMS,0),2,1),'Saturations and Allocations'!$C$14:$C$15)</f>
        <v>6398.47</v>
      </c>
      <c r="S64" s="347">
        <f ca="1" t="shared" si="24"/>
        <v>1255.0719565648658</v>
      </c>
      <c r="T64" s="347">
        <f ca="1" t="shared" si="36"/>
        <v>11396.392709231732</v>
      </c>
      <c r="U64" s="347">
        <f ca="1" t="shared" si="37"/>
        <v>19049.934665796598</v>
      </c>
      <c r="V64" s="347">
        <f ca="1" t="shared" si="38"/>
        <v>17794.862709231733</v>
      </c>
      <c r="W64" s="347">
        <f ca="1" t="shared" si="39"/>
        <v>1255.0719565648658</v>
      </c>
      <c r="X64" s="307"/>
      <c r="Z64" s="343"/>
      <c r="AA64" s="311">
        <v>1998</v>
      </c>
      <c r="AB64" s="345">
        <f t="shared" si="16"/>
        <v>447941.4794017471</v>
      </c>
      <c r="AC64" s="345">
        <f t="shared" si="17"/>
        <v>17996</v>
      </c>
      <c r="AD64" s="345">
        <f t="shared" si="18"/>
        <v>463486.0291982779</v>
      </c>
      <c r="AE64" s="344"/>
      <c r="AF64" s="12"/>
      <c r="AG64" s="339"/>
      <c r="AH64" s="311">
        <v>1998</v>
      </c>
      <c r="AI64" s="346">
        <f t="shared" si="49"/>
        <v>0.10903939362226109</v>
      </c>
      <c r="AJ64" s="347">
        <f t="shared" si="40"/>
        <v>50538.23557616982</v>
      </c>
      <c r="AK64" s="351">
        <f t="shared" si="41"/>
        <v>0.03470218881558251</v>
      </c>
      <c r="AL64" s="340"/>
      <c r="AM64" s="15"/>
      <c r="AN64" s="325"/>
      <c r="AO64" s="311">
        <v>1998</v>
      </c>
      <c r="AP64" s="352">
        <f ca="1">AC64*FORECAST(AO64,OFFSET('Saturations and Allocations'!$C$13,1,MATCH(Z$6,SATURATIONS_HOUSING_TYPE,0)-1+MATCH(Z$2,HVAC_SYSTEMS,0),2,1),'Saturations and Allocations'!$C$14:$C$15)</f>
        <v>1799.6000000000001</v>
      </c>
      <c r="AQ64" s="347">
        <f ca="1" t="shared" si="26"/>
        <v>175.38169798591355</v>
      </c>
      <c r="AR64" s="347">
        <f ca="1" t="shared" si="42"/>
        <v>2244.3253818338835</v>
      </c>
      <c r="AS64" s="347">
        <f ca="1" t="shared" si="43"/>
        <v>4219.307079819797</v>
      </c>
      <c r="AT64" s="347">
        <f ca="1" t="shared" si="44"/>
        <v>4043.925381833884</v>
      </c>
      <c r="AU64" s="347">
        <f ca="1" t="shared" si="45"/>
        <v>175.38169798591355</v>
      </c>
      <c r="AV64" s="307"/>
      <c r="AX64" s="343"/>
      <c r="AY64" s="311">
        <v>1998</v>
      </c>
      <c r="AZ64" s="345">
        <f t="shared" si="19"/>
        <v>3734995.7447212124</v>
      </c>
      <c r="BA64" s="345">
        <f t="shared" si="20"/>
        <v>81980.7</v>
      </c>
      <c r="BB64" s="345">
        <f t="shared" si="21"/>
        <v>3808817.694166522</v>
      </c>
      <c r="BC64" s="344"/>
      <c r="BD64" s="12"/>
      <c r="BE64" s="339"/>
      <c r="BF64" s="311">
        <v>1998</v>
      </c>
      <c r="BG64" s="346">
        <f t="shared" si="27"/>
        <v>0.08550773329287145</v>
      </c>
      <c r="BH64" s="345">
        <f t="shared" si="22"/>
        <v>325683.3675539606</v>
      </c>
      <c r="BI64" s="351">
        <f t="shared" si="46"/>
        <v>0.0197649353549183</v>
      </c>
      <c r="BJ64" s="340"/>
      <c r="BK64" s="15"/>
      <c r="BL64" s="325"/>
      <c r="BM64" s="311">
        <v>1998</v>
      </c>
      <c r="BN64" s="345">
        <f ca="1" t="shared" si="28"/>
        <v>8198.07</v>
      </c>
      <c r="BO64" s="345">
        <f ca="1" t="shared" si="29"/>
        <v>1430.4536545507794</v>
      </c>
      <c r="BP64" s="345">
        <f ca="1" t="shared" si="30"/>
        <v>13640.718091065615</v>
      </c>
      <c r="BQ64" s="345">
        <f ca="1" t="shared" si="47"/>
        <v>23269.241745616397</v>
      </c>
      <c r="BR64" s="345">
        <f ca="1" t="shared" si="32"/>
        <v>21838.788091065617</v>
      </c>
      <c r="BS64" s="345">
        <f ca="1" t="shared" si="33"/>
        <v>1430.4536545507794</v>
      </c>
      <c r="BT64" s="307"/>
      <c r="BV64" s="375"/>
      <c r="BW64" s="311">
        <v>1998</v>
      </c>
      <c r="BX64" s="381">
        <f ca="1" t="shared" si="11"/>
        <v>23269.241745616397</v>
      </c>
      <c r="BY64" s="381">
        <f>IF(ISNUMBER(INDEX(TARGET_SHIPMENTS,MATCH($BV$2,HVAC_SYSTEMS,0),MATCH(BW64,TARGET_SHIPMENT_YEARS,0))),INDEX(TARGET_SHIPMENTS,MATCH($BV$2,HVAC_SYSTEMS,0),MATCH(BW64,TARGET_SHIPMENT_YEARS,0)),0)*'AHRI Shipments'!$J$10</f>
        <v>0</v>
      </c>
      <c r="BZ64" s="360">
        <f ca="1" t="shared" si="12"/>
        <v>0</v>
      </c>
      <c r="CA64" s="373"/>
    </row>
    <row r="65" spans="2:79" ht="12.75">
      <c r="B65" s="343"/>
      <c r="C65" s="311">
        <v>1999</v>
      </c>
      <c r="D65" s="345">
        <f t="shared" si="13"/>
        <v>3345331.6649682443</v>
      </c>
      <c r="E65" s="345">
        <f t="shared" si="14"/>
        <v>62690.3</v>
      </c>
      <c r="F65" s="345">
        <f t="shared" si="15"/>
        <v>3402327.6246479442</v>
      </c>
      <c r="G65" s="344"/>
      <c r="H65" s="12"/>
      <c r="I65" s="339"/>
      <c r="J65" s="311">
        <v>1999</v>
      </c>
      <c r="K65" s="346">
        <f t="shared" si="48"/>
        <v>0.08620291365759214</v>
      </c>
      <c r="L65" s="347">
        <f t="shared" si="34"/>
        <v>293290.5544623673</v>
      </c>
      <c r="M65" s="351">
        <f t="shared" si="35"/>
        <v>0.017037461569670898</v>
      </c>
      <c r="N65" s="340"/>
      <c r="O65" s="15"/>
      <c r="P65" s="325"/>
      <c r="Q65" s="311">
        <v>1999</v>
      </c>
      <c r="R65" s="352">
        <f ca="1">E65*FORECAST(Q65,OFFSET('Saturations and Allocations'!$C$13,1,MATCH(B$6,SATURATIONS_HOUSING_TYPE,0)-1+MATCH(B$2,HVAC_SYSTEMS,0),2,1),'Saturations and Allocations'!$C$14:$C$15)</f>
        <v>6269.030000000001</v>
      </c>
      <c r="S65" s="347">
        <f ca="1" t="shared" si="24"/>
        <v>1255.0719565648658</v>
      </c>
      <c r="T65" s="347">
        <f ca="1" t="shared" si="36"/>
        <v>11876.392484576527</v>
      </c>
      <c r="U65" s="347">
        <f ca="1" t="shared" si="37"/>
        <v>19400.494441141393</v>
      </c>
      <c r="V65" s="347">
        <f ca="1" t="shared" si="38"/>
        <v>18145.422484576527</v>
      </c>
      <c r="W65" s="347">
        <f ca="1" t="shared" si="39"/>
        <v>1255.0719565648658</v>
      </c>
      <c r="X65" s="307"/>
      <c r="Z65" s="343"/>
      <c r="AA65" s="311">
        <v>1999</v>
      </c>
      <c r="AB65" s="345">
        <f t="shared" si="16"/>
        <v>463486.0291982779</v>
      </c>
      <c r="AC65" s="345">
        <f t="shared" si="17"/>
        <v>14620</v>
      </c>
      <c r="AD65" s="345">
        <f t="shared" si="18"/>
        <v>475680.7776099832</v>
      </c>
      <c r="AE65" s="344"/>
      <c r="AF65" s="12"/>
      <c r="AG65" s="339"/>
      <c r="AH65" s="311">
        <v>1999</v>
      </c>
      <c r="AI65" s="346">
        <f t="shared" si="49"/>
        <v>0.1142832864205487</v>
      </c>
      <c r="AJ65" s="347">
        <f t="shared" si="40"/>
        <v>54362.36255235104</v>
      </c>
      <c r="AK65" s="351">
        <f t="shared" si="41"/>
        <v>0.026310929873764266</v>
      </c>
      <c r="AL65" s="340"/>
      <c r="AM65" s="15"/>
      <c r="AN65" s="325"/>
      <c r="AO65" s="311">
        <v>1999</v>
      </c>
      <c r="AP65" s="352">
        <f ca="1">AC65*FORECAST(AO65,OFFSET('Saturations and Allocations'!$C$13,1,MATCH(Z$6,SATURATIONS_HOUSING_TYPE,0)-1+MATCH(Z$2,HVAC_SYSTEMS,0),2,1),'Saturations and Allocations'!$C$14:$C$15)</f>
        <v>1462</v>
      </c>
      <c r="AQ65" s="347">
        <f ca="1" t="shared" si="26"/>
        <v>175.38169798591355</v>
      </c>
      <c r="AR65" s="347">
        <f ca="1" t="shared" si="42"/>
        <v>2362.126976181222</v>
      </c>
      <c r="AS65" s="347">
        <f ca="1" t="shared" si="43"/>
        <v>3999.5086741671353</v>
      </c>
      <c r="AT65" s="347">
        <f ca="1" t="shared" si="44"/>
        <v>3824.126976181222</v>
      </c>
      <c r="AU65" s="347">
        <f ca="1" t="shared" si="45"/>
        <v>175.38169798591355</v>
      </c>
      <c r="AV65" s="307"/>
      <c r="AX65" s="343"/>
      <c r="AY65" s="311">
        <v>1999</v>
      </c>
      <c r="AZ65" s="345">
        <f t="shared" si="19"/>
        <v>3808817.694166522</v>
      </c>
      <c r="BA65" s="345">
        <f t="shared" si="20"/>
        <v>77310.3</v>
      </c>
      <c r="BB65" s="345">
        <f t="shared" si="21"/>
        <v>3878008.4022579277</v>
      </c>
      <c r="BC65" s="344"/>
      <c r="BD65" s="12"/>
      <c r="BE65" s="339"/>
      <c r="BF65" s="311">
        <v>1999</v>
      </c>
      <c r="BG65" s="346">
        <f t="shared" si="27"/>
        <v>0.08964728307764915</v>
      </c>
      <c r="BH65" s="345">
        <f t="shared" si="22"/>
        <v>347652.91701471835</v>
      </c>
      <c r="BI65" s="351">
        <f t="shared" si="46"/>
        <v>0.018165928024692857</v>
      </c>
      <c r="BJ65" s="340"/>
      <c r="BK65" s="15"/>
      <c r="BL65" s="325"/>
      <c r="BM65" s="311">
        <v>1999</v>
      </c>
      <c r="BN65" s="345">
        <f ca="1" t="shared" si="28"/>
        <v>7731.030000000001</v>
      </c>
      <c r="BO65" s="345">
        <f ca="1" t="shared" si="29"/>
        <v>1430.4536545507794</v>
      </c>
      <c r="BP65" s="345">
        <f ca="1" t="shared" si="30"/>
        <v>14238.519460757749</v>
      </c>
      <c r="BQ65" s="345">
        <f ca="1" t="shared" si="47"/>
        <v>23400.00311530853</v>
      </c>
      <c r="BR65" s="345">
        <f ca="1" t="shared" si="32"/>
        <v>21969.54946075775</v>
      </c>
      <c r="BS65" s="345">
        <f ca="1" t="shared" si="33"/>
        <v>1430.4536545507794</v>
      </c>
      <c r="BT65" s="307"/>
      <c r="BV65" s="375"/>
      <c r="BW65" s="311">
        <v>1999</v>
      </c>
      <c r="BX65" s="381">
        <f ca="1" t="shared" si="11"/>
        <v>23400.00311530853</v>
      </c>
      <c r="BY65" s="381">
        <f>IF(ISNUMBER(INDEX(TARGET_SHIPMENTS,MATCH($BV$2,HVAC_SYSTEMS,0),MATCH(BW65,TARGET_SHIPMENT_YEARS,0))),INDEX(TARGET_SHIPMENTS,MATCH($BV$2,HVAC_SYSTEMS,0),MATCH(BW65,TARGET_SHIPMENT_YEARS,0)),0)*'AHRI Shipments'!$J$10</f>
        <v>0</v>
      </c>
      <c r="BZ65" s="360">
        <f ca="1" t="shared" si="12"/>
        <v>0</v>
      </c>
      <c r="CA65" s="373"/>
    </row>
    <row r="66" spans="2:79" ht="12.75">
      <c r="B66" s="343"/>
      <c r="C66" s="311">
        <v>2000</v>
      </c>
      <c r="D66" s="345">
        <f t="shared" si="13"/>
        <v>3402327.6246479442</v>
      </c>
      <c r="E66" s="345">
        <f t="shared" si="14"/>
        <v>57727.2</v>
      </c>
      <c r="F66" s="345">
        <f t="shared" si="15"/>
        <v>3454373.41492917</v>
      </c>
      <c r="G66" s="344"/>
      <c r="H66" s="12"/>
      <c r="I66" s="339"/>
      <c r="J66" s="311">
        <v>2000</v>
      </c>
      <c r="K66" s="346">
        <f t="shared" si="48"/>
        <v>0.09015833751945947</v>
      </c>
      <c r="L66" s="347">
        <f t="shared" si="34"/>
        <v>311440.5642614319</v>
      </c>
      <c r="M66" s="351">
        <f t="shared" si="35"/>
        <v>0.015297113042313626</v>
      </c>
      <c r="N66" s="340"/>
      <c r="O66" s="15"/>
      <c r="P66" s="325"/>
      <c r="Q66" s="311">
        <v>2000</v>
      </c>
      <c r="R66" s="352">
        <f ca="1">E66*FORECAST(Q66,OFFSET('Saturations and Allocations'!$C$13,1,MATCH(B$6,SATURATIONS_HOUSING_TYPE,0)-1+MATCH(B$2,HVAC_SYSTEMS,0),2,1),'Saturations and Allocations'!$C$14:$C$15)</f>
        <v>5772.72</v>
      </c>
      <c r="S66" s="347">
        <f ca="1" t="shared" si="24"/>
        <v>1255.0719565648658</v>
      </c>
      <c r="T66" s="347">
        <f ca="1" t="shared" si="36"/>
        <v>12377.289799064602</v>
      </c>
      <c r="U66" s="347">
        <f ca="1" t="shared" si="37"/>
        <v>19405.081755629468</v>
      </c>
      <c r="V66" s="347">
        <f ca="1" t="shared" si="38"/>
        <v>18150.009799064603</v>
      </c>
      <c r="W66" s="347">
        <f ca="1" t="shared" si="39"/>
        <v>1255.0719565648658</v>
      </c>
      <c r="X66" s="307"/>
      <c r="Z66" s="343"/>
      <c r="AA66" s="311">
        <v>2000</v>
      </c>
      <c r="AB66" s="345">
        <f t="shared" si="16"/>
        <v>475680.7776099832</v>
      </c>
      <c r="AC66" s="345">
        <f t="shared" si="17"/>
        <v>9564</v>
      </c>
      <c r="AD66" s="345">
        <f t="shared" si="18"/>
        <v>482845.444652617</v>
      </c>
      <c r="AE66" s="344"/>
      <c r="AF66" s="12"/>
      <c r="AG66" s="339"/>
      <c r="AH66" s="311">
        <v>2000</v>
      </c>
      <c r="AI66" s="346">
        <f t="shared" si="49"/>
        <v>0.11952717921883632</v>
      </c>
      <c r="AJ66" s="347">
        <f t="shared" si="40"/>
        <v>57713.15399799206</v>
      </c>
      <c r="AK66" s="351">
        <f t="shared" si="41"/>
        <v>0.015061922574698183</v>
      </c>
      <c r="AL66" s="340"/>
      <c r="AM66" s="15"/>
      <c r="AN66" s="325"/>
      <c r="AO66" s="311">
        <v>2000</v>
      </c>
      <c r="AP66" s="352">
        <f ca="1">AC66*FORECAST(AO66,OFFSET('Saturations and Allocations'!$C$13,1,MATCH(Z$6,SATURATIONS_HOUSING_TYPE,0)-1+MATCH(Z$2,HVAC_SYSTEMS,0),2,1),'Saturations and Allocations'!$C$14:$C$15)</f>
        <v>956.4000000000001</v>
      </c>
      <c r="AQ66" s="347">
        <f ca="1" t="shared" si="26"/>
        <v>175.38169798591355</v>
      </c>
      <c r="AR66" s="347">
        <f ca="1" t="shared" si="42"/>
        <v>2394.3914456410216</v>
      </c>
      <c r="AS66" s="347">
        <f ca="1" t="shared" si="43"/>
        <v>3526.173143626935</v>
      </c>
      <c r="AT66" s="347">
        <f ca="1" t="shared" si="44"/>
        <v>3350.7914456410217</v>
      </c>
      <c r="AU66" s="347">
        <f ca="1" t="shared" si="45"/>
        <v>175.38169798591355</v>
      </c>
      <c r="AV66" s="307"/>
      <c r="AX66" s="343"/>
      <c r="AY66" s="311">
        <v>2000</v>
      </c>
      <c r="AZ66" s="345">
        <f t="shared" si="19"/>
        <v>3878008.4022579277</v>
      </c>
      <c r="BA66" s="345">
        <f t="shared" si="20"/>
        <v>67291.2</v>
      </c>
      <c r="BB66" s="345">
        <f t="shared" si="21"/>
        <v>3937218.859581787</v>
      </c>
      <c r="BC66" s="344"/>
      <c r="BD66" s="12"/>
      <c r="BE66" s="339"/>
      <c r="BF66" s="311">
        <v>2000</v>
      </c>
      <c r="BG66" s="346">
        <f t="shared" si="27"/>
        <v>0.09376001980713758</v>
      </c>
      <c r="BH66" s="345">
        <f t="shared" si="22"/>
        <v>369153.718259424</v>
      </c>
      <c r="BI66" s="351">
        <f t="shared" si="46"/>
        <v>0.01526826432077466</v>
      </c>
      <c r="BJ66" s="340"/>
      <c r="BK66" s="15"/>
      <c r="BL66" s="325"/>
      <c r="BM66" s="311">
        <v>2000</v>
      </c>
      <c r="BN66" s="345">
        <f ca="1" t="shared" si="28"/>
        <v>6729.120000000001</v>
      </c>
      <c r="BO66" s="345">
        <f ca="1" t="shared" si="29"/>
        <v>1430.4536545507794</v>
      </c>
      <c r="BP66" s="345">
        <f ca="1" t="shared" si="30"/>
        <v>14771.681244705624</v>
      </c>
      <c r="BQ66" s="345">
        <f ca="1" t="shared" si="47"/>
        <v>22931.254899256404</v>
      </c>
      <c r="BR66" s="345">
        <f ca="1" t="shared" si="32"/>
        <v>21500.801244705624</v>
      </c>
      <c r="BS66" s="345">
        <f ca="1" t="shared" si="33"/>
        <v>1430.4536545507794</v>
      </c>
      <c r="BT66" s="307"/>
      <c r="BV66" s="375"/>
      <c r="BW66" s="311">
        <v>2000</v>
      </c>
      <c r="BX66" s="381">
        <f ca="1" t="shared" si="11"/>
        <v>22931.254899256404</v>
      </c>
      <c r="BY66" s="381">
        <f>IF(ISNUMBER(INDEX(TARGET_SHIPMENTS,MATCH($BV$2,HVAC_SYSTEMS,0),MATCH(BW66,TARGET_SHIPMENT_YEARS,0))),INDEX(TARGET_SHIPMENTS,MATCH($BV$2,HVAC_SYSTEMS,0),MATCH(BW66,TARGET_SHIPMENT_YEARS,0)),0)*'AHRI Shipments'!$J$10</f>
        <v>0</v>
      </c>
      <c r="BZ66" s="360">
        <f ca="1" t="shared" si="12"/>
        <v>0</v>
      </c>
      <c r="CA66" s="373"/>
    </row>
    <row r="67" spans="2:79" ht="12.75">
      <c r="B67" s="343"/>
      <c r="C67" s="311">
        <v>2001</v>
      </c>
      <c r="D67" s="345">
        <f t="shared" si="13"/>
        <v>3454373.41492917</v>
      </c>
      <c r="E67" s="345">
        <f t="shared" si="14"/>
        <v>58981.8</v>
      </c>
      <c r="F67" s="345">
        <f t="shared" si="15"/>
        <v>3507686.7064493527</v>
      </c>
      <c r="G67" s="344"/>
      <c r="H67" s="12"/>
      <c r="I67" s="339"/>
      <c r="J67" s="311">
        <v>2001</v>
      </c>
      <c r="K67" s="346">
        <f t="shared" si="48"/>
        <v>0.0941137613813268</v>
      </c>
      <c r="L67" s="347">
        <f t="shared" si="34"/>
        <v>330121.5896912265</v>
      </c>
      <c r="M67" s="351">
        <f t="shared" si="35"/>
        <v>0.015433563519731797</v>
      </c>
      <c r="N67" s="340"/>
      <c r="O67" s="15"/>
      <c r="P67" s="325"/>
      <c r="Q67" s="311">
        <v>2001</v>
      </c>
      <c r="R67" s="352">
        <f ca="1">E67*FORECAST(Q67,OFFSET('Saturations and Allocations'!$C$13,1,MATCH(B$6,SATURATIONS_HOUSING_TYPE,0)-1+MATCH(B$2,HVAC_SYSTEMS,0),2,1),'Saturations and Allocations'!$C$14:$C$15)</f>
        <v>5898.18</v>
      </c>
      <c r="S67" s="347">
        <f ca="1" t="shared" si="24"/>
        <v>1255.0719565648658</v>
      </c>
      <c r="T67" s="347">
        <f ca="1" t="shared" si="36"/>
        <v>12782.845429794565</v>
      </c>
      <c r="U67" s="347">
        <f ca="1" t="shared" si="37"/>
        <v>19936.09738635943</v>
      </c>
      <c r="V67" s="347">
        <f ca="1" t="shared" si="38"/>
        <v>18681.025429794565</v>
      </c>
      <c r="W67" s="347">
        <f ca="1" t="shared" si="39"/>
        <v>1255.0719565648658</v>
      </c>
      <c r="X67" s="307"/>
      <c r="Z67" s="343"/>
      <c r="AA67" s="311">
        <v>2001</v>
      </c>
      <c r="AB67" s="345">
        <f t="shared" si="16"/>
        <v>482845.444652617</v>
      </c>
      <c r="AC67" s="345">
        <f t="shared" si="17"/>
        <v>7283</v>
      </c>
      <c r="AD67" s="345">
        <f t="shared" si="18"/>
        <v>487754.75333412096</v>
      </c>
      <c r="AE67" s="344"/>
      <c r="AF67" s="12"/>
      <c r="AG67" s="339"/>
      <c r="AH67" s="311">
        <v>2001</v>
      </c>
      <c r="AI67" s="346">
        <f t="shared" si="49"/>
        <v>0.12477107201712394</v>
      </c>
      <c r="AJ67" s="347">
        <f t="shared" si="40"/>
        <v>60857.68345494613</v>
      </c>
      <c r="AK67" s="351">
        <f t="shared" si="41"/>
        <v>0.010167453655974823</v>
      </c>
      <c r="AL67" s="340"/>
      <c r="AM67" s="15"/>
      <c r="AN67" s="325"/>
      <c r="AO67" s="311">
        <v>2001</v>
      </c>
      <c r="AP67" s="352">
        <f ca="1">AC67*FORECAST(AO67,OFFSET('Saturations and Allocations'!$C$13,1,MATCH(Z$6,SATURATIONS_HOUSING_TYPE,0)-1+MATCH(Z$2,HVAC_SYSTEMS,0),2,1),'Saturations and Allocations'!$C$14:$C$15)</f>
        <v>728.3000000000001</v>
      </c>
      <c r="AQ67" s="347">
        <f ca="1" t="shared" si="26"/>
        <v>175.38169798591355</v>
      </c>
      <c r="AR67" s="347">
        <f ca="1" t="shared" si="42"/>
        <v>2416.2294569540636</v>
      </c>
      <c r="AS67" s="347">
        <f ca="1" t="shared" si="43"/>
        <v>3319.911154939977</v>
      </c>
      <c r="AT67" s="347">
        <f ca="1" t="shared" si="44"/>
        <v>3144.529456954064</v>
      </c>
      <c r="AU67" s="347">
        <f ca="1" t="shared" si="45"/>
        <v>175.38169798591355</v>
      </c>
      <c r="AV67" s="307"/>
      <c r="AX67" s="343"/>
      <c r="AY67" s="311">
        <v>2001</v>
      </c>
      <c r="AZ67" s="345">
        <f t="shared" si="19"/>
        <v>3937218.859581787</v>
      </c>
      <c r="BA67" s="345">
        <f t="shared" si="20"/>
        <v>66264.8</v>
      </c>
      <c r="BB67" s="345">
        <f t="shared" si="21"/>
        <v>3995441.4597834735</v>
      </c>
      <c r="BC67" s="344"/>
      <c r="BD67" s="12"/>
      <c r="BE67" s="339"/>
      <c r="BF67" s="311">
        <v>2001</v>
      </c>
      <c r="BG67" s="346">
        <f t="shared" si="27"/>
        <v>0.0978563388005092</v>
      </c>
      <c r="BH67" s="345">
        <f t="shared" si="22"/>
        <v>390979.27314617264</v>
      </c>
      <c r="BI67" s="351">
        <f t="shared" si="46"/>
        <v>0.014787747970878895</v>
      </c>
      <c r="BJ67" s="340"/>
      <c r="BK67" s="15"/>
      <c r="BL67" s="325"/>
      <c r="BM67" s="311">
        <v>2001</v>
      </c>
      <c r="BN67" s="345">
        <f ca="1" t="shared" si="28"/>
        <v>6626.4800000000005</v>
      </c>
      <c r="BO67" s="345">
        <f ca="1" t="shared" si="29"/>
        <v>1430.4536545507794</v>
      </c>
      <c r="BP67" s="345">
        <f ca="1" t="shared" si="30"/>
        <v>15199.074886748629</v>
      </c>
      <c r="BQ67" s="345">
        <f ca="1" t="shared" si="47"/>
        <v>23256.00854129941</v>
      </c>
      <c r="BR67" s="345">
        <f ca="1" t="shared" si="32"/>
        <v>21825.55488674863</v>
      </c>
      <c r="BS67" s="345">
        <f ca="1" t="shared" si="33"/>
        <v>1430.4536545507794</v>
      </c>
      <c r="BT67" s="307"/>
      <c r="BV67" s="375"/>
      <c r="BW67" s="311">
        <v>2001</v>
      </c>
      <c r="BX67" s="381">
        <f ca="1" t="shared" si="11"/>
        <v>23256.00854129941</v>
      </c>
      <c r="BY67" s="381">
        <f>IF(ISNUMBER(INDEX(TARGET_SHIPMENTS,MATCH($BV$2,HVAC_SYSTEMS,0),MATCH(BW67,TARGET_SHIPMENT_YEARS,0))),INDEX(TARGET_SHIPMENTS,MATCH($BV$2,HVAC_SYSTEMS,0),MATCH(BW67,TARGET_SHIPMENT_YEARS,0)),0)*'AHRI Shipments'!$J$10</f>
        <v>0</v>
      </c>
      <c r="BZ67" s="360">
        <f ca="1" t="shared" si="12"/>
        <v>0</v>
      </c>
      <c r="CA67" s="373"/>
    </row>
    <row r="68" spans="2:79" ht="12.75">
      <c r="B68" s="343"/>
      <c r="C68" s="311">
        <v>2002</v>
      </c>
      <c r="D68" s="345">
        <f t="shared" si="13"/>
        <v>3507686.7064493527</v>
      </c>
      <c r="E68" s="345">
        <f t="shared" si="14"/>
        <v>66174.6</v>
      </c>
      <c r="F68" s="345">
        <f t="shared" si="15"/>
        <v>3568205.669912601</v>
      </c>
      <c r="G68" s="344"/>
      <c r="H68" s="12"/>
      <c r="I68" s="339"/>
      <c r="J68" s="311">
        <v>2002</v>
      </c>
      <c r="K68" s="346">
        <f t="shared" si="48"/>
        <v>0.09806918524319412</v>
      </c>
      <c r="L68" s="347">
        <f t="shared" si="34"/>
        <v>349931.0228284744</v>
      </c>
      <c r="M68" s="351">
        <f t="shared" si="35"/>
        <v>0.017253240818792648</v>
      </c>
      <c r="N68" s="340"/>
      <c r="O68" s="15"/>
      <c r="P68" s="325"/>
      <c r="Q68" s="311">
        <v>2002</v>
      </c>
      <c r="R68" s="352">
        <f ca="1">E68*FORECAST(Q68,OFFSET('Saturations and Allocations'!$C$13,1,MATCH(B$6,SATURATIONS_HOUSING_TYPE,0)-1+MATCH(B$2,HVAC_SYSTEMS,0),2,1),'Saturations and Allocations'!$C$14:$C$15)</f>
        <v>6617.460000000001</v>
      </c>
      <c r="S68" s="347">
        <f ca="1" t="shared" si="24"/>
        <v>1255.0719565648658</v>
      </c>
      <c r="T68" s="347">
        <f ca="1" t="shared" si="36"/>
        <v>13191.97313724792</v>
      </c>
      <c r="U68" s="347">
        <f ca="1" t="shared" si="37"/>
        <v>21064.505093812786</v>
      </c>
      <c r="V68" s="347">
        <f ca="1" t="shared" si="38"/>
        <v>19809.43313724792</v>
      </c>
      <c r="W68" s="347">
        <f ca="1" t="shared" si="39"/>
        <v>1255.0719565648658</v>
      </c>
      <c r="X68" s="307"/>
      <c r="Z68" s="343"/>
      <c r="AA68" s="311">
        <v>2002</v>
      </c>
      <c r="AB68" s="345">
        <f t="shared" si="16"/>
        <v>487754.75333412096</v>
      </c>
      <c r="AC68" s="345">
        <f t="shared" si="17"/>
        <v>7464</v>
      </c>
      <c r="AD68" s="345">
        <f t="shared" si="18"/>
        <v>492870.42962264724</v>
      </c>
      <c r="AE68" s="344"/>
      <c r="AF68" s="12"/>
      <c r="AG68" s="339"/>
      <c r="AH68" s="311">
        <v>2002</v>
      </c>
      <c r="AI68" s="346">
        <f t="shared" si="49"/>
        <v>0.13001496481541155</v>
      </c>
      <c r="AJ68" s="347">
        <f t="shared" si="40"/>
        <v>64080.53156594525</v>
      </c>
      <c r="AK68" s="351">
        <f t="shared" si="41"/>
        <v>0.010488214114895422</v>
      </c>
      <c r="AL68" s="340"/>
      <c r="AM68" s="15"/>
      <c r="AN68" s="325"/>
      <c r="AO68" s="311">
        <v>2002</v>
      </c>
      <c r="AP68" s="352">
        <f ca="1">AC68*FORECAST(AO68,OFFSET('Saturations and Allocations'!$C$13,1,MATCH(Z$6,SATURATIONS_HOUSING_TYPE,0)-1+MATCH(Z$2,HVAC_SYSTEMS,0),2,1),'Saturations and Allocations'!$C$14:$C$15)</f>
        <v>746.4000000000001</v>
      </c>
      <c r="AQ68" s="347">
        <f ca="1" t="shared" si="26"/>
        <v>175.38169798591355</v>
      </c>
      <c r="AR68" s="347">
        <f ca="1" t="shared" si="42"/>
        <v>2476.448110999126</v>
      </c>
      <c r="AS68" s="347">
        <f ca="1" t="shared" si="43"/>
        <v>3398.2298089850397</v>
      </c>
      <c r="AT68" s="347">
        <f ca="1" t="shared" si="44"/>
        <v>3222.848110999126</v>
      </c>
      <c r="AU68" s="347">
        <f ca="1" t="shared" si="45"/>
        <v>175.38169798591355</v>
      </c>
      <c r="AV68" s="307"/>
      <c r="AX68" s="343"/>
      <c r="AY68" s="311">
        <v>2002</v>
      </c>
      <c r="AZ68" s="345">
        <f t="shared" si="19"/>
        <v>3995441.4597834735</v>
      </c>
      <c r="BA68" s="345">
        <f t="shared" si="20"/>
        <v>73638.6</v>
      </c>
      <c r="BB68" s="345">
        <f t="shared" si="21"/>
        <v>4061076.0995352482</v>
      </c>
      <c r="BC68" s="344"/>
      <c r="BD68" s="12"/>
      <c r="BE68" s="339"/>
      <c r="BF68" s="311">
        <v>2002</v>
      </c>
      <c r="BG68" s="346">
        <f t="shared" si="27"/>
        <v>0.1019462684882461</v>
      </c>
      <c r="BH68" s="345">
        <f t="shared" si="22"/>
        <v>414011.55439441965</v>
      </c>
      <c r="BI68" s="351">
        <f t="shared" si="46"/>
        <v>0.01642738115735809</v>
      </c>
      <c r="BJ68" s="340"/>
      <c r="BK68" s="15"/>
      <c r="BL68" s="325"/>
      <c r="BM68" s="311">
        <v>2002</v>
      </c>
      <c r="BN68" s="345">
        <f ca="1" t="shared" si="28"/>
        <v>7363.860000000001</v>
      </c>
      <c r="BO68" s="345">
        <f ca="1" t="shared" si="29"/>
        <v>1430.4536545507794</v>
      </c>
      <c r="BP68" s="345">
        <f ca="1" t="shared" si="30"/>
        <v>15668.421248247047</v>
      </c>
      <c r="BQ68" s="345">
        <f ca="1" t="shared" si="47"/>
        <v>24462.734902797827</v>
      </c>
      <c r="BR68" s="345">
        <f ca="1" t="shared" si="32"/>
        <v>23032.281248247047</v>
      </c>
      <c r="BS68" s="345">
        <f ca="1" t="shared" si="33"/>
        <v>1430.4536545507794</v>
      </c>
      <c r="BT68" s="307"/>
      <c r="BV68" s="375"/>
      <c r="BW68" s="311">
        <v>2002</v>
      </c>
      <c r="BX68" s="381">
        <f ca="1" t="shared" si="11"/>
        <v>24462.734902797827</v>
      </c>
      <c r="BY68" s="381">
        <f>IF(ISNUMBER(INDEX(TARGET_SHIPMENTS,MATCH($BV$2,HVAC_SYSTEMS,0),MATCH(BW68,TARGET_SHIPMENT_YEARS,0))),INDEX(TARGET_SHIPMENTS,MATCH($BV$2,HVAC_SYSTEMS,0),MATCH(BW68,TARGET_SHIPMENT_YEARS,0)),0)*'AHRI Shipments'!$J$10</f>
        <v>0</v>
      </c>
      <c r="BZ68" s="360">
        <f ca="1" t="shared" si="12"/>
        <v>0</v>
      </c>
      <c r="CA68" s="373"/>
    </row>
    <row r="69" spans="2:79" ht="12.75">
      <c r="B69" s="343"/>
      <c r="C69" s="311">
        <v>2003</v>
      </c>
      <c r="D69" s="345">
        <f t="shared" si="13"/>
        <v>3568205.669912601</v>
      </c>
      <c r="E69" s="345">
        <f t="shared" si="14"/>
        <v>73242.5</v>
      </c>
      <c r="F69" s="345">
        <f t="shared" si="15"/>
        <v>3635805.3760895464</v>
      </c>
      <c r="G69" s="344"/>
      <c r="H69" s="12"/>
      <c r="I69" s="339"/>
      <c r="J69" s="311">
        <v>2003</v>
      </c>
      <c r="K69" s="346">
        <f t="shared" si="48"/>
        <v>0.10202460910506145</v>
      </c>
      <c r="L69" s="347">
        <f t="shared" si="34"/>
        <v>370941.6222776169</v>
      </c>
      <c r="M69" s="351">
        <f t="shared" si="35"/>
        <v>0.018945013945510958</v>
      </c>
      <c r="N69" s="340"/>
      <c r="O69" s="15"/>
      <c r="P69" s="325"/>
      <c r="Q69" s="311">
        <v>2003</v>
      </c>
      <c r="R69" s="352">
        <f ca="1">E69*FORECAST(Q69,OFFSET('Saturations and Allocations'!$C$13,1,MATCH(B$6,SATURATIONS_HOUSING_TYPE,0)-1+MATCH(B$2,HVAC_SYSTEMS,0),2,1),'Saturations and Allocations'!$C$14:$C$15)</f>
        <v>7324.25</v>
      </c>
      <c r="S69" s="347">
        <f ca="1" t="shared" si="24"/>
        <v>1255.0719565648658</v>
      </c>
      <c r="T69" s="347">
        <f ca="1" t="shared" si="36"/>
        <v>13686.349449142464</v>
      </c>
      <c r="U69" s="347">
        <f ca="1" t="shared" si="37"/>
        <v>22265.67140570733</v>
      </c>
      <c r="V69" s="347">
        <f ca="1" t="shared" si="38"/>
        <v>21010.599449142464</v>
      </c>
      <c r="W69" s="347">
        <f ca="1" t="shared" si="39"/>
        <v>1255.0719565648658</v>
      </c>
      <c r="X69" s="307"/>
      <c r="Z69" s="343"/>
      <c r="AA69" s="311">
        <v>2003</v>
      </c>
      <c r="AB69" s="345">
        <f t="shared" si="16"/>
        <v>492870.42962264724</v>
      </c>
      <c r="AC69" s="345">
        <f t="shared" si="17"/>
        <v>6895</v>
      </c>
      <c r="AD69" s="345">
        <f t="shared" si="18"/>
        <v>497442.20241492265</v>
      </c>
      <c r="AE69" s="344"/>
      <c r="AF69" s="12"/>
      <c r="AG69" s="339"/>
      <c r="AH69" s="311">
        <v>2003</v>
      </c>
      <c r="AI69" s="346">
        <f t="shared" si="49"/>
        <v>0.13525885761369916</v>
      </c>
      <c r="AJ69" s="347">
        <f t="shared" si="40"/>
        <v>67283.46402748494</v>
      </c>
      <c r="AK69" s="351">
        <f t="shared" si="41"/>
        <v>0.009275810674573615</v>
      </c>
      <c r="AL69" s="340"/>
      <c r="AM69" s="15"/>
      <c r="AN69" s="325"/>
      <c r="AO69" s="311">
        <v>2003</v>
      </c>
      <c r="AP69" s="352">
        <f ca="1">AC69*FORECAST(AO69,OFFSET('Saturations and Allocations'!$C$13,1,MATCH(Z$6,SATURATIONS_HOUSING_TYPE,0)-1+MATCH(Z$2,HVAC_SYSTEMS,0),2,1),'Saturations and Allocations'!$C$14:$C$15)</f>
        <v>689.5</v>
      </c>
      <c r="AQ69" s="347">
        <f ca="1" t="shared" si="26"/>
        <v>175.38169798591355</v>
      </c>
      <c r="AR69" s="347">
        <f ca="1" t="shared" si="42"/>
        <v>2513.4324615396836</v>
      </c>
      <c r="AS69" s="347">
        <f ca="1" t="shared" si="43"/>
        <v>3378.314159525597</v>
      </c>
      <c r="AT69" s="347">
        <f ca="1" t="shared" si="44"/>
        <v>3202.9324615396836</v>
      </c>
      <c r="AU69" s="347">
        <f ca="1" t="shared" si="45"/>
        <v>175.38169798591355</v>
      </c>
      <c r="AV69" s="307"/>
      <c r="AX69" s="343"/>
      <c r="AY69" s="311">
        <v>2003</v>
      </c>
      <c r="AZ69" s="345">
        <f t="shared" si="19"/>
        <v>4061076.0995352482</v>
      </c>
      <c r="BA69" s="345">
        <f t="shared" si="20"/>
        <v>80137.5</v>
      </c>
      <c r="BB69" s="345">
        <f t="shared" si="21"/>
        <v>4133247.5785044692</v>
      </c>
      <c r="BC69" s="344"/>
      <c r="BD69" s="12"/>
      <c r="BE69" s="339"/>
      <c r="BF69" s="311">
        <v>2003</v>
      </c>
      <c r="BG69" s="346">
        <f t="shared" si="27"/>
        <v>0.10602439800222772</v>
      </c>
      <c r="BH69" s="345">
        <f t="shared" si="22"/>
        <v>438225.0863051018</v>
      </c>
      <c r="BI69" s="351">
        <f t="shared" si="46"/>
        <v>0.017771516021943157</v>
      </c>
      <c r="BJ69" s="340"/>
      <c r="BK69" s="15"/>
      <c r="BL69" s="325"/>
      <c r="BM69" s="311">
        <v>2003</v>
      </c>
      <c r="BN69" s="345">
        <f ca="1" t="shared" si="28"/>
        <v>8013.75</v>
      </c>
      <c r="BO69" s="345">
        <f ca="1" t="shared" si="29"/>
        <v>1430.4536545507794</v>
      </c>
      <c r="BP69" s="345">
        <f ca="1" t="shared" si="30"/>
        <v>16199.781910682148</v>
      </c>
      <c r="BQ69" s="345">
        <f ca="1" t="shared" si="47"/>
        <v>25643.985565232928</v>
      </c>
      <c r="BR69" s="345">
        <f ca="1" t="shared" si="32"/>
        <v>24213.531910682148</v>
      </c>
      <c r="BS69" s="345">
        <f ca="1" t="shared" si="33"/>
        <v>1430.4536545507794</v>
      </c>
      <c r="BT69" s="307"/>
      <c r="BV69" s="375"/>
      <c r="BW69" s="311">
        <v>2003</v>
      </c>
      <c r="BX69" s="381">
        <f ca="1" t="shared" si="11"/>
        <v>25643.985565232928</v>
      </c>
      <c r="BY69" s="381">
        <f>IF(ISNUMBER(INDEX(TARGET_SHIPMENTS,MATCH($BV$2,HVAC_SYSTEMS,0),MATCH(BW69,TARGET_SHIPMENT_YEARS,0))),INDEX(TARGET_SHIPMENTS,MATCH($BV$2,HVAC_SYSTEMS,0),MATCH(BW69,TARGET_SHIPMENT_YEARS,0)),0)*'AHRI Shipments'!$J$10</f>
        <v>0</v>
      </c>
      <c r="BZ69" s="360">
        <f ca="1" t="shared" si="12"/>
        <v>0</v>
      </c>
      <c r="CA69" s="373"/>
    </row>
    <row r="70" spans="2:79" ht="12.75">
      <c r="B70" s="343"/>
      <c r="C70" s="311">
        <v>2004</v>
      </c>
      <c r="D70" s="345">
        <f t="shared" si="13"/>
        <v>3635805.3760895464</v>
      </c>
      <c r="E70" s="345">
        <f t="shared" si="14"/>
        <v>76942.45812831254</v>
      </c>
      <c r="F70" s="345">
        <f t="shared" si="15"/>
        <v>3707117.8539455077</v>
      </c>
      <c r="G70" s="344"/>
      <c r="H70" s="12"/>
      <c r="I70" s="339"/>
      <c r="J70" s="311">
        <v>2004</v>
      </c>
      <c r="K70" s="346">
        <f t="shared" si="48"/>
        <v>0.10598003296692877</v>
      </c>
      <c r="L70" s="347">
        <f t="shared" si="34"/>
        <v>392880.47237343516</v>
      </c>
      <c r="M70" s="351">
        <f t="shared" si="35"/>
        <v>0.019613942573752485</v>
      </c>
      <c r="N70" s="340"/>
      <c r="O70" s="15"/>
      <c r="P70" s="325"/>
      <c r="Q70" s="311">
        <v>2004</v>
      </c>
      <c r="R70" s="352">
        <f ca="1">E70*FORECAST(Q70,OFFSET('Saturations and Allocations'!$C$13,1,MATCH(B$6,SATURATIONS_HOUSING_TYPE,0)-1+MATCH(B$2,HVAC_SYSTEMS,0),2,1),'Saturations and Allocations'!$C$14:$C$15)</f>
        <v>7694.245812831255</v>
      </c>
      <c r="S70" s="347">
        <f ca="1" t="shared" si="24"/>
        <v>11994.355938443001</v>
      </c>
      <c r="T70" s="347">
        <f ca="1" t="shared" si="36"/>
        <v>14244.604282987031</v>
      </c>
      <c r="U70" s="347">
        <f ca="1" t="shared" si="37"/>
        <v>33933.20603426128</v>
      </c>
      <c r="V70" s="347">
        <f ca="1" t="shared" si="38"/>
        <v>21938.850095818285</v>
      </c>
      <c r="W70" s="347">
        <f ca="1" t="shared" si="39"/>
        <v>11994.355938443001</v>
      </c>
      <c r="X70" s="307"/>
      <c r="Z70" s="343"/>
      <c r="AA70" s="311">
        <v>2004</v>
      </c>
      <c r="AB70" s="345">
        <f t="shared" si="16"/>
        <v>497442.20241492265</v>
      </c>
      <c r="AC70" s="345">
        <f t="shared" si="17"/>
        <v>6659</v>
      </c>
      <c r="AD70" s="345">
        <f t="shared" si="18"/>
        <v>501802.803504951</v>
      </c>
      <c r="AE70" s="344"/>
      <c r="AF70" s="12"/>
      <c r="AG70" s="339"/>
      <c r="AH70" s="311">
        <v>2004</v>
      </c>
      <c r="AI70" s="346">
        <f t="shared" si="49"/>
        <v>0.14050275041198676</v>
      </c>
      <c r="AJ70" s="347">
        <f t="shared" si="40"/>
        <v>70504.67405689137</v>
      </c>
      <c r="AK70" s="351">
        <f t="shared" si="41"/>
        <v>0.008766045721209537</v>
      </c>
      <c r="AL70" s="340"/>
      <c r="AM70" s="15"/>
      <c r="AN70" s="325"/>
      <c r="AO70" s="311">
        <v>2004</v>
      </c>
      <c r="AP70" s="352">
        <f ca="1">AC70*FORECAST(AO70,OFFSET('Saturations and Allocations'!$C$13,1,MATCH(Z$6,SATURATIONS_HOUSING_TYPE,0)-1+MATCH(Z$2,HVAC_SYSTEMS,0),2,1),'Saturations and Allocations'!$C$14:$C$15)</f>
        <v>665.9000000000001</v>
      </c>
      <c r="AQ70" s="347">
        <f ca="1" t="shared" si="26"/>
        <v>1776.4809039128415</v>
      </c>
      <c r="AR70" s="347">
        <f ca="1" t="shared" si="42"/>
        <v>2555.3100294064293</v>
      </c>
      <c r="AS70" s="347">
        <f ca="1" t="shared" si="43"/>
        <v>4997.690933319271</v>
      </c>
      <c r="AT70" s="347">
        <f ca="1" t="shared" si="44"/>
        <v>3221.2100294064294</v>
      </c>
      <c r="AU70" s="347">
        <f ca="1" t="shared" si="45"/>
        <v>1776.4809039128415</v>
      </c>
      <c r="AV70" s="307"/>
      <c r="AX70" s="343"/>
      <c r="AY70" s="311">
        <v>2004</v>
      </c>
      <c r="AZ70" s="345">
        <f t="shared" si="19"/>
        <v>4133247.5785044692</v>
      </c>
      <c r="BA70" s="345">
        <f t="shared" si="20"/>
        <v>83601.45812831254</v>
      </c>
      <c r="BB70" s="345">
        <f t="shared" si="21"/>
        <v>4208920.657450459</v>
      </c>
      <c r="BC70" s="344"/>
      <c r="BD70" s="12"/>
      <c r="BE70" s="339"/>
      <c r="BF70" s="311">
        <v>2004</v>
      </c>
      <c r="BG70" s="346">
        <f t="shared" si="27"/>
        <v>0.11009595669380488</v>
      </c>
      <c r="BH70" s="345">
        <f t="shared" si="22"/>
        <v>463385.1464303265</v>
      </c>
      <c r="BI70" s="351">
        <f t="shared" si="46"/>
        <v>0.018308382817312507</v>
      </c>
      <c r="BJ70" s="340"/>
      <c r="BK70" s="15"/>
      <c r="BL70" s="325"/>
      <c r="BM70" s="311">
        <v>2004</v>
      </c>
      <c r="BN70" s="345">
        <f ca="1" t="shared" si="28"/>
        <v>8360.145812831255</v>
      </c>
      <c r="BO70" s="345">
        <f ca="1" t="shared" si="29"/>
        <v>13770.836842355842</v>
      </c>
      <c r="BP70" s="345">
        <f ca="1" t="shared" si="30"/>
        <v>16799.91431239346</v>
      </c>
      <c r="BQ70" s="345">
        <f ca="1" t="shared" si="47"/>
        <v>38930.89696758056</v>
      </c>
      <c r="BR70" s="345">
        <f ca="1" t="shared" si="32"/>
        <v>25160.060125224714</v>
      </c>
      <c r="BS70" s="345">
        <f ca="1" t="shared" si="33"/>
        <v>13770.836842355842</v>
      </c>
      <c r="BT70" s="307"/>
      <c r="BV70" s="375"/>
      <c r="BW70" s="311">
        <v>2004</v>
      </c>
      <c r="BX70" s="381">
        <f ca="1" t="shared" si="11"/>
        <v>38930.89696758056</v>
      </c>
      <c r="BY70" s="381">
        <f>IF(ISNUMBER(INDEX(TARGET_SHIPMENTS,MATCH($BV$2,HVAC_SYSTEMS,0),MATCH(BW70,TARGET_SHIPMENT_YEARS,0))),INDEX(TARGET_SHIPMENTS,MATCH($BV$2,HVAC_SYSTEMS,0),MATCH(BW70,TARGET_SHIPMENT_YEARS,0)),0)*'AHRI Shipments'!$J$10</f>
        <v>0</v>
      </c>
      <c r="BZ70" s="360">
        <f ca="1" t="shared" si="12"/>
        <v>0</v>
      </c>
      <c r="CA70" s="373"/>
    </row>
    <row r="71" spans="2:79" ht="12.75">
      <c r="B71" s="343"/>
      <c r="C71" s="311">
        <v>2005</v>
      </c>
      <c r="D71" s="345">
        <f t="shared" si="13"/>
        <v>3707117.8539455077</v>
      </c>
      <c r="E71" s="345">
        <f t="shared" si="14"/>
        <v>85375.800888065</v>
      </c>
      <c r="F71" s="345">
        <f t="shared" si="15"/>
        <v>3786876.459015153</v>
      </c>
      <c r="G71" s="344"/>
      <c r="H71" s="12"/>
      <c r="I71" s="339"/>
      <c r="J71" s="311">
        <v>2005</v>
      </c>
      <c r="K71" s="346">
        <f t="shared" si="48"/>
        <v>0.1099354568287961</v>
      </c>
      <c r="L71" s="347">
        <f t="shared" si="34"/>
        <v>416311.9934760446</v>
      </c>
      <c r="M71" s="351">
        <f t="shared" si="35"/>
        <v>0.021514990408183943</v>
      </c>
      <c r="N71" s="340"/>
      <c r="O71" s="15"/>
      <c r="P71" s="325"/>
      <c r="Q71" s="311">
        <v>2005</v>
      </c>
      <c r="R71" s="352">
        <f ca="1">E71*FORECAST(Q71,OFFSET('Saturations and Allocations'!$C$13,1,MATCH(B$6,SATURATIONS_HOUSING_TYPE,0)-1+MATCH(B$2,HVAC_SYSTEMS,0),2,1),'Saturations and Allocations'!$C$14:$C$15)</f>
        <v>8537.5800888065</v>
      </c>
      <c r="S71" s="347">
        <f ca="1" t="shared" si="24"/>
        <v>12013.285944633059</v>
      </c>
      <c r="T71" s="347">
        <f ca="1" t="shared" si="36"/>
        <v>14893.941013802962</v>
      </c>
      <c r="U71" s="347">
        <f ca="1" t="shared" si="37"/>
        <v>35444.807047242524</v>
      </c>
      <c r="V71" s="347">
        <f ca="1" t="shared" si="38"/>
        <v>23431.521102609462</v>
      </c>
      <c r="W71" s="347">
        <f ca="1" t="shared" si="39"/>
        <v>12013.285944633059</v>
      </c>
      <c r="X71" s="307"/>
      <c r="Z71" s="343"/>
      <c r="AA71" s="311">
        <v>2005</v>
      </c>
      <c r="AB71" s="345">
        <f t="shared" si="16"/>
        <v>501802.803504951</v>
      </c>
      <c r="AC71" s="345">
        <f t="shared" si="17"/>
        <v>6657</v>
      </c>
      <c r="AD71" s="345">
        <f t="shared" si="18"/>
        <v>506185.9675530499</v>
      </c>
      <c r="AE71" s="344"/>
      <c r="AF71" s="12"/>
      <c r="AG71" s="339"/>
      <c r="AH71" s="311">
        <v>2005</v>
      </c>
      <c r="AI71" s="346">
        <f t="shared" si="49"/>
        <v>0.14574664321027436</v>
      </c>
      <c r="AJ71" s="347">
        <f t="shared" si="40"/>
        <v>73774.90561100189</v>
      </c>
      <c r="AK71" s="351">
        <f t="shared" si="41"/>
        <v>0.008734833718512025</v>
      </c>
      <c r="AL71" s="340"/>
      <c r="AM71" s="15"/>
      <c r="AN71" s="325"/>
      <c r="AO71" s="311">
        <v>2005</v>
      </c>
      <c r="AP71" s="352">
        <f ca="1">AC71*FORECAST(AO71,OFFSET('Saturations and Allocations'!$C$13,1,MATCH(Z$6,SATURATIONS_HOUSING_TYPE,0)-1+MATCH(Z$2,HVAC_SYSTEMS,0),2,1),'Saturations and Allocations'!$C$14:$C$15)</f>
        <v>665.7</v>
      </c>
      <c r="AQ71" s="347">
        <f ca="1" t="shared" si="26"/>
        <v>1807.7169471184593</v>
      </c>
      <c r="AR71" s="347">
        <f ca="1" t="shared" si="42"/>
        <v>2604.53155411052</v>
      </c>
      <c r="AS71" s="347">
        <f ca="1" t="shared" si="43"/>
        <v>5077.94850122898</v>
      </c>
      <c r="AT71" s="347">
        <f ca="1" t="shared" si="44"/>
        <v>3270.23155411052</v>
      </c>
      <c r="AU71" s="347">
        <f ca="1" t="shared" si="45"/>
        <v>1807.7169471184593</v>
      </c>
      <c r="AV71" s="307"/>
      <c r="AX71" s="343"/>
      <c r="AY71" s="311">
        <v>2005</v>
      </c>
      <c r="AZ71" s="345">
        <f t="shared" si="19"/>
        <v>4208920.657450459</v>
      </c>
      <c r="BA71" s="345">
        <f t="shared" si="20"/>
        <v>92032.800888065</v>
      </c>
      <c r="BB71" s="345">
        <f t="shared" si="21"/>
        <v>4293062.426568203</v>
      </c>
      <c r="BC71" s="344"/>
      <c r="BD71" s="12"/>
      <c r="BE71" s="339"/>
      <c r="BF71" s="311">
        <v>2005</v>
      </c>
      <c r="BG71" s="346">
        <f t="shared" si="27"/>
        <v>0.11415787854704298</v>
      </c>
      <c r="BH71" s="345">
        <f t="shared" si="22"/>
        <v>490086.8990870465</v>
      </c>
      <c r="BI71" s="351">
        <f t="shared" si="46"/>
        <v>0.01999129372248909</v>
      </c>
      <c r="BJ71" s="340"/>
      <c r="BK71" s="15"/>
      <c r="BL71" s="325"/>
      <c r="BM71" s="311">
        <v>2005</v>
      </c>
      <c r="BN71" s="345">
        <f ca="1" t="shared" si="28"/>
        <v>9203.280088806501</v>
      </c>
      <c r="BO71" s="345">
        <f ca="1" t="shared" si="29"/>
        <v>13821.002891751517</v>
      </c>
      <c r="BP71" s="345">
        <f ca="1" t="shared" si="30"/>
        <v>17498.472567913483</v>
      </c>
      <c r="BQ71" s="345">
        <f ca="1" t="shared" si="47"/>
        <v>40522.755548471505</v>
      </c>
      <c r="BR71" s="345">
        <f ca="1" t="shared" si="32"/>
        <v>26701.752656719982</v>
      </c>
      <c r="BS71" s="345">
        <f ca="1" t="shared" si="33"/>
        <v>13821.002891751517</v>
      </c>
      <c r="BT71" s="307"/>
      <c r="BV71" s="375"/>
      <c r="BW71" s="311">
        <v>2005</v>
      </c>
      <c r="BX71" s="381">
        <f ca="1" t="shared" si="11"/>
        <v>40522.755548471505</v>
      </c>
      <c r="BY71" s="381">
        <f>IF(ISNUMBER(INDEX(TARGET_SHIPMENTS,MATCH($BV$2,HVAC_SYSTEMS,0),MATCH(BW71,TARGET_SHIPMENT_YEARS,0))),INDEX(TARGET_SHIPMENTS,MATCH($BV$2,HVAC_SYSTEMS,0),MATCH(BW71,TARGET_SHIPMENT_YEARS,0)),0)*'AHRI Shipments'!$J$10</f>
        <v>0</v>
      </c>
      <c r="BZ71" s="360">
        <f ca="1" t="shared" si="12"/>
        <v>0</v>
      </c>
      <c r="CA71" s="373"/>
    </row>
    <row r="72" spans="2:79" ht="12.75">
      <c r="B72" s="343"/>
      <c r="C72" s="311">
        <v>2006</v>
      </c>
      <c r="D72" s="345">
        <f t="shared" si="13"/>
        <v>3786876.459015153</v>
      </c>
      <c r="E72" s="345">
        <f t="shared" si="14"/>
        <v>76635.58122167857</v>
      </c>
      <c r="F72" s="345">
        <f t="shared" si="15"/>
        <v>3857907.5998416455</v>
      </c>
      <c r="G72" s="344"/>
      <c r="H72" s="12"/>
      <c r="I72" s="339"/>
      <c r="J72" s="311">
        <v>2006</v>
      </c>
      <c r="K72" s="346">
        <f t="shared" si="48"/>
        <v>0.11389088069066343</v>
      </c>
      <c r="L72" s="347">
        <f t="shared" si="34"/>
        <v>439380.4941691686</v>
      </c>
      <c r="M72" s="351">
        <f t="shared" si="35"/>
        <v>0.018757184607222532</v>
      </c>
      <c r="N72" s="340"/>
      <c r="O72" s="15"/>
      <c r="P72" s="325"/>
      <c r="Q72" s="311">
        <v>2006</v>
      </c>
      <c r="R72" s="352">
        <f ca="1">E72*FORECAST(Q72,OFFSET('Saturations and Allocations'!$C$13,1,MATCH(B$6,SATURATIONS_HOUSING_TYPE,0)-1+MATCH(B$2,HVAC_SYSTEMS,0),2,1),'Saturations and Allocations'!$C$14:$C$15)</f>
        <v>7663.558122167858</v>
      </c>
      <c r="S72" s="347">
        <f ca="1" t="shared" si="24"/>
        <v>12432.782680384193</v>
      </c>
      <c r="T72" s="347">
        <f ca="1" t="shared" si="36"/>
        <v>15404.942570956104</v>
      </c>
      <c r="U72" s="347">
        <f ca="1" t="shared" si="37"/>
        <v>35501.28337350815</v>
      </c>
      <c r="V72" s="347">
        <f ca="1" t="shared" si="38"/>
        <v>23068.500693123962</v>
      </c>
      <c r="W72" s="347">
        <f ca="1" t="shared" si="39"/>
        <v>12432.782680384193</v>
      </c>
      <c r="X72" s="307"/>
      <c r="Z72" s="343"/>
      <c r="AA72" s="311">
        <v>2006</v>
      </c>
      <c r="AB72" s="345">
        <f t="shared" si="16"/>
        <v>506185.9675530499</v>
      </c>
      <c r="AC72" s="345">
        <f t="shared" si="17"/>
        <v>6343</v>
      </c>
      <c r="AD72" s="345">
        <f t="shared" si="18"/>
        <v>510279.43205521867</v>
      </c>
      <c r="AE72" s="344"/>
      <c r="AF72" s="12"/>
      <c r="AG72" s="339"/>
      <c r="AH72" s="311">
        <v>2006</v>
      </c>
      <c r="AI72" s="346">
        <f t="shared" si="49"/>
        <v>0.15099053600856197</v>
      </c>
      <c r="AJ72" s="347">
        <f t="shared" si="40"/>
        <v>77047.36496016204</v>
      </c>
      <c r="AK72" s="351">
        <f t="shared" si="41"/>
        <v>0.00808687866626756</v>
      </c>
      <c r="AL72" s="340"/>
      <c r="AM72" s="15"/>
      <c r="AN72" s="325"/>
      <c r="AO72" s="311">
        <v>2006</v>
      </c>
      <c r="AP72" s="352">
        <f ca="1">AC72*FORECAST(AO72,OFFSET('Saturations and Allocations'!$C$13,1,MATCH(Z$6,SATURATIONS_HOUSING_TYPE,0)-1+MATCH(Z$2,HVAC_SYSTEMS,0),2,1),'Saturations and Allocations'!$C$14:$C$15)</f>
        <v>634.3000000000001</v>
      </c>
      <c r="AQ72" s="347">
        <f ca="1" t="shared" si="26"/>
        <v>1971.9400035055828</v>
      </c>
      <c r="AR72" s="347">
        <f ca="1" t="shared" si="42"/>
        <v>2638.159349160155</v>
      </c>
      <c r="AS72" s="347">
        <f ca="1" t="shared" si="43"/>
        <v>5244.399352665738</v>
      </c>
      <c r="AT72" s="347">
        <f ca="1" t="shared" si="44"/>
        <v>3272.4593491601554</v>
      </c>
      <c r="AU72" s="347">
        <f ca="1" t="shared" si="45"/>
        <v>1971.9400035055828</v>
      </c>
      <c r="AV72" s="307"/>
      <c r="AX72" s="343"/>
      <c r="AY72" s="311">
        <v>2006</v>
      </c>
      <c r="AZ72" s="345">
        <f t="shared" si="19"/>
        <v>4293062.426568203</v>
      </c>
      <c r="BA72" s="345">
        <f t="shared" si="20"/>
        <v>82978.58122167857</v>
      </c>
      <c r="BB72" s="345">
        <f t="shared" si="21"/>
        <v>4368187.031896864</v>
      </c>
      <c r="BC72" s="344"/>
      <c r="BD72" s="12"/>
      <c r="BE72" s="339"/>
      <c r="BF72" s="311">
        <v>2006</v>
      </c>
      <c r="BG72" s="346">
        <f t="shared" si="27"/>
        <v>0.11822475900375408</v>
      </c>
      <c r="BH72" s="345">
        <f t="shared" si="22"/>
        <v>516427.8591293306</v>
      </c>
      <c r="BI72" s="351">
        <f t="shared" si="46"/>
        <v>0.01749907126058603</v>
      </c>
      <c r="BJ72" s="340"/>
      <c r="BK72" s="15"/>
      <c r="BL72" s="325"/>
      <c r="BM72" s="311">
        <v>2006</v>
      </c>
      <c r="BN72" s="345">
        <f ca="1" t="shared" si="28"/>
        <v>8297.858122167858</v>
      </c>
      <c r="BO72" s="345">
        <f ca="1" t="shared" si="29"/>
        <v>14404.722683889775</v>
      </c>
      <c r="BP72" s="345">
        <f ca="1" t="shared" si="30"/>
        <v>18043.10192011626</v>
      </c>
      <c r="BQ72" s="345">
        <f ca="1" t="shared" si="47"/>
        <v>40745.68272617389</v>
      </c>
      <c r="BR72" s="345">
        <f ca="1" t="shared" si="32"/>
        <v>26340.960042284118</v>
      </c>
      <c r="BS72" s="345">
        <f ca="1" t="shared" si="33"/>
        <v>14404.722683889775</v>
      </c>
      <c r="BT72" s="307"/>
      <c r="BV72" s="375"/>
      <c r="BW72" s="311">
        <v>2006</v>
      </c>
      <c r="BX72" s="381">
        <f ca="1" t="shared" si="11"/>
        <v>40745.68272617389</v>
      </c>
      <c r="BY72" s="381">
        <f>IF(ISNUMBER(INDEX(TARGET_SHIPMENTS,MATCH($BV$2,HVAC_SYSTEMS,0),MATCH(BW72,TARGET_SHIPMENT_YEARS,0))),INDEX(TARGET_SHIPMENTS,MATCH($BV$2,HVAC_SYSTEMS,0),MATCH(BW72,TARGET_SHIPMENT_YEARS,0)),0)*'AHRI Shipments'!$J$10</f>
        <v>0</v>
      </c>
      <c r="BZ72" s="360">
        <f ca="1" t="shared" si="12"/>
        <v>0</v>
      </c>
      <c r="CA72" s="373"/>
    </row>
    <row r="73" spans="2:79" ht="12.75">
      <c r="B73" s="343"/>
      <c r="C73" s="311">
        <v>2007</v>
      </c>
      <c r="D73" s="345">
        <f t="shared" si="13"/>
        <v>3857907.5998416455</v>
      </c>
      <c r="E73" s="345">
        <f t="shared" si="14"/>
        <v>58437.30245263851</v>
      </c>
      <c r="F73" s="345">
        <f t="shared" si="15"/>
        <v>3910753.1883575544</v>
      </c>
      <c r="G73" s="344"/>
      <c r="H73" s="12"/>
      <c r="I73" s="339"/>
      <c r="J73" s="311">
        <v>2007</v>
      </c>
      <c r="K73" s="346">
        <f t="shared" si="48"/>
        <v>0.11784630455253076</v>
      </c>
      <c r="L73" s="347">
        <f t="shared" si="34"/>
        <v>460867.81126496504</v>
      </c>
      <c r="M73" s="351">
        <f t="shared" si="35"/>
        <v>0.013697992279047444</v>
      </c>
      <c r="N73" s="340"/>
      <c r="O73" s="15"/>
      <c r="P73" s="325"/>
      <c r="Q73" s="311">
        <v>2007</v>
      </c>
      <c r="R73" s="352">
        <f ca="1">E73*FORECAST(Q73,OFFSET('Saturations and Allocations'!$C$13,1,MATCH(B$6,SATURATIONS_HOUSING_TYPE,0)-1+MATCH(B$2,HVAC_SYSTEMS,0),2,1),'Saturations and Allocations'!$C$14:$C$15)</f>
        <v>5843.730245263851</v>
      </c>
      <c r="S73" s="347">
        <f ca="1" t="shared" si="24"/>
        <v>12597.910905522589</v>
      </c>
      <c r="T73" s="347">
        <f ca="1" t="shared" si="36"/>
        <v>15643.58685053261</v>
      </c>
      <c r="U73" s="347">
        <f ca="1" t="shared" si="37"/>
        <v>34085.22800131905</v>
      </c>
      <c r="V73" s="347">
        <f ca="1" t="shared" si="38"/>
        <v>21487.31709579646</v>
      </c>
      <c r="W73" s="347">
        <f ca="1" t="shared" si="39"/>
        <v>12597.910905522589</v>
      </c>
      <c r="X73" s="307"/>
      <c r="Z73" s="343"/>
      <c r="AA73" s="311">
        <v>2007</v>
      </c>
      <c r="AB73" s="345">
        <f t="shared" si="16"/>
        <v>510279.43205521867</v>
      </c>
      <c r="AC73" s="345">
        <f t="shared" si="17"/>
        <v>8034.090443514807</v>
      </c>
      <c r="AD73" s="345">
        <f t="shared" si="18"/>
        <v>516088.0277563481</v>
      </c>
      <c r="AE73" s="344"/>
      <c r="AF73" s="12"/>
      <c r="AG73" s="339"/>
      <c r="AH73" s="311">
        <v>2007</v>
      </c>
      <c r="AI73" s="346">
        <f t="shared" si="49"/>
        <v>0.15623442880684957</v>
      </c>
      <c r="AJ73" s="347">
        <f t="shared" si="40"/>
        <v>80630.71823056656</v>
      </c>
      <c r="AK73" s="351">
        <f t="shared" si="41"/>
        <v>0.011383166430468217</v>
      </c>
      <c r="AL73" s="340"/>
      <c r="AM73" s="15"/>
      <c r="AN73" s="325"/>
      <c r="AO73" s="311">
        <v>2007</v>
      </c>
      <c r="AP73" s="352">
        <f ca="1">AC73*FORECAST(AO73,OFFSET('Saturations and Allocations'!$C$13,1,MATCH(Z$6,SATURATIONS_HOUSING_TYPE,0)-1+MATCH(Z$2,HVAC_SYSTEMS,0),2,1),'Saturations and Allocations'!$C$14:$C$15)</f>
        <v>803.4090443514807</v>
      </c>
      <c r="AQ73" s="347">
        <f ca="1" t="shared" si="26"/>
        <v>2061.970311127562</v>
      </c>
      <c r="AR73" s="347">
        <f ca="1" t="shared" si="42"/>
        <v>2779.9442260530404</v>
      </c>
      <c r="AS73" s="347">
        <f ca="1" t="shared" si="43"/>
        <v>5645.323581532083</v>
      </c>
      <c r="AT73" s="347">
        <f ca="1" t="shared" si="44"/>
        <v>3583.353270404521</v>
      </c>
      <c r="AU73" s="347">
        <f ca="1" t="shared" si="45"/>
        <v>2061.970311127562</v>
      </c>
      <c r="AV73" s="307"/>
      <c r="AX73" s="343"/>
      <c r="AY73" s="311">
        <v>2007</v>
      </c>
      <c r="AZ73" s="345">
        <f t="shared" si="19"/>
        <v>4368187.031896864</v>
      </c>
      <c r="BA73" s="345">
        <f t="shared" si="20"/>
        <v>66471.39289615332</v>
      </c>
      <c r="BB73" s="345">
        <f t="shared" si="21"/>
        <v>4426841.216113903</v>
      </c>
      <c r="BC73" s="344"/>
      <c r="BD73" s="12"/>
      <c r="BE73" s="339"/>
      <c r="BF73" s="311">
        <v>2007</v>
      </c>
      <c r="BG73" s="346">
        <f t="shared" si="27"/>
        <v>0.12232165172865302</v>
      </c>
      <c r="BH73" s="345">
        <f t="shared" si="22"/>
        <v>541498.5294955316</v>
      </c>
      <c r="BI73" s="351">
        <f t="shared" si="46"/>
        <v>0.01342758077635886</v>
      </c>
      <c r="BJ73" s="340"/>
      <c r="BK73" s="15"/>
      <c r="BL73" s="325"/>
      <c r="BM73" s="311">
        <v>2007</v>
      </c>
      <c r="BN73" s="345">
        <f ca="1" t="shared" si="28"/>
        <v>6647.139289615332</v>
      </c>
      <c r="BO73" s="345">
        <f ca="1" t="shared" si="29"/>
        <v>14659.881216650152</v>
      </c>
      <c r="BP73" s="345">
        <f ca="1" t="shared" si="30"/>
        <v>18423.531076585652</v>
      </c>
      <c r="BQ73" s="345">
        <f ca="1" t="shared" si="47"/>
        <v>39730.55158285113</v>
      </c>
      <c r="BR73" s="345">
        <f ca="1" t="shared" si="32"/>
        <v>25070.670366200982</v>
      </c>
      <c r="BS73" s="345">
        <f ca="1" t="shared" si="33"/>
        <v>14659.881216650152</v>
      </c>
      <c r="BT73" s="307"/>
      <c r="BV73" s="375"/>
      <c r="BW73" s="311">
        <v>2007</v>
      </c>
      <c r="BX73" s="381">
        <f ca="1" t="shared" si="11"/>
        <v>39730.55158285113</v>
      </c>
      <c r="BY73" s="381">
        <f>IF(ISNUMBER(INDEX(TARGET_SHIPMENTS,MATCH($BV$2,HVAC_SYSTEMS,0),MATCH(BW73,TARGET_SHIPMENT_YEARS,0))),INDEX(TARGET_SHIPMENTS,MATCH($BV$2,HVAC_SYSTEMS,0),MATCH(BW73,TARGET_SHIPMENT_YEARS,0)),0)*'AHRI Shipments'!$J$10</f>
        <v>0</v>
      </c>
      <c r="BZ73" s="360">
        <f ca="1" t="shared" si="12"/>
        <v>0</v>
      </c>
      <c r="CA73" s="373"/>
    </row>
    <row r="74" spans="2:79" ht="12.75">
      <c r="B74" s="343"/>
      <c r="C74" s="311">
        <v>2008</v>
      </c>
      <c r="D74" s="345">
        <f t="shared" si="13"/>
        <v>3910753.1883575544</v>
      </c>
      <c r="E74" s="345">
        <f t="shared" si="14"/>
        <v>34499.649056482594</v>
      </c>
      <c r="F74" s="345">
        <f t="shared" si="15"/>
        <v>3939673.8210367598</v>
      </c>
      <c r="G74" s="344"/>
      <c r="H74" s="12"/>
      <c r="I74" s="339"/>
      <c r="J74" s="311">
        <v>2008</v>
      </c>
      <c r="K74" s="346">
        <f t="shared" si="48"/>
        <v>0.12180172841439808</v>
      </c>
      <c r="L74" s="347">
        <f t="shared" si="34"/>
        <v>479859.0807912334</v>
      </c>
      <c r="M74" s="351">
        <f t="shared" si="35"/>
        <v>0.007395156709276041</v>
      </c>
      <c r="N74" s="340"/>
      <c r="O74" s="15"/>
      <c r="P74" s="325"/>
      <c r="Q74" s="311">
        <v>2008</v>
      </c>
      <c r="R74" s="352">
        <f ca="1">E74*FORECAST(Q74,OFFSET('Saturations and Allocations'!$C$13,1,MATCH(B$6,SATURATIONS_HOUSING_TYPE,0)-1+MATCH(B$2,HVAC_SYSTEMS,0),2,1),'Saturations and Allocations'!$C$14:$C$15)</f>
        <v>3449.9649056482594</v>
      </c>
      <c r="S74" s="347">
        <f ca="1" t="shared" si="24"/>
        <v>12764.073676048432</v>
      </c>
      <c r="T74" s="347">
        <f ca="1" t="shared" si="36"/>
        <v>15541.304620620096</v>
      </c>
      <c r="U74" s="347">
        <f ca="1" t="shared" si="37"/>
        <v>31755.343202316788</v>
      </c>
      <c r="V74" s="347">
        <f ca="1" t="shared" si="38"/>
        <v>18991.269526268356</v>
      </c>
      <c r="W74" s="347">
        <f ca="1" t="shared" si="39"/>
        <v>12764.073676048432</v>
      </c>
      <c r="X74" s="307"/>
      <c r="Z74" s="343"/>
      <c r="AA74" s="311">
        <v>2008</v>
      </c>
      <c r="AB74" s="345">
        <f t="shared" si="16"/>
        <v>516088.0277563481</v>
      </c>
      <c r="AC74" s="345">
        <f t="shared" si="17"/>
        <v>8325.91291995356</v>
      </c>
      <c r="AD74" s="345">
        <f t="shared" si="18"/>
        <v>522212.2297661337</v>
      </c>
      <c r="AE74" s="344"/>
      <c r="AF74" s="12"/>
      <c r="AG74" s="339"/>
      <c r="AH74" s="311">
        <v>2008</v>
      </c>
      <c r="AI74" s="346">
        <f t="shared" si="49"/>
        <v>0.16147832160513717</v>
      </c>
      <c r="AJ74" s="347">
        <f t="shared" si="40"/>
        <v>84325.95438431152</v>
      </c>
      <c r="AK74" s="351">
        <f t="shared" si="41"/>
        <v>0.011866584149239356</v>
      </c>
      <c r="AL74" s="340"/>
      <c r="AM74" s="15"/>
      <c r="AN74" s="325"/>
      <c r="AO74" s="311">
        <v>2008</v>
      </c>
      <c r="AP74" s="352">
        <f ca="1">AC74*FORECAST(AO74,OFFSET('Saturations and Allocations'!$C$13,1,MATCH(Z$6,SATURATIONS_HOUSING_TYPE,0)-1+MATCH(Z$2,HVAC_SYSTEMS,0),2,1),'Saturations and Allocations'!$C$14:$C$15)</f>
        <v>832.5912919953561</v>
      </c>
      <c r="AQ74" s="347">
        <f ca="1" t="shared" si="26"/>
        <v>2084.406283977238</v>
      </c>
      <c r="AR74" s="347">
        <f ca="1" t="shared" si="42"/>
        <v>2862.6448617496053</v>
      </c>
      <c r="AS74" s="347">
        <f ca="1" t="shared" si="43"/>
        <v>5779.642437722199</v>
      </c>
      <c r="AT74" s="347">
        <f ca="1" t="shared" si="44"/>
        <v>3695.2361537449615</v>
      </c>
      <c r="AU74" s="347">
        <f ca="1" t="shared" si="45"/>
        <v>2084.406283977238</v>
      </c>
      <c r="AV74" s="307"/>
      <c r="AX74" s="343"/>
      <c r="AY74" s="311">
        <v>2008</v>
      </c>
      <c r="AZ74" s="345">
        <f t="shared" si="19"/>
        <v>4426841.216113903</v>
      </c>
      <c r="BA74" s="345">
        <f t="shared" si="20"/>
        <v>42825.561976436155</v>
      </c>
      <c r="BB74" s="345">
        <f t="shared" si="21"/>
        <v>4461886.050802894</v>
      </c>
      <c r="BC74" s="344"/>
      <c r="BD74" s="12"/>
      <c r="BE74" s="339"/>
      <c r="BF74" s="311">
        <v>2008</v>
      </c>
      <c r="BG74" s="346">
        <f t="shared" si="27"/>
        <v>0.1264454154032066</v>
      </c>
      <c r="BH74" s="345">
        <f t="shared" si="22"/>
        <v>564185.0351755449</v>
      </c>
      <c r="BI74" s="351">
        <f t="shared" si="46"/>
        <v>0.007916442668290502</v>
      </c>
      <c r="BJ74" s="340"/>
      <c r="BK74" s="15"/>
      <c r="BL74" s="325"/>
      <c r="BM74" s="311">
        <v>2008</v>
      </c>
      <c r="BN74" s="345">
        <f ca="1" t="shared" si="28"/>
        <v>4282.556197643616</v>
      </c>
      <c r="BO74" s="345">
        <f ca="1" t="shared" si="29"/>
        <v>14848.47996002567</v>
      </c>
      <c r="BP74" s="345">
        <f ca="1" t="shared" si="30"/>
        <v>18403.949482369702</v>
      </c>
      <c r="BQ74" s="345">
        <f ca="1" t="shared" si="47"/>
        <v>37534.98564003898</v>
      </c>
      <c r="BR74" s="345">
        <f ca="1" t="shared" si="32"/>
        <v>22686.505680013317</v>
      </c>
      <c r="BS74" s="345">
        <f ca="1" t="shared" si="33"/>
        <v>14848.47996002567</v>
      </c>
      <c r="BT74" s="307"/>
      <c r="BV74" s="375"/>
      <c r="BW74" s="311">
        <v>2008</v>
      </c>
      <c r="BX74" s="381">
        <f ca="1" t="shared" si="11"/>
        <v>37534.98564003898</v>
      </c>
      <c r="BY74" s="381">
        <f>IF(ISNUMBER(INDEX(TARGET_SHIPMENTS,MATCH($BV$2,HVAC_SYSTEMS,0),MATCH(BW74,TARGET_SHIPMENT_YEARS,0))),INDEX(TARGET_SHIPMENTS,MATCH($BV$2,HVAC_SYSTEMS,0),MATCH(BW74,TARGET_SHIPMENT_YEARS,0)),0)*'AHRI Shipments'!$J$10</f>
        <v>0</v>
      </c>
      <c r="BZ74" s="360">
        <f ca="1" t="shared" si="12"/>
        <v>0</v>
      </c>
      <c r="CA74" s="373"/>
    </row>
    <row r="75" spans="2:79" ht="12.75">
      <c r="B75" s="343"/>
      <c r="C75" s="311">
        <v>2009</v>
      </c>
      <c r="D75" s="345">
        <f t="shared" si="13"/>
        <v>3939673.8210367598</v>
      </c>
      <c r="E75" s="345">
        <f t="shared" si="14"/>
        <v>26476.889030213424</v>
      </c>
      <c r="F75" s="345">
        <f t="shared" si="15"/>
        <v>3960584.3624157677</v>
      </c>
      <c r="G75" s="344"/>
      <c r="H75" s="12"/>
      <c r="I75" s="339"/>
      <c r="J75" s="311">
        <v>2009</v>
      </c>
      <c r="K75" s="346">
        <f t="shared" si="48"/>
        <v>0.1257571522762654</v>
      </c>
      <c r="L75" s="347">
        <f t="shared" si="34"/>
        <v>498071.81076731527</v>
      </c>
      <c r="M75" s="351">
        <f t="shared" si="35"/>
        <v>0.005307683409563335</v>
      </c>
      <c r="N75" s="340"/>
      <c r="O75" s="15"/>
      <c r="P75" s="325"/>
      <c r="Q75" s="311">
        <v>2009</v>
      </c>
      <c r="R75" s="352">
        <f ca="1">E75*FORECAST(Q75,OFFSET('Saturations and Allocations'!$C$13,1,MATCH(B$6,SATURATIONS_HOUSING_TYPE,0)-1+MATCH(B$2,HVAC_SYSTEMS,0),2,1),'Saturations and Allocations'!$C$14:$C$15)</f>
        <v>2647.6889030213424</v>
      </c>
      <c r="S75" s="347">
        <f ca="1" t="shared" si="24"/>
        <v>13051.711837445855</v>
      </c>
      <c r="T75" s="347">
        <f ca="1" t="shared" si="36"/>
        <v>15565.041073060529</v>
      </c>
      <c r="U75" s="347">
        <f ca="1" t="shared" si="37"/>
        <v>31264.441813527726</v>
      </c>
      <c r="V75" s="347">
        <f ca="1" t="shared" si="38"/>
        <v>18212.72997608187</v>
      </c>
      <c r="W75" s="347">
        <f ca="1" t="shared" si="39"/>
        <v>13051.711837445855</v>
      </c>
      <c r="X75" s="307"/>
      <c r="Z75" s="343"/>
      <c r="AA75" s="311">
        <v>2009</v>
      </c>
      <c r="AB75" s="345">
        <f t="shared" si="16"/>
        <v>522212.2297661337</v>
      </c>
      <c r="AC75" s="345">
        <f t="shared" si="17"/>
        <v>8447.209519194574</v>
      </c>
      <c r="AD75" s="345">
        <f t="shared" si="18"/>
        <v>528481.2580298844</v>
      </c>
      <c r="AE75" s="344"/>
      <c r="AF75" s="12"/>
      <c r="AG75" s="339"/>
      <c r="AH75" s="311">
        <v>2009</v>
      </c>
      <c r="AI75" s="346">
        <f t="shared" si="49"/>
        <v>0.16672221440342477</v>
      </c>
      <c r="AJ75" s="347">
        <f t="shared" si="40"/>
        <v>88109.56560945004</v>
      </c>
      <c r="AK75" s="351">
        <f t="shared" si="41"/>
        <v>0.012004751911992129</v>
      </c>
      <c r="AL75" s="340"/>
      <c r="AM75" s="15"/>
      <c r="AN75" s="325"/>
      <c r="AO75" s="311">
        <v>2009</v>
      </c>
      <c r="AP75" s="352">
        <f ca="1">AC75*FORECAST(AO75,OFFSET('Saturations and Allocations'!$C$13,1,MATCH(Z$6,SATURATIONS_HOUSING_TYPE,0)-1+MATCH(Z$2,HVAC_SYSTEMS,0),2,1),'Saturations and Allocations'!$C$14:$C$15)</f>
        <v>844.7209519194574</v>
      </c>
      <c r="AQ75" s="347">
        <f ca="1" t="shared" si="26"/>
        <v>2081.9090277886103</v>
      </c>
      <c r="AR75" s="347">
        <f ca="1" t="shared" si="42"/>
        <v>2938.8902732190627</v>
      </c>
      <c r="AS75" s="347">
        <f ca="1" t="shared" si="43"/>
        <v>5865.52025292713</v>
      </c>
      <c r="AT75" s="347">
        <f ca="1" t="shared" si="44"/>
        <v>3783.6112251385202</v>
      </c>
      <c r="AU75" s="347">
        <f ca="1" t="shared" si="45"/>
        <v>2081.9090277886103</v>
      </c>
      <c r="AV75" s="307"/>
      <c r="AX75" s="343"/>
      <c r="AY75" s="311">
        <v>2009</v>
      </c>
      <c r="AZ75" s="345">
        <f t="shared" si="19"/>
        <v>4461886.050802894</v>
      </c>
      <c r="BA75" s="345">
        <f t="shared" si="20"/>
        <v>34924.098549407994</v>
      </c>
      <c r="BB75" s="345">
        <f t="shared" si="21"/>
        <v>4489065.620445652</v>
      </c>
      <c r="BC75" s="344"/>
      <c r="BD75" s="12"/>
      <c r="BE75" s="339"/>
      <c r="BF75" s="311">
        <v>2009</v>
      </c>
      <c r="BG75" s="346">
        <f t="shared" si="27"/>
        <v>0.13057981904006388</v>
      </c>
      <c r="BH75" s="345">
        <f t="shared" si="22"/>
        <v>586181.3763767653</v>
      </c>
      <c r="BI75" s="351">
        <f t="shared" si="46"/>
        <v>0.006091497930088785</v>
      </c>
      <c r="BJ75" s="340"/>
      <c r="BK75" s="15"/>
      <c r="BL75" s="325"/>
      <c r="BM75" s="311">
        <v>2009</v>
      </c>
      <c r="BN75" s="345">
        <f ca="1" t="shared" si="28"/>
        <v>3492.4098549408</v>
      </c>
      <c r="BO75" s="345">
        <f ca="1" t="shared" si="29"/>
        <v>15133.620865234465</v>
      </c>
      <c r="BP75" s="345">
        <f ca="1" t="shared" si="30"/>
        <v>18503.93134627959</v>
      </c>
      <c r="BQ75" s="345">
        <f ca="1" t="shared" si="47"/>
        <v>37129.96206645486</v>
      </c>
      <c r="BR75" s="345">
        <f ca="1" t="shared" si="32"/>
        <v>21996.34120122039</v>
      </c>
      <c r="BS75" s="345">
        <f ca="1" t="shared" si="33"/>
        <v>15133.620865234465</v>
      </c>
      <c r="BT75" s="307"/>
      <c r="BV75" s="375"/>
      <c r="BW75" s="311">
        <v>2009</v>
      </c>
      <c r="BX75" s="381">
        <f ca="1" t="shared" si="11"/>
        <v>37129.96206645486</v>
      </c>
      <c r="BY75" s="381">
        <f>IF(ISNUMBER(INDEX(TARGET_SHIPMENTS,MATCH($BV$2,HVAC_SYSTEMS,0),MATCH(BW75,TARGET_SHIPMENT_YEARS,0))),INDEX(TARGET_SHIPMENTS,MATCH($BV$2,HVAC_SYSTEMS,0),MATCH(BW75,TARGET_SHIPMENT_YEARS,0)),0)*'AHRI Shipments'!$J$10</f>
        <v>0</v>
      </c>
      <c r="BZ75" s="360">
        <f ca="1" t="shared" si="12"/>
        <v>0</v>
      </c>
      <c r="CA75" s="373"/>
    </row>
    <row r="76" spans="2:79" ht="13.5" thickBot="1">
      <c r="B76" s="343"/>
      <c r="C76" s="311">
        <v>2010</v>
      </c>
      <c r="D76" s="345">
        <f t="shared" si="13"/>
        <v>3960584.3624157677</v>
      </c>
      <c r="E76" s="345">
        <f t="shared" si="14"/>
        <v>43008.78356094843</v>
      </c>
      <c r="F76" s="345">
        <f t="shared" si="15"/>
        <v>3998039.4382836763</v>
      </c>
      <c r="G76" s="344"/>
      <c r="H76" s="12"/>
      <c r="I76" s="339"/>
      <c r="J76" s="311">
        <v>2010</v>
      </c>
      <c r="K76" s="346">
        <f t="shared" si="48"/>
        <v>0.12971257613813272</v>
      </c>
      <c r="L76" s="347">
        <f t="shared" si="34"/>
        <v>518595.9950416287</v>
      </c>
      <c r="M76" s="351">
        <f t="shared" si="35"/>
        <v>0.009456956964063457</v>
      </c>
      <c r="N76" s="340"/>
      <c r="O76" s="15"/>
      <c r="P76" s="325"/>
      <c r="Q76" s="311">
        <v>2010</v>
      </c>
      <c r="R76" s="352">
        <f ca="1">E76*FORECAST(Q76,OFFSET('Saturations and Allocations'!$C$13,1,MATCH(B$6,SATURATIONS_HOUSING_TYPE,0)-1+MATCH(B$2,HVAC_SYSTEMS,0),2,1),'Saturations and Allocations'!$C$14:$C$15)</f>
        <v>4300.878356094843</v>
      </c>
      <c r="S76" s="347">
        <f ca="1" t="shared" si="24"/>
        <v>13280.14189308335</v>
      </c>
      <c r="T76" s="347">
        <f ca="1" t="shared" si="36"/>
        <v>16223.305918218604</v>
      </c>
      <c r="U76" s="347">
        <f ca="1" t="shared" si="37"/>
        <v>33804.32616739679</v>
      </c>
      <c r="V76" s="347">
        <f ca="1" t="shared" si="38"/>
        <v>20524.184274313448</v>
      </c>
      <c r="W76" s="347">
        <f ca="1" t="shared" si="39"/>
        <v>13280.14189308335</v>
      </c>
      <c r="X76" s="307"/>
      <c r="Z76" s="343"/>
      <c r="AA76" s="311">
        <v>2010</v>
      </c>
      <c r="AB76" s="345">
        <f t="shared" si="16"/>
        <v>528481.2580298844</v>
      </c>
      <c r="AC76" s="345">
        <f t="shared" si="17"/>
        <v>8481.56998863191</v>
      </c>
      <c r="AD76" s="345">
        <f t="shared" si="18"/>
        <v>534807.9249566947</v>
      </c>
      <c r="AE76" s="344"/>
      <c r="AF76" s="12"/>
      <c r="AG76" s="339"/>
      <c r="AH76" s="311">
        <v>2010</v>
      </c>
      <c r="AI76" s="346">
        <f t="shared" si="49"/>
        <v>0.17196610720171238</v>
      </c>
      <c r="AJ76" s="347">
        <f t="shared" si="40"/>
        <v>91968.83695542831</v>
      </c>
      <c r="AK76" s="351">
        <f t="shared" si="41"/>
        <v>0.011971412099636813</v>
      </c>
      <c r="AL76" s="340"/>
      <c r="AM76" s="15"/>
      <c r="AN76" s="325"/>
      <c r="AO76" s="311">
        <v>2010</v>
      </c>
      <c r="AP76" s="352">
        <f ca="1">AC76*FORECAST(AO76,OFFSET('Saturations and Allocations'!$C$13,1,MATCH(Z$6,SATURATIONS_HOUSING_TYPE,0)-1+MATCH(Z$2,HVAC_SYSTEMS,0),2,1),'Saturations and Allocations'!$C$14:$C$15)</f>
        <v>848.1569988631911</v>
      </c>
      <c r="AQ76" s="347">
        <f ca="1" t="shared" si="26"/>
        <v>2118.67477674699</v>
      </c>
      <c r="AR76" s="347">
        <f ca="1" t="shared" si="42"/>
        <v>3011.114347115077</v>
      </c>
      <c r="AS76" s="347">
        <f aca="true" t="shared" si="50" ref="AS76:AS81">SUM(AP76:AR76)</f>
        <v>5977.946122725259</v>
      </c>
      <c r="AT76" s="347">
        <f ca="1" t="shared" si="44"/>
        <v>3859.271345978268</v>
      </c>
      <c r="AU76" s="347">
        <f ca="1" t="shared" si="45"/>
        <v>2118.67477674699</v>
      </c>
      <c r="AV76" s="307"/>
      <c r="AX76" s="343"/>
      <c r="AY76" s="311">
        <v>2010</v>
      </c>
      <c r="AZ76" s="345">
        <f t="shared" si="19"/>
        <v>4489065.620445652</v>
      </c>
      <c r="BA76" s="345">
        <f t="shared" si="20"/>
        <v>51490.353549580344</v>
      </c>
      <c r="BB76" s="345">
        <f t="shared" si="21"/>
        <v>4532847.3632403705</v>
      </c>
      <c r="BC76" s="344"/>
      <c r="BD76" s="12"/>
      <c r="BE76" s="339"/>
      <c r="BF76" s="311">
        <v>2010</v>
      </c>
      <c r="BG76" s="346">
        <f t="shared" si="27"/>
        <v>0.13469785833701362</v>
      </c>
      <c r="BH76" s="345">
        <f t="shared" si="22"/>
        <v>610564.8319970571</v>
      </c>
      <c r="BI76" s="351">
        <f t="shared" si="46"/>
        <v>0.009752974560076177</v>
      </c>
      <c r="BJ76" s="340"/>
      <c r="BK76" s="15"/>
      <c r="BL76" s="325"/>
      <c r="BM76" s="311">
        <v>2010</v>
      </c>
      <c r="BN76" s="345">
        <f ca="1" t="shared" si="28"/>
        <v>5149.035354958034</v>
      </c>
      <c r="BO76" s="345">
        <f ca="1" t="shared" si="29"/>
        <v>15398.81666983034</v>
      </c>
      <c r="BP76" s="345">
        <f ca="1" t="shared" si="30"/>
        <v>19234.420265333683</v>
      </c>
      <c r="BQ76" s="345">
        <f ca="1" t="shared" si="47"/>
        <v>39782.272290122055</v>
      </c>
      <c r="BR76" s="345">
        <f ca="1" t="shared" si="32"/>
        <v>24383.455620291716</v>
      </c>
      <c r="BS76" s="345">
        <f ca="1" t="shared" si="33"/>
        <v>15398.81666983034</v>
      </c>
      <c r="BT76" s="307"/>
      <c r="BV76" s="375"/>
      <c r="BW76" s="311">
        <v>2010</v>
      </c>
      <c r="BX76" s="381">
        <f ca="1">BQ76</f>
        <v>39782.272290122055</v>
      </c>
      <c r="BY76" s="381">
        <f>IF(ISNUMBER(INDEX(TARGET_SHIPMENTS,MATCH($BV$2,HVAC_SYSTEMS,0),MATCH(BW76,TARGET_SHIPMENT_YEARS,0))),INDEX(TARGET_SHIPMENTS,MATCH($BV$2,HVAC_SYSTEMS,0),MATCH(BW76,TARGET_SHIPMENT_YEARS,0)),0)*'AHRI Shipments'!$J$10</f>
        <v>40348.98</v>
      </c>
      <c r="BZ76" s="360">
        <f ca="1" t="shared" si="12"/>
        <v>1.0142452322920392</v>
      </c>
      <c r="CA76" s="373"/>
    </row>
    <row r="77" spans="2:79" ht="13.5" thickBot="1">
      <c r="B77" s="343"/>
      <c r="C77" s="311">
        <v>2011</v>
      </c>
      <c r="D77" s="345">
        <f t="shared" si="13"/>
        <v>3998039.4382836763</v>
      </c>
      <c r="E77" s="345">
        <f t="shared" si="14"/>
        <v>59337.1751941772</v>
      </c>
      <c r="F77" s="345">
        <f t="shared" si="15"/>
        <v>4051835.517040399</v>
      </c>
      <c r="G77" s="344"/>
      <c r="H77" s="12"/>
      <c r="I77" s="339"/>
      <c r="J77" s="311">
        <v>2011</v>
      </c>
      <c r="K77" s="349">
        <f>INDEX(SATURATIONS_TABLE,MATCH(J77,SATURATIONS_YEARS,0),MATCH(B$6,SATURATIONS_HOUSING_TYPE,0)-1+MATCH(B$2,HVAC_SYSTEMS,0))</f>
        <v>0.133668</v>
      </c>
      <c r="L77" s="347">
        <f t="shared" si="34"/>
        <v>541600.7498917561</v>
      </c>
      <c r="M77" s="351">
        <f t="shared" si="35"/>
        <v>0.013455614830006901</v>
      </c>
      <c r="N77" s="340"/>
      <c r="O77" s="15"/>
      <c r="P77" s="325"/>
      <c r="Q77" s="311">
        <v>2011</v>
      </c>
      <c r="R77" s="352">
        <f ca="1">E77*FORECAST(Q77,OFFSET('Saturations and Allocations'!$C$13,1,MATCH(B$6,SATURATIONS_HOUSING_TYPE,0)-1+MATCH(B$2,HVAC_SYSTEMS,0),2,1),'Saturations and Allocations'!$C$14:$C$15)</f>
        <v>5933.717519417721</v>
      </c>
      <c r="S77" s="347">
        <f ca="1" t="shared" si="24"/>
        <v>13651.284055829183</v>
      </c>
      <c r="T77" s="347">
        <f ca="1" t="shared" si="36"/>
        <v>17071.037330709663</v>
      </c>
      <c r="U77" s="347">
        <f ca="1">SUM(R77:T77)</f>
        <v>36656.038905956564</v>
      </c>
      <c r="V77" s="347">
        <f ca="1" t="shared" si="38"/>
        <v>23004.754850127385</v>
      </c>
      <c r="W77" s="347">
        <f ca="1" t="shared" si="39"/>
        <v>13651.284055829183</v>
      </c>
      <c r="X77" s="307"/>
      <c r="Z77" s="343"/>
      <c r="AA77" s="311">
        <v>2011</v>
      </c>
      <c r="AB77" s="345">
        <f t="shared" si="16"/>
        <v>534807.9249566947</v>
      </c>
      <c r="AC77" s="345">
        <f t="shared" si="17"/>
        <v>8353.224309281835</v>
      </c>
      <c r="AD77" s="345">
        <f t="shared" si="18"/>
        <v>541029.2756240368</v>
      </c>
      <c r="AE77" s="344"/>
      <c r="AF77" s="12"/>
      <c r="AG77" s="339"/>
      <c r="AH77" s="311">
        <v>2011</v>
      </c>
      <c r="AI77" s="349">
        <f>INDEX(SATURATIONS_TABLE,MATCH(AH77,SATURATIONS_YEARS,0),MATCH(Z$6,SATURATIONS_HOUSING_TYPE,0)-1+MATCH(Z$2,HVAC_SYSTEMS,0))</f>
        <v>0.17721</v>
      </c>
      <c r="AJ77" s="347">
        <f t="shared" si="40"/>
        <v>95875.79793333556</v>
      </c>
      <c r="AK77" s="351">
        <f t="shared" si="41"/>
        <v>0.01163286925459417</v>
      </c>
      <c r="AL77" s="340"/>
      <c r="AM77" s="15"/>
      <c r="AN77" s="325"/>
      <c r="AO77" s="311">
        <v>2011</v>
      </c>
      <c r="AP77" s="352">
        <f ca="1">AC77*FORECAST(AO77,OFFSET('Saturations and Allocations'!$C$13,1,MATCH(Z$6,SATURATIONS_HOUSING_TYPE,0)-1+MATCH(Z$2,HVAC_SYSTEMS,0),2,1),'Saturations and Allocations'!$C$14:$C$15)</f>
        <v>835.3224309281836</v>
      </c>
      <c r="AQ77" s="347">
        <f ca="1" t="shared" si="26"/>
        <v>2239.203051986266</v>
      </c>
      <c r="AR77" s="347">
        <f ca="1" t="shared" si="42"/>
        <v>3071.6385469790653</v>
      </c>
      <c r="AS77" s="347">
        <f ca="1" t="shared" si="50"/>
        <v>6146.164029893514</v>
      </c>
      <c r="AT77" s="347">
        <f ca="1" t="shared" si="44"/>
        <v>3906.960977907249</v>
      </c>
      <c r="AU77" s="347">
        <f ca="1" t="shared" si="45"/>
        <v>2239.203051986266</v>
      </c>
      <c r="AV77" s="307"/>
      <c r="AX77" s="343"/>
      <c r="AY77" s="311">
        <v>2011</v>
      </c>
      <c r="AZ77" s="345">
        <f t="shared" si="19"/>
        <v>4532847.3632403705</v>
      </c>
      <c r="BA77" s="345">
        <f t="shared" si="20"/>
        <v>67690.39950345903</v>
      </c>
      <c r="BB77" s="345">
        <f t="shared" si="21"/>
        <v>4592864.792664436</v>
      </c>
      <c r="BC77" s="344"/>
      <c r="BD77" s="12"/>
      <c r="BE77" s="339"/>
      <c r="BF77" s="311">
        <v>2011</v>
      </c>
      <c r="BG77" s="346">
        <f t="shared" si="27"/>
        <v>0.13879715092925163</v>
      </c>
      <c r="BH77" s="345">
        <f t="shared" si="22"/>
        <v>637476.5478250916</v>
      </c>
      <c r="BI77" s="351">
        <f t="shared" si="46"/>
        <v>0.01324055822192105</v>
      </c>
      <c r="BJ77" s="340"/>
      <c r="BK77" s="15"/>
      <c r="BL77" s="325"/>
      <c r="BM77" s="311">
        <v>2011</v>
      </c>
      <c r="BN77" s="345">
        <f ca="1" t="shared" si="28"/>
        <v>6769.039950345905</v>
      </c>
      <c r="BO77" s="345">
        <f ca="1" t="shared" si="29"/>
        <v>15890.487107815448</v>
      </c>
      <c r="BP77" s="345">
        <f ca="1" t="shared" si="30"/>
        <v>20142.67587768873</v>
      </c>
      <c r="BQ77" s="345">
        <f ca="1" t="shared" si="47"/>
        <v>42802.20293585008</v>
      </c>
      <c r="BR77" s="345">
        <f ca="1" t="shared" si="32"/>
        <v>26911.715828034634</v>
      </c>
      <c r="BS77" s="345">
        <f ca="1" t="shared" si="33"/>
        <v>15890.487107815448</v>
      </c>
      <c r="BT77" s="307"/>
      <c r="BV77" s="375"/>
      <c r="BW77" s="311">
        <v>2011</v>
      </c>
      <c r="BX77" s="381">
        <f ca="1" t="shared" si="11"/>
        <v>42802.20293585008</v>
      </c>
      <c r="BY77" s="381">
        <f>IF(ISNUMBER(INDEX(TARGET_SHIPMENTS,MATCH($BV$2,HVAC_SYSTEMS,0),MATCH(BW77,TARGET_SHIPMENT_YEARS,0))),INDEX(TARGET_SHIPMENTS,MATCH($BV$2,HVAC_SYSTEMS,0),MATCH(BW77,TARGET_SHIPMENT_YEARS,0)),0)*'AHRI Shipments'!$J$10</f>
        <v>37476.21</v>
      </c>
      <c r="BZ77" s="360">
        <f ca="1" t="shared" si="12"/>
        <v>0.8755673173216708</v>
      </c>
      <c r="CA77" s="373"/>
    </row>
    <row r="78" spans="2:79" ht="12.75">
      <c r="B78" s="343"/>
      <c r="C78" s="311">
        <v>2012</v>
      </c>
      <c r="D78" s="345">
        <f>INDEX(HOUSING_STOCK,MATCH(C78,HOUSING_STOCK_YEARS,0)+2,MATCH(B$6,HOUSING_STOCK_BLDG,0)+MATCH(D$10,HOUSING_STOCK_CATEGORY,0)-1)</f>
        <v>4051835.517040399</v>
      </c>
      <c r="E78" s="345">
        <f>INDEX(HOUSING_STOCK,MATCH(C78,HOUSING_STOCK_YEARS,0)+2,MATCH(B$6,HOUSING_STOCK_BLDG,0)+MATCH(E$10,HOUSING_STOCK_CATEGORY,0)-1)</f>
        <v>68726.91929042741</v>
      </c>
      <c r="F78" s="345">
        <f>INDEX(HOUSING_STOCK,MATCH(C78,HOUSING_STOCK_YEARS,0)+2,MATCH(B$6,HOUSING_STOCK_BLDG,0)+MATCH(F$10,HOUSING_STOCK_CATEGORY,0)-1)</f>
        <v>4115033.9225115534</v>
      </c>
      <c r="G78" s="344"/>
      <c r="H78" s="12"/>
      <c r="I78" s="339"/>
      <c r="J78" s="311">
        <v>2012</v>
      </c>
      <c r="K78" s="346">
        <f>FORECAST(J78,K$58:K$77,J$58:J$77)</f>
        <v>0.137623423861867</v>
      </c>
      <c r="L78" s="350">
        <f t="shared" si="34"/>
        <v>566325.0577237686</v>
      </c>
      <c r="M78" s="351">
        <f t="shared" si="35"/>
        <v>0.015597475565177099</v>
      </c>
      <c r="N78" s="340"/>
      <c r="O78" s="15"/>
      <c r="P78" s="325"/>
      <c r="Q78" s="311">
        <v>2012</v>
      </c>
      <c r="R78" s="352">
        <f ca="1">E78*FORECAST(Q78,OFFSET('Saturations and Allocations'!$C$13,1,MATCH(B$6,SATURATIONS_HOUSING_TYPE,0)-1+MATCH(B$2,HVAC_SYSTEMS,0),2,1),'Saturations and Allocations'!$C$14:$C$15)</f>
        <v>6872.691929042741</v>
      </c>
      <c r="S78" s="347">
        <f ca="1" t="shared" si="24"/>
        <v>14300.41691562052</v>
      </c>
      <c r="T78" s="347">
        <f ca="1">L78-L77-R78</f>
        <v>17851.615902969796</v>
      </c>
      <c r="U78" s="347">
        <f ca="1" t="shared" si="37"/>
        <v>39024.72474763306</v>
      </c>
      <c r="V78" s="347">
        <f ca="1" t="shared" si="38"/>
        <v>24724.307832012535</v>
      </c>
      <c r="W78" s="347">
        <f ca="1" t="shared" si="39"/>
        <v>14300.41691562052</v>
      </c>
      <c r="X78" s="307"/>
      <c r="Z78" s="343"/>
      <c r="AA78" s="311">
        <v>2012</v>
      </c>
      <c r="AB78" s="345">
        <f>INDEX(HOUSING_STOCK,MATCH(AA78,HOUSING_STOCK_YEARS,0)+2,MATCH(Z$6,HOUSING_STOCK_BLDG,0)+MATCH(AB$10,HOUSING_STOCK_CATEGORY,0)-1)</f>
        <v>541029.2756240368</v>
      </c>
      <c r="AC78" s="345">
        <f>INDEX(HOUSING_STOCK,MATCH(AA78,HOUSING_STOCK_YEARS,0)+2,MATCH(Z$6,HOUSING_STOCK_BLDG,0)+MATCH(AC$10,HOUSING_STOCK_CATEGORY,0)-1)</f>
        <v>8067.339603182001</v>
      </c>
      <c r="AD78" s="345">
        <f>INDEX(HOUSING_STOCK,MATCH(AA78,HOUSING_STOCK_YEARS,0)+2,MATCH(Z$6,HOUSING_STOCK_BLDG,0)+MATCH(AD$10,HOUSING_STOCK_CATEGORY,0)-1)</f>
        <v>546987.524890062</v>
      </c>
      <c r="AE78" s="344"/>
      <c r="AF78" s="12"/>
      <c r="AG78" s="339"/>
      <c r="AH78" s="311">
        <v>2012</v>
      </c>
      <c r="AI78" s="346">
        <f>FORECAST(AH78,AI$58:AI$77,AH$58:AH$77)</f>
        <v>0.1824538927982875</v>
      </c>
      <c r="AJ78" s="350">
        <f t="shared" si="40"/>
        <v>99800.003228292</v>
      </c>
      <c r="AK78" s="351">
        <f t="shared" si="41"/>
        <v>0.011012803806509153</v>
      </c>
      <c r="AL78" s="340"/>
      <c r="AM78" s="15"/>
      <c r="AN78" s="325"/>
      <c r="AO78" s="311">
        <v>2012</v>
      </c>
      <c r="AP78" s="352">
        <f ca="1">AC78*FORECAST(AO78,OFFSET('Saturations and Allocations'!$C$13,1,MATCH(Z$6,SATURATIONS_HOUSING_TYPE,0)-1+MATCH(Z$2,HVAC_SYSTEMS,0),2,1),'Saturations and Allocations'!$C$14:$C$15)</f>
        <v>806.7339603182002</v>
      </c>
      <c r="AQ78" s="347">
        <f ca="1" t="shared" si="26"/>
        <v>2364.057571693279</v>
      </c>
      <c r="AR78" s="347">
        <f ca="1" t="shared" si="42"/>
        <v>3117.4713346382387</v>
      </c>
      <c r="AS78" s="347">
        <f ca="1" t="shared" si="50"/>
        <v>6288.262866649718</v>
      </c>
      <c r="AT78" s="347">
        <f ca="1" t="shared" si="44"/>
        <v>3924.2052949564386</v>
      </c>
      <c r="AU78" s="347">
        <f ca="1" t="shared" si="45"/>
        <v>2364.057571693279</v>
      </c>
      <c r="AV78" s="307"/>
      <c r="AX78" s="343"/>
      <c r="AY78" s="311">
        <v>2012</v>
      </c>
      <c r="AZ78" s="345">
        <f aca="true" t="shared" si="51" ref="AZ78:BB81">D78+AB78</f>
        <v>4592864.792664436</v>
      </c>
      <c r="BA78" s="345">
        <f t="shared" si="51"/>
        <v>76794.25889360941</v>
      </c>
      <c r="BB78" s="345">
        <f t="shared" si="51"/>
        <v>4662021.447401616</v>
      </c>
      <c r="BC78" s="344"/>
      <c r="BD78" s="12"/>
      <c r="BE78" s="339"/>
      <c r="BF78" s="311">
        <v>2012</v>
      </c>
      <c r="BG78" s="346">
        <f t="shared" si="27"/>
        <v>0.14288331112747804</v>
      </c>
      <c r="BH78" s="345">
        <f>L78+AJ78</f>
        <v>666125.0609520606</v>
      </c>
      <c r="BI78" s="351">
        <f t="shared" si="46"/>
        <v>0.015057411410767996</v>
      </c>
      <c r="BJ78" s="340"/>
      <c r="BK78" s="15"/>
      <c r="BL78" s="325"/>
      <c r="BM78" s="311">
        <v>2012</v>
      </c>
      <c r="BN78" s="345">
        <f ca="1" t="shared" si="28"/>
        <v>7679.425889360941</v>
      </c>
      <c r="BO78" s="345">
        <f ca="1" t="shared" si="29"/>
        <v>16664.4744873138</v>
      </c>
      <c r="BP78" s="345">
        <f ca="1" t="shared" si="30"/>
        <v>20969.087237608033</v>
      </c>
      <c r="BQ78" s="345">
        <f ca="1" t="shared" si="47"/>
        <v>45312.98761428278</v>
      </c>
      <c r="BR78" s="345">
        <f ca="1" t="shared" si="32"/>
        <v>28648.513126968974</v>
      </c>
      <c r="BS78" s="345">
        <f ca="1" t="shared" si="33"/>
        <v>16664.4744873138</v>
      </c>
      <c r="BT78" s="307"/>
      <c r="BV78" s="375"/>
      <c r="BW78" s="311">
        <v>2012</v>
      </c>
      <c r="BX78" s="381">
        <f ca="1" t="shared" si="11"/>
        <v>45312.98761428278</v>
      </c>
      <c r="BY78" s="381">
        <f>IF(ISNUMBER(INDEX(TARGET_SHIPMENTS,MATCH($BV$2,HVAC_SYSTEMS,0),MATCH(BW78,TARGET_SHIPMENT_YEARS,0))),INDEX(TARGET_SHIPMENTS,MATCH($BV$2,HVAC_SYSTEMS,0),MATCH(BW78,TARGET_SHIPMENT_YEARS,0)),0)*'AHRI Shipments'!$J$10</f>
        <v>39644.04</v>
      </c>
      <c r="BZ78" s="360">
        <f ca="1" t="shared" si="12"/>
        <v>0.8748935368698596</v>
      </c>
      <c r="CA78" s="373"/>
    </row>
    <row r="79" spans="2:79" ht="12.75">
      <c r="B79" s="343"/>
      <c r="C79" s="311">
        <v>2013</v>
      </c>
      <c r="D79" s="345">
        <f>INDEX(HOUSING_STOCK,MATCH(C79,HOUSING_STOCK_YEARS,0)+2,MATCH(B$6,HOUSING_STOCK_BLDG,0)+MATCH(D$10,HOUSING_STOCK_CATEGORY,0)-1)</f>
        <v>4115033.9225115534</v>
      </c>
      <c r="E79" s="345">
        <f>INDEX(HOUSING_STOCK,MATCH(C79,HOUSING_STOCK_YEARS,0)+2,MATCH(B$6,HOUSING_STOCK_BLDG,0)+MATCH(E$10,HOUSING_STOCK_CATEGORY,0)-1)</f>
        <v>70465.6470764123</v>
      </c>
      <c r="F79" s="345">
        <f>INDEX(HOUSING_STOCK,MATCH(C79,HOUSING_STOCK_YEARS,0)+2,MATCH(B$6,HOUSING_STOCK_BLDG,0)+MATCH(F$10,HOUSING_STOCK_CATEGORY,0)-1)</f>
        <v>4179983.6098145</v>
      </c>
      <c r="G79" s="344"/>
      <c r="H79" s="12"/>
      <c r="I79" s="339"/>
      <c r="J79" s="311">
        <v>2013</v>
      </c>
      <c r="K79" s="346">
        <f>FORECAST(J79,K$58:K$77,J$58:J$77)</f>
        <v>0.14157884772373475</v>
      </c>
      <c r="L79" s="347">
        <f t="shared" si="34"/>
        <v>591797.2629816341</v>
      </c>
      <c r="M79" s="351">
        <f t="shared" si="35"/>
        <v>0.015783512001598554</v>
      </c>
      <c r="N79" s="340"/>
      <c r="O79" s="15"/>
      <c r="P79" s="325"/>
      <c r="Q79" s="311">
        <v>2013</v>
      </c>
      <c r="R79" s="352">
        <f ca="1">E79*FORECAST(Q79,OFFSET('Saturations and Allocations'!$C$13,1,MATCH(B$6,SATURATIONS_HOUSING_TYPE,0)-1+MATCH(B$2,HVAC_SYSTEMS,0),2,1),'Saturations and Allocations'!$C$14:$C$15)</f>
        <v>7046.56470764123</v>
      </c>
      <c r="S79" s="347">
        <f ca="1" t="shared" si="24"/>
        <v>14940.523944767589</v>
      </c>
      <c r="T79" s="347">
        <f ca="1" t="shared" si="36"/>
        <v>18425.640550224256</v>
      </c>
      <c r="U79" s="347">
        <f ca="1" t="shared" si="37"/>
        <v>40412.729202633076</v>
      </c>
      <c r="V79" s="347">
        <f ca="1" t="shared" si="38"/>
        <v>25472.205257865484</v>
      </c>
      <c r="W79" s="347">
        <f ca="1" t="shared" si="39"/>
        <v>14940.523944767589</v>
      </c>
      <c r="X79" s="307"/>
      <c r="Z79" s="343"/>
      <c r="AA79" s="311">
        <v>2013</v>
      </c>
      <c r="AB79" s="345">
        <f>INDEX(HOUSING_STOCK,MATCH(AA79,HOUSING_STOCK_YEARS,0)+2,MATCH(Z$6,HOUSING_STOCK_BLDG,0)+MATCH(AB$10,HOUSING_STOCK_CATEGORY,0)-1)</f>
        <v>546987.524890062</v>
      </c>
      <c r="AC79" s="345">
        <f>INDEX(HOUSING_STOCK,MATCH(AA79,HOUSING_STOCK_YEARS,0)+2,MATCH(Z$6,HOUSING_STOCK_BLDG,0)+MATCH(AC$10,HOUSING_STOCK_CATEGORY,0)-1)</f>
        <v>7708.062064448706</v>
      </c>
      <c r="AD79" s="345">
        <f>INDEX(HOUSING_STOCK,MATCH(AA79,HOUSING_STOCK_YEARS,0)+2,MATCH(Z$6,HOUSING_STOCK_BLDG,0)+MATCH(AD$10,HOUSING_STOCK_CATEGORY,0)-1)</f>
        <v>552609.0364372669</v>
      </c>
      <c r="AE79" s="344"/>
      <c r="AF79" s="12"/>
      <c r="AG79" s="339"/>
      <c r="AH79" s="311">
        <v>2013</v>
      </c>
      <c r="AI79" s="346">
        <f>FORECAST(AH79,AI$58:AI$77,AH$58:AH$77)</f>
        <v>0.18769778559657446</v>
      </c>
      <c r="AJ79" s="347">
        <f t="shared" si="40"/>
        <v>103723.49243993172</v>
      </c>
      <c r="AK79" s="351">
        <f t="shared" si="41"/>
        <v>0.010277220761725214</v>
      </c>
      <c r="AL79" s="340"/>
      <c r="AM79" s="15"/>
      <c r="AN79" s="325"/>
      <c r="AO79" s="311">
        <v>2013</v>
      </c>
      <c r="AP79" s="352">
        <f ca="1">AC79*FORECAST(AO79,OFFSET('Saturations and Allocations'!$C$13,1,MATCH(Z$6,SATURATIONS_HOUSING_TYPE,0)-1+MATCH(Z$2,HVAC_SYSTEMS,0),2,1),'Saturations and Allocations'!$C$14:$C$15)</f>
        <v>770.8062064448707</v>
      </c>
      <c r="AQ79" s="347">
        <f ca="1" t="shared" si="26"/>
        <v>2570.2091246247387</v>
      </c>
      <c r="AR79" s="347">
        <f ca="1" t="shared" si="42"/>
        <v>3152.6830051948536</v>
      </c>
      <c r="AS79" s="347">
        <f ca="1" t="shared" si="50"/>
        <v>6493.698336264463</v>
      </c>
      <c r="AT79" s="347">
        <f ca="1" t="shared" si="44"/>
        <v>3923.489211639724</v>
      </c>
      <c r="AU79" s="347">
        <f ca="1" t="shared" si="45"/>
        <v>2570.2091246247387</v>
      </c>
      <c r="AV79" s="307"/>
      <c r="AX79" s="343"/>
      <c r="AY79" s="311">
        <v>2013</v>
      </c>
      <c r="AZ79" s="345">
        <f t="shared" si="51"/>
        <v>4662021.447401616</v>
      </c>
      <c r="BA79" s="345">
        <f t="shared" si="51"/>
        <v>78173.709140861</v>
      </c>
      <c r="BB79" s="345">
        <f t="shared" si="51"/>
        <v>4732592.646251767</v>
      </c>
      <c r="BC79" s="344"/>
      <c r="BD79" s="12"/>
      <c r="BE79" s="339"/>
      <c r="BF79" s="311">
        <v>2013</v>
      </c>
      <c r="BG79" s="346">
        <f t="shared" si="27"/>
        <v>0.14696400206183416</v>
      </c>
      <c r="BH79" s="345">
        <f>L79+AJ79</f>
        <v>695520.7554215658</v>
      </c>
      <c r="BI79" s="351">
        <f t="shared" si="46"/>
        <v>0.015137467651394898</v>
      </c>
      <c r="BJ79" s="340"/>
      <c r="BK79" s="15"/>
      <c r="BL79" s="325"/>
      <c r="BM79" s="311">
        <v>2013</v>
      </c>
      <c r="BN79" s="345">
        <f aca="true" t="shared" si="52" ref="BN79:BP81">R79+AP79</f>
        <v>7817.3709140861</v>
      </c>
      <c r="BO79" s="345">
        <f ca="1" t="shared" si="52"/>
        <v>17510.73306939233</v>
      </c>
      <c r="BP79" s="345">
        <f ca="1" t="shared" si="52"/>
        <v>21578.32355541911</v>
      </c>
      <c r="BQ79" s="345">
        <f ca="1" t="shared" si="47"/>
        <v>46906.42753889754</v>
      </c>
      <c r="BR79" s="345">
        <f aca="true" t="shared" si="53" ref="BR79:BS81">V79+AT79</f>
        <v>29395.694469505208</v>
      </c>
      <c r="BS79" s="345">
        <f ca="1" t="shared" si="53"/>
        <v>17510.73306939233</v>
      </c>
      <c r="BT79" s="307"/>
      <c r="BV79" s="375"/>
      <c r="BW79" s="311">
        <v>2013</v>
      </c>
      <c r="BX79" s="381">
        <f ca="1" t="shared" si="11"/>
        <v>46906.42753889754</v>
      </c>
      <c r="BY79" s="381">
        <f>IF(ISNUMBER(INDEX(TARGET_SHIPMENTS,MATCH($BV$2,HVAC_SYSTEMS,0),MATCH(BW79,TARGET_SHIPMENT_YEARS,0))),INDEX(TARGET_SHIPMENTS,MATCH($BV$2,HVAC_SYSTEMS,0),MATCH(BW79,TARGET_SHIPMENT_YEARS,0)),0)*'AHRI Shipments'!$J$10</f>
        <v>45661.14</v>
      </c>
      <c r="BZ79" s="360">
        <f ca="1" t="shared" si="12"/>
        <v>0.9734516652783912</v>
      </c>
      <c r="CA79" s="373"/>
    </row>
    <row r="80" spans="2:79" ht="12.75">
      <c r="B80" s="343"/>
      <c r="C80" s="311">
        <v>2014</v>
      </c>
      <c r="D80" s="345">
        <f>INDEX(HOUSING_STOCK,MATCH(C80,HOUSING_STOCK_YEARS,0)+2,MATCH(B$6,HOUSING_STOCK_BLDG,0)+MATCH(D$10,HOUSING_STOCK_CATEGORY,0)-1)</f>
        <v>4179983.6098145</v>
      </c>
      <c r="E80" s="345">
        <f>INDEX(HOUSING_STOCK,MATCH(C80,HOUSING_STOCK_YEARS,0)+2,MATCH(B$6,HOUSING_STOCK_BLDG,0)+MATCH(E$10,HOUSING_STOCK_CATEGORY,0)-1)</f>
        <v>69968.6195570465</v>
      </c>
      <c r="F80" s="345">
        <f>INDEX(HOUSING_STOCK,MATCH(C80,HOUSING_STOCK_YEARS,0)+2,MATCH(B$6,HOUSING_STOCK_BLDG,0)+MATCH(F$10,HOUSING_STOCK_CATEGORY,0)-1)</f>
        <v>4244448.795136396</v>
      </c>
      <c r="G80" s="344"/>
      <c r="H80" s="12"/>
      <c r="I80" s="339"/>
      <c r="J80" s="311">
        <v>2014</v>
      </c>
      <c r="K80" s="346">
        <f>FORECAST(J80,K$58:K$77,J$58:J$77)</f>
        <v>0.1455342715856025</v>
      </c>
      <c r="L80" s="347">
        <f t="shared" si="34"/>
        <v>617712.7636825636</v>
      </c>
      <c r="M80" s="351">
        <f t="shared" si="35"/>
        <v>0.015422353611754147</v>
      </c>
      <c r="N80" s="340"/>
      <c r="O80" s="15"/>
      <c r="P80" s="325"/>
      <c r="Q80" s="311">
        <v>2014</v>
      </c>
      <c r="R80" s="352">
        <f ca="1">E80*FORECAST(Q80,OFFSET('Saturations and Allocations'!$C$13,1,MATCH(B$6,SATURATIONS_HOUSING_TYPE,0)-1+MATCH(B$2,HVAC_SYSTEMS,0),2,1),'Saturations and Allocations'!$C$14:$C$15)</f>
        <v>6996.861955704651</v>
      </c>
      <c r="S80" s="347">
        <f ca="1" t="shared" si="24"/>
        <v>14955.156466017845</v>
      </c>
      <c r="T80" s="347">
        <f ca="1" t="shared" si="36"/>
        <v>18918.638745224784</v>
      </c>
      <c r="U80" s="347">
        <f ca="1" t="shared" si="37"/>
        <v>40870.657166947276</v>
      </c>
      <c r="V80" s="347">
        <f ca="1" t="shared" si="38"/>
        <v>25915.500700929435</v>
      </c>
      <c r="W80" s="347">
        <f ca="1" t="shared" si="39"/>
        <v>14955.156466017845</v>
      </c>
      <c r="X80" s="307"/>
      <c r="Z80" s="343"/>
      <c r="AA80" s="311">
        <v>2014</v>
      </c>
      <c r="AB80" s="345">
        <f>INDEX(HOUSING_STOCK,MATCH(AA80,HOUSING_STOCK_YEARS,0)+2,MATCH(Z$6,HOUSING_STOCK_BLDG,0)+MATCH(AB$10,HOUSING_STOCK_CATEGORY,0)-1)</f>
        <v>552609.0364372669</v>
      </c>
      <c r="AC80" s="345">
        <f>INDEX(HOUSING_STOCK,MATCH(AA80,HOUSING_STOCK_YEARS,0)+2,MATCH(Z$6,HOUSING_STOCK_BLDG,0)+MATCH(AC$10,HOUSING_STOCK_CATEGORY,0)-1)</f>
        <v>7248.026214204614</v>
      </c>
      <c r="AD80" s="345">
        <f>INDEX(HOUSING_STOCK,MATCH(AA80,HOUSING_STOCK_YEARS,0)+2,MATCH(Z$6,HOUSING_STOCK_BLDG,0)+MATCH(AD$10,HOUSING_STOCK_CATEGORY,0)-1)</f>
        <v>557792.8110713898</v>
      </c>
      <c r="AE80" s="344"/>
      <c r="AF80" s="12"/>
      <c r="AG80" s="339"/>
      <c r="AH80" s="311">
        <v>2014</v>
      </c>
      <c r="AI80" s="346">
        <f>FORECAST(AH80,AI$58:AI$77,AH$58:AH$77)</f>
        <v>0.1929416783948632</v>
      </c>
      <c r="AJ80" s="347">
        <f t="shared" si="40"/>
        <v>107621.48116470278</v>
      </c>
      <c r="AK80" s="351">
        <f t="shared" si="41"/>
        <v>0.00938054626747209</v>
      </c>
      <c r="AL80" s="340"/>
      <c r="AM80" s="15"/>
      <c r="AN80" s="325"/>
      <c r="AO80" s="311">
        <v>2014</v>
      </c>
      <c r="AP80" s="352">
        <f ca="1">AC80*FORECAST(AO80,OFFSET('Saturations and Allocations'!$C$13,1,MATCH(Z$6,SATURATIONS_HOUSING_TYPE,0)-1+MATCH(Z$2,HVAC_SYSTEMS,0),2,1),'Saturations and Allocations'!$C$14:$C$15)</f>
        <v>724.8026214204615</v>
      </c>
      <c r="AQ80" s="347">
        <f ca="1" t="shared" si="26"/>
        <v>2664.4587462089717</v>
      </c>
      <c r="AR80" s="347">
        <f ca="1" t="shared" si="42"/>
        <v>3173.186103350596</v>
      </c>
      <c r="AS80" s="347">
        <f ca="1" t="shared" si="50"/>
        <v>6562.447470980029</v>
      </c>
      <c r="AT80" s="347">
        <f ca="1" t="shared" si="44"/>
        <v>3897.9887247710576</v>
      </c>
      <c r="AU80" s="347">
        <f ca="1" t="shared" si="45"/>
        <v>2664.4587462089717</v>
      </c>
      <c r="AV80" s="307"/>
      <c r="AX80" s="343"/>
      <c r="AY80" s="311">
        <v>2014</v>
      </c>
      <c r="AZ80" s="345">
        <f t="shared" si="51"/>
        <v>4732592.646251767</v>
      </c>
      <c r="BA80" s="345">
        <f t="shared" si="51"/>
        <v>77216.64577125112</v>
      </c>
      <c r="BB80" s="345">
        <f t="shared" si="51"/>
        <v>4802241.606207786</v>
      </c>
      <c r="BC80" s="344"/>
      <c r="BD80" s="12"/>
      <c r="BE80" s="339"/>
      <c r="BF80" s="311">
        <v>2014</v>
      </c>
      <c r="BG80" s="346">
        <f t="shared" si="27"/>
        <v>0.1510407647773568</v>
      </c>
      <c r="BH80" s="345">
        <f>L80+AJ80</f>
        <v>725334.2448472664</v>
      </c>
      <c r="BI80" s="351">
        <f t="shared" si="46"/>
        <v>0.014716871947806798</v>
      </c>
      <c r="BJ80" s="340"/>
      <c r="BK80" s="15"/>
      <c r="BL80" s="325"/>
      <c r="BM80" s="311">
        <v>2014</v>
      </c>
      <c r="BN80" s="345">
        <f ca="1" t="shared" si="52"/>
        <v>7721.664577125113</v>
      </c>
      <c r="BO80" s="345">
        <f ca="1" t="shared" si="52"/>
        <v>17619.615212226818</v>
      </c>
      <c r="BP80" s="345">
        <f ca="1" t="shared" si="52"/>
        <v>22091.82484857538</v>
      </c>
      <c r="BQ80" s="345">
        <f ca="1" t="shared" si="47"/>
        <v>47433.1046379273</v>
      </c>
      <c r="BR80" s="345">
        <f ca="1" t="shared" si="53"/>
        <v>29813.489425700493</v>
      </c>
      <c r="BS80" s="345">
        <f ca="1" t="shared" si="53"/>
        <v>17619.615212226818</v>
      </c>
      <c r="BT80" s="307"/>
      <c r="BV80" s="375"/>
      <c r="BW80" s="311">
        <v>2014</v>
      </c>
      <c r="BX80" s="381">
        <f ca="1" t="shared" si="11"/>
        <v>47433.1046379273</v>
      </c>
      <c r="BY80" s="381">
        <f>IF(ISNUMBER(INDEX(TARGET_SHIPMENTS,MATCH($BV$2,HVAC_SYSTEMS,0),MATCH(BW80,TARGET_SHIPMENT_YEARS,0))),INDEX(TARGET_SHIPMENTS,MATCH($BV$2,HVAC_SYSTEMS,0),MATCH(BW80,TARGET_SHIPMENT_YEARS,0)),0)*'AHRI Shipments'!$J$10</f>
        <v>62240.25</v>
      </c>
      <c r="BZ80" s="360">
        <f ca="1" t="shared" si="12"/>
        <v>1.312169010970304</v>
      </c>
      <c r="CA80" s="373"/>
    </row>
    <row r="81" spans="2:79" ht="12.75">
      <c r="B81" s="343"/>
      <c r="C81" s="311">
        <v>2015</v>
      </c>
      <c r="D81" s="345">
        <f>INDEX(HOUSING_STOCK,MATCH(C81,HOUSING_STOCK_YEARS,0)+2,MATCH(B$6,HOUSING_STOCK_BLDG,0)+MATCH(D$10,HOUSING_STOCK_CATEGORY,0)-1)</f>
        <v>4244448.795136396</v>
      </c>
      <c r="E81" s="345">
        <f>INDEX(HOUSING_STOCK,MATCH(C81,HOUSING_STOCK_YEARS,0)+2,MATCH(B$6,HOUSING_STOCK_BLDG,0)+MATCH(E$10,HOUSING_STOCK_CATEGORY,0)-1)</f>
        <v>70186.049138642</v>
      </c>
      <c r="F81" s="345">
        <f>INDEX(HOUSING_STOCK,MATCH(C81,HOUSING_STOCK_YEARS,0)+2,MATCH(B$6,HOUSING_STOCK_BLDG,0)+MATCH(F$10,HOUSING_STOCK_CATEGORY,0)-1)</f>
        <v>4309143.907135445</v>
      </c>
      <c r="G81" s="344"/>
      <c r="H81" s="12"/>
      <c r="I81" s="339"/>
      <c r="J81" s="311">
        <v>2015</v>
      </c>
      <c r="K81" s="346">
        <f>FORECAST(J81,K$58:K$77,J$58:J$77)</f>
        <v>0.14948969544746937</v>
      </c>
      <c r="L81" s="347">
        <f t="shared" si="34"/>
        <v>644172.6103169959</v>
      </c>
      <c r="M81" s="351">
        <f t="shared" si="35"/>
        <v>0.015242288250286284</v>
      </c>
      <c r="N81" s="340"/>
      <c r="O81" s="15"/>
      <c r="P81" s="325"/>
      <c r="Q81" s="311">
        <v>2015</v>
      </c>
      <c r="R81" s="352">
        <f ca="1">E81*FORECAST(Q81,OFFSET('Saturations and Allocations'!$C$13,1,MATCH(B$6,SATURATIONS_HOUSING_TYPE,0)-1+MATCH(B$2,HVAC_SYSTEMS,0),2,1),'Saturations and Allocations'!$C$14:$C$15)</f>
        <v>7018.604913864201</v>
      </c>
      <c r="S81" s="347">
        <f ca="1" t="shared" si="24"/>
        <v>15912.369359257737</v>
      </c>
      <c r="T81" s="347">
        <f ca="1" t="shared" si="36"/>
        <v>19441.241720568123</v>
      </c>
      <c r="U81" s="347">
        <f ca="1" t="shared" si="37"/>
        <v>42372.21599369006</v>
      </c>
      <c r="V81" s="347">
        <f ca="1" t="shared" si="38"/>
        <v>26459.846634432324</v>
      </c>
      <c r="W81" s="347">
        <f ca="1" t="shared" si="39"/>
        <v>15912.369359257737</v>
      </c>
      <c r="X81" s="307"/>
      <c r="Z81" s="343"/>
      <c r="AA81" s="311">
        <v>2015</v>
      </c>
      <c r="AB81" s="345">
        <f>INDEX(HOUSING_STOCK,MATCH(AA81,HOUSING_STOCK_YEARS,0)+2,MATCH(Z$6,HOUSING_STOCK_BLDG,0)+MATCH(AB$10,HOUSING_STOCK_CATEGORY,0)-1)</f>
        <v>557792.8110713898</v>
      </c>
      <c r="AC81" s="345">
        <f>INDEX(HOUSING_STOCK,MATCH(AA81,HOUSING_STOCK_YEARS,0)+2,MATCH(Z$6,HOUSING_STOCK_BLDG,0)+MATCH(AC$10,HOUSING_STOCK_CATEGORY,0)-1)</f>
        <v>6822.261232801542</v>
      </c>
      <c r="AD81" s="345">
        <f>INDEX(HOUSING_STOCK,MATCH(AA81,HOUSING_STOCK_YEARS,0)+2,MATCH(Z$6,HOUSING_STOCK_BLDG,0)+MATCH(AD$10,HOUSING_STOCK_CATEGORY,0)-1)</f>
        <v>562572.8813528321</v>
      </c>
      <c r="AE81" s="344"/>
      <c r="AF81" s="12"/>
      <c r="AG81" s="339"/>
      <c r="AH81" s="311">
        <v>2015</v>
      </c>
      <c r="AI81" s="346">
        <f>FORECAST(AH81,AI$58:AI$77,AH$58:AH$77)</f>
        <v>0.19818557119315017</v>
      </c>
      <c r="AJ81" s="347">
        <f t="shared" si="40"/>
        <v>111493.82782868732</v>
      </c>
      <c r="AK81" s="351">
        <f t="shared" si="41"/>
        <v>0.008569616148800474</v>
      </c>
      <c r="AL81" s="340"/>
      <c r="AM81" s="15"/>
      <c r="AN81" s="325"/>
      <c r="AO81" s="311">
        <v>2015</v>
      </c>
      <c r="AP81" s="352">
        <f ca="1">AC81*FORECAST(AO81,OFFSET('Saturations and Allocations'!$C$13,1,MATCH(Z$6,SATURATIONS_HOUSING_TYPE,0)-1+MATCH(Z$2,HVAC_SYSTEMS,0),2,1),'Saturations and Allocations'!$C$14:$C$15)</f>
        <v>682.2261232801543</v>
      </c>
      <c r="AQ81" s="347">
        <f ca="1" t="shared" si="26"/>
        <v>2915.5917181465034</v>
      </c>
      <c r="AR81" s="347">
        <f ca="1" t="shared" si="42"/>
        <v>3190.1205407043885</v>
      </c>
      <c r="AS81" s="347">
        <f ca="1" t="shared" si="50"/>
        <v>6787.938382131046</v>
      </c>
      <c r="AT81" s="347">
        <f ca="1" t="shared" si="44"/>
        <v>3872.346663984543</v>
      </c>
      <c r="AU81" s="347">
        <f ca="1" t="shared" si="45"/>
        <v>2915.5917181465034</v>
      </c>
      <c r="AV81" s="307"/>
      <c r="AX81" s="343"/>
      <c r="AY81" s="311">
        <v>2015</v>
      </c>
      <c r="AZ81" s="345">
        <f t="shared" si="51"/>
        <v>4802241.606207786</v>
      </c>
      <c r="BA81" s="345">
        <f t="shared" si="51"/>
        <v>77008.31037144354</v>
      </c>
      <c r="BB81" s="345">
        <f t="shared" si="51"/>
        <v>4871716.788488276</v>
      </c>
      <c r="BC81" s="344"/>
      <c r="BD81" s="12"/>
      <c r="BE81" s="339"/>
      <c r="BF81" s="311">
        <v>2015</v>
      </c>
      <c r="BG81" s="346">
        <f t="shared" si="27"/>
        <v>0.1551129655014636</v>
      </c>
      <c r="BH81" s="345">
        <f>L81+AJ81</f>
        <v>755666.4381456831</v>
      </c>
      <c r="BI81" s="351">
        <f t="shared" si="46"/>
        <v>0.014467240088603672</v>
      </c>
      <c r="BJ81" s="340"/>
      <c r="BK81" s="15"/>
      <c r="BL81" s="325"/>
      <c r="BM81" s="311">
        <v>2015</v>
      </c>
      <c r="BN81" s="345">
        <f ca="1" t="shared" si="52"/>
        <v>7700.831037144355</v>
      </c>
      <c r="BO81" s="345">
        <f ca="1" t="shared" si="52"/>
        <v>18827.96107740424</v>
      </c>
      <c r="BP81" s="345">
        <f ca="1" t="shared" si="52"/>
        <v>22631.362261272512</v>
      </c>
      <c r="BQ81" s="345">
        <f ca="1" t="shared" si="47"/>
        <v>49160.154375821105</v>
      </c>
      <c r="BR81" s="345">
        <f ca="1" t="shared" si="53"/>
        <v>30332.193298416867</v>
      </c>
      <c r="BS81" s="345">
        <f ca="1" t="shared" si="53"/>
        <v>18827.96107740424</v>
      </c>
      <c r="BT81" s="307"/>
      <c r="BV81" s="375"/>
      <c r="BW81" s="311">
        <v>2015</v>
      </c>
      <c r="BX81" s="381">
        <f ca="1" t="shared" si="11"/>
        <v>49160.154375821105</v>
      </c>
      <c r="BY81" s="381">
        <f>IF(ISNUMBER(INDEX(TARGET_SHIPMENTS,MATCH($BV$2,HVAC_SYSTEMS,0),MATCH(BW81,TARGET_SHIPMENT_YEARS,0))),INDEX(TARGET_SHIPMENTS,MATCH($BV$2,HVAC_SYSTEMS,0),MATCH(BW81,TARGET_SHIPMENT_YEARS,0)),0)*'AHRI Shipments'!$J$10</f>
        <v>0</v>
      </c>
      <c r="BZ81" s="360">
        <f ca="1" t="shared" si="12"/>
        <v>0</v>
      </c>
      <c r="CA81" s="373"/>
    </row>
    <row r="82" spans="2:79" ht="13.5" thickBot="1">
      <c r="B82" s="326"/>
      <c r="C82" s="312"/>
      <c r="D82" s="314"/>
      <c r="E82" s="314"/>
      <c r="F82" s="314"/>
      <c r="G82" s="315"/>
      <c r="I82" s="326"/>
      <c r="J82" s="312"/>
      <c r="K82" s="341"/>
      <c r="L82" s="314"/>
      <c r="M82" s="314"/>
      <c r="N82" s="315"/>
      <c r="P82" s="326"/>
      <c r="Q82" s="312"/>
      <c r="R82" s="314"/>
      <c r="S82" s="314"/>
      <c r="T82" s="314"/>
      <c r="U82" s="314"/>
      <c r="V82" s="314"/>
      <c r="W82" s="314"/>
      <c r="X82" s="315"/>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26"/>
      <c r="AY82" s="312"/>
      <c r="AZ82" s="314"/>
      <c r="BA82" s="314"/>
      <c r="BB82" s="314"/>
      <c r="BC82" s="315"/>
      <c r="BE82" s="326"/>
      <c r="BF82" s="312"/>
      <c r="BG82" s="341"/>
      <c r="BH82" s="314"/>
      <c r="BI82" s="314"/>
      <c r="BJ82" s="315"/>
      <c r="BL82" s="326"/>
      <c r="BM82" s="312"/>
      <c r="BN82" s="314"/>
      <c r="BO82" s="314"/>
      <c r="BP82" s="314"/>
      <c r="BQ82" s="314"/>
      <c r="BR82" s="314"/>
      <c r="BS82" s="314"/>
      <c r="BT82" s="315"/>
      <c r="BV82" s="365"/>
      <c r="BW82" s="366"/>
      <c r="BX82" s="367"/>
      <c r="BY82" s="367"/>
      <c r="BZ82" s="367"/>
      <c r="CA82" s="368"/>
    </row>
    <row r="83" ht="13.5" thickBot="1"/>
    <row r="84" spans="17:72" ht="12.75">
      <c r="Q84" s="4"/>
      <c r="AO84" s="4"/>
      <c r="AY84" s="4"/>
      <c r="BL84" s="321"/>
      <c r="BM84" s="301"/>
      <c r="BN84" s="302"/>
      <c r="BO84" s="303"/>
      <c r="BP84" s="302"/>
      <c r="BQ84" s="302"/>
      <c r="BR84" s="302"/>
      <c r="BS84" s="302"/>
      <c r="BT84" s="304"/>
    </row>
    <row r="85" spans="17:72" ht="12.75">
      <c r="Q85" s="4"/>
      <c r="AA85" s="4"/>
      <c r="AO85" s="4"/>
      <c r="AY85" s="4"/>
      <c r="BL85" s="322"/>
      <c r="BM85" s="912" t="s">
        <v>146</v>
      </c>
      <c r="BN85" s="912"/>
      <c r="BO85" s="912"/>
      <c r="BP85" s="912"/>
      <c r="BQ85" s="912"/>
      <c r="BR85" s="306"/>
      <c r="BS85" s="306"/>
      <c r="BT85" s="307"/>
    </row>
    <row r="86" spans="17:72" ht="38.25">
      <c r="Q86" s="4"/>
      <c r="AA86" s="4"/>
      <c r="AO86" s="4"/>
      <c r="AY86" s="4"/>
      <c r="BL86" s="323"/>
      <c r="BM86" s="308"/>
      <c r="BN86" s="309" t="s">
        <v>44</v>
      </c>
      <c r="BO86" s="309" t="s">
        <v>144</v>
      </c>
      <c r="BP86" s="309" t="s">
        <v>145</v>
      </c>
      <c r="BQ86" s="309" t="s">
        <v>43</v>
      </c>
      <c r="BR86" s="306"/>
      <c r="BS86" s="306"/>
      <c r="BT86" s="307"/>
    </row>
    <row r="87" spans="17:72" ht="12.75">
      <c r="Q87" s="4"/>
      <c r="AA87" s="4"/>
      <c r="AO87" s="4"/>
      <c r="AY87" s="4"/>
      <c r="BL87" s="325"/>
      <c r="BM87" s="311">
        <v>2010</v>
      </c>
      <c r="BN87" s="382">
        <f aca="true" t="shared" si="54" ref="BN87:BQ92">BN63/$BQ63</f>
        <v>0.3526909393149865</v>
      </c>
      <c r="BO87" s="382">
        <f ca="1" t="shared" si="54"/>
        <v>0.06384634133647049</v>
      </c>
      <c r="BP87" s="382">
        <f ca="1" t="shared" si="54"/>
        <v>0.583462719348543</v>
      </c>
      <c r="BQ87" s="382">
        <f ca="1" t="shared" si="54"/>
        <v>1</v>
      </c>
      <c r="BR87" s="306"/>
      <c r="BS87" s="306"/>
      <c r="BT87" s="307"/>
    </row>
    <row r="88" spans="17:72" ht="12.75">
      <c r="Q88" s="4"/>
      <c r="AA88" s="4"/>
      <c r="AO88" s="4"/>
      <c r="AY88" s="4"/>
      <c r="BL88" s="325"/>
      <c r="BM88" s="311">
        <v>2011</v>
      </c>
      <c r="BN88" s="382">
        <f ca="1" t="shared" si="54"/>
        <v>0.3523135858754144</v>
      </c>
      <c r="BO88" s="382">
        <f ca="1" t="shared" si="54"/>
        <v>0.06147401235453911</v>
      </c>
      <c r="BP88" s="382">
        <f ca="1" t="shared" si="54"/>
        <v>0.5862124017700464</v>
      </c>
      <c r="BQ88" s="382">
        <f ca="1" t="shared" si="54"/>
        <v>1</v>
      </c>
      <c r="BR88" s="306"/>
      <c r="BS88" s="306"/>
      <c r="BT88" s="307"/>
    </row>
    <row r="89" spans="17:72" ht="12.75">
      <c r="Q89" s="4"/>
      <c r="AA89" s="4"/>
      <c r="AO89" s="4"/>
      <c r="AY89" s="4"/>
      <c r="BL89" s="325"/>
      <c r="BM89" s="311">
        <v>2012</v>
      </c>
      <c r="BN89" s="382">
        <f ca="1" t="shared" si="54"/>
        <v>0.33038585345068944</v>
      </c>
      <c r="BO89" s="382">
        <f ca="1" t="shared" si="54"/>
        <v>0.06113048991924969</v>
      </c>
      <c r="BP89" s="382">
        <f ca="1" t="shared" si="54"/>
        <v>0.6084836566300609</v>
      </c>
      <c r="BQ89" s="382">
        <f ca="1" t="shared" si="54"/>
        <v>1</v>
      </c>
      <c r="BR89" s="306"/>
      <c r="BS89" s="306"/>
      <c r="BT89" s="307"/>
    </row>
    <row r="90" spans="17:72" ht="12.75">
      <c r="Q90" s="4"/>
      <c r="AA90" s="4"/>
      <c r="AO90" s="4"/>
      <c r="AY90" s="4"/>
      <c r="BL90" s="325"/>
      <c r="BM90" s="311">
        <v>2013</v>
      </c>
      <c r="BN90" s="382">
        <f ca="1" t="shared" si="54"/>
        <v>0.2934475252036123</v>
      </c>
      <c r="BO90" s="382">
        <f ca="1" t="shared" si="54"/>
        <v>0.062380086080555716</v>
      </c>
      <c r="BP90" s="382">
        <f ca="1" t="shared" si="54"/>
        <v>0.644172388715832</v>
      </c>
      <c r="BQ90" s="382">
        <f ca="1" t="shared" si="54"/>
        <v>1</v>
      </c>
      <c r="BR90" s="306"/>
      <c r="BS90" s="306"/>
      <c r="BT90" s="307"/>
    </row>
    <row r="91" spans="17:72" ht="12.75">
      <c r="Q91" s="4"/>
      <c r="AA91" s="4"/>
      <c r="AO91" s="4"/>
      <c r="AY91" s="4"/>
      <c r="BL91" s="325"/>
      <c r="BM91" s="311">
        <v>2014</v>
      </c>
      <c r="BN91" s="382">
        <f ca="1" t="shared" si="54"/>
        <v>0.2849362558597406</v>
      </c>
      <c r="BO91" s="382">
        <f ca="1" t="shared" si="54"/>
        <v>0.061508992482974645</v>
      </c>
      <c r="BP91" s="382">
        <f ca="1" t="shared" si="54"/>
        <v>0.6535547516572848</v>
      </c>
      <c r="BQ91" s="382">
        <f ca="1" t="shared" si="54"/>
        <v>1</v>
      </c>
      <c r="BR91" s="306"/>
      <c r="BS91" s="306"/>
      <c r="BT91" s="307"/>
    </row>
    <row r="92" spans="17:72" ht="12.75">
      <c r="Q92" s="4"/>
      <c r="AA92" s="4"/>
      <c r="AO92" s="4"/>
      <c r="AY92" s="4"/>
      <c r="BL92" s="325"/>
      <c r="BM92" s="311">
        <v>2015</v>
      </c>
      <c r="BN92" s="382">
        <f ca="1" t="shared" si="54"/>
        <v>0.30102357848622185</v>
      </c>
      <c r="BO92" s="382">
        <f ca="1" t="shared" si="54"/>
        <v>0.05847480505489912</v>
      </c>
      <c r="BP92" s="382">
        <f ca="1" t="shared" si="54"/>
        <v>0.640501616458879</v>
      </c>
      <c r="BQ92" s="382">
        <f ca="1" t="shared" si="54"/>
        <v>1</v>
      </c>
      <c r="BR92" s="306"/>
      <c r="BS92" s="306"/>
      <c r="BT92" s="307"/>
    </row>
    <row r="93" spans="17:72" ht="13.5" thickBot="1">
      <c r="Q93" s="4"/>
      <c r="AA93" s="4"/>
      <c r="AO93" s="4"/>
      <c r="AY93" s="4"/>
      <c r="BL93" s="326"/>
      <c r="BM93" s="312"/>
      <c r="BN93" s="314"/>
      <c r="BO93" s="314"/>
      <c r="BP93" s="314"/>
      <c r="BQ93" s="314"/>
      <c r="BR93" s="314"/>
      <c r="BS93" s="314"/>
      <c r="BT93" s="315"/>
    </row>
    <row r="94" spans="17:51" ht="13.5" thickBot="1">
      <c r="Q94" s="4"/>
      <c r="AA94" s="4"/>
      <c r="AO94" s="4"/>
      <c r="AY94" s="4"/>
    </row>
    <row r="95" spans="17:72" ht="12.75">
      <c r="Q95" s="4"/>
      <c r="AA95" s="4"/>
      <c r="AO95" s="4"/>
      <c r="AY95" s="4"/>
      <c r="BL95" s="321"/>
      <c r="BM95" s="301"/>
      <c r="BN95" s="302"/>
      <c r="BO95" s="303"/>
      <c r="BP95" s="302"/>
      <c r="BQ95" s="302"/>
      <c r="BR95" s="302"/>
      <c r="BS95" s="302"/>
      <c r="BT95" s="304"/>
    </row>
    <row r="96" spans="17:72" ht="12.75">
      <c r="Q96" s="4"/>
      <c r="AA96" s="4"/>
      <c r="AO96" s="4"/>
      <c r="AY96" s="4"/>
      <c r="BL96" s="322"/>
      <c r="BM96" s="912" t="s">
        <v>146</v>
      </c>
      <c r="BN96" s="912"/>
      <c r="BO96" s="912"/>
      <c r="BP96" s="912"/>
      <c r="BQ96" s="912"/>
      <c r="BR96" s="306"/>
      <c r="BS96" s="306"/>
      <c r="BT96" s="307"/>
    </row>
    <row r="97" spans="17:72" ht="38.25">
      <c r="Q97" s="4"/>
      <c r="AA97" s="4"/>
      <c r="AO97" s="4"/>
      <c r="AY97" s="4"/>
      <c r="BL97" s="323"/>
      <c r="BM97" s="308"/>
      <c r="BN97" s="309" t="s">
        <v>44</v>
      </c>
      <c r="BO97" s="309" t="s">
        <v>144</v>
      </c>
      <c r="BP97" s="309" t="s">
        <v>145</v>
      </c>
      <c r="BQ97" s="309" t="s">
        <v>43</v>
      </c>
      <c r="BR97" s="306"/>
      <c r="BS97" s="306"/>
      <c r="BT97" s="307"/>
    </row>
    <row r="98" spans="17:72" ht="12.75">
      <c r="Q98" s="4"/>
      <c r="AA98" s="4"/>
      <c r="AO98" s="4"/>
      <c r="AY98" s="4"/>
      <c r="BL98" s="325"/>
      <c r="BM98" s="311">
        <v>2010</v>
      </c>
      <c r="BN98" s="382">
        <f ca="1">BN76/$BQ76</f>
        <v>0.12943039848019292</v>
      </c>
      <c r="BO98" s="382">
        <f ca="1">BO76/$BQ76</f>
        <v>0.38707735338822935</v>
      </c>
      <c r="BP98" s="382">
        <f ca="1">BP76/$BQ76</f>
        <v>0.48349224813157776</v>
      </c>
      <c r="BQ98" s="382">
        <f ca="1">BQ76/$BQ76</f>
        <v>1</v>
      </c>
      <c r="BR98" s="306"/>
      <c r="BS98" s="306"/>
      <c r="BT98" s="307"/>
    </row>
    <row r="99" spans="17:72" ht="12.75">
      <c r="Q99" s="4"/>
      <c r="AA99" s="4"/>
      <c r="AO99" s="4"/>
      <c r="AY99" s="4"/>
      <c r="BL99" s="325"/>
      <c r="BM99" s="311">
        <v>2011</v>
      </c>
      <c r="BN99" s="382">
        <f aca="true" t="shared" si="55" ref="BN99:BQ103">BN77/$BQ77</f>
        <v>0.1581469991273819</v>
      </c>
      <c r="BO99" s="382">
        <f ca="1" t="shared" si="55"/>
        <v>0.3712539546534873</v>
      </c>
      <c r="BP99" s="382">
        <f ca="1" t="shared" si="55"/>
        <v>0.47059904621913085</v>
      </c>
      <c r="BQ99" s="382">
        <f ca="1" t="shared" si="55"/>
        <v>1</v>
      </c>
      <c r="BR99" s="306"/>
      <c r="BS99" s="306"/>
      <c r="BT99" s="307"/>
    </row>
    <row r="100" spans="17:72" ht="12.75">
      <c r="Q100" s="4"/>
      <c r="AA100" s="4"/>
      <c r="AO100" s="4"/>
      <c r="AY100" s="4"/>
      <c r="BL100" s="325"/>
      <c r="BM100" s="311">
        <v>2012</v>
      </c>
      <c r="BN100" s="382">
        <f ca="1" t="shared" si="55"/>
        <v>0.16947516139810576</v>
      </c>
      <c r="BO100" s="382">
        <f ca="1" t="shared" si="55"/>
        <v>0.3677637552651927</v>
      </c>
      <c r="BP100" s="382">
        <f ca="1" t="shared" si="55"/>
        <v>0.46276108333670146</v>
      </c>
      <c r="BQ100" s="382">
        <f ca="1" t="shared" si="55"/>
        <v>1</v>
      </c>
      <c r="BR100" s="306"/>
      <c r="BS100" s="306"/>
      <c r="BT100" s="307"/>
    </row>
    <row r="101" spans="17:72" ht="12.75">
      <c r="Q101" s="4"/>
      <c r="AA101" s="4"/>
      <c r="AO101" s="4"/>
      <c r="AY101" s="4"/>
      <c r="BL101" s="325"/>
      <c r="BM101" s="311">
        <v>2013</v>
      </c>
      <c r="BN101" s="382">
        <f ca="1" t="shared" si="55"/>
        <v>0.1666588423858006</v>
      </c>
      <c r="BO101" s="382">
        <f ca="1" t="shared" si="55"/>
        <v>0.3733120168844965</v>
      </c>
      <c r="BP101" s="382">
        <f ca="1" t="shared" si="55"/>
        <v>0.46002914072970297</v>
      </c>
      <c r="BQ101" s="382">
        <f ca="1" t="shared" si="55"/>
        <v>1</v>
      </c>
      <c r="BR101" s="306"/>
      <c r="BS101" s="306"/>
      <c r="BT101" s="307"/>
    </row>
    <row r="102" spans="17:72" ht="12.75">
      <c r="Q102" s="4"/>
      <c r="AA102" s="4"/>
      <c r="AO102" s="4"/>
      <c r="AY102" s="4"/>
      <c r="BL102" s="325"/>
      <c r="BM102" s="311">
        <v>2014</v>
      </c>
      <c r="BN102" s="382">
        <f ca="1" t="shared" si="55"/>
        <v>0.16279062136175046</v>
      </c>
      <c r="BO102" s="382">
        <f ca="1" t="shared" si="55"/>
        <v>0.3714624068300655</v>
      </c>
      <c r="BP102" s="382">
        <f ca="1" t="shared" si="55"/>
        <v>0.4657469718081842</v>
      </c>
      <c r="BQ102" s="382">
        <f ca="1" t="shared" si="55"/>
        <v>1</v>
      </c>
      <c r="BR102" s="306"/>
      <c r="BS102" s="306"/>
      <c r="BT102" s="307"/>
    </row>
    <row r="103" spans="17:72" ht="12.75">
      <c r="Q103" s="4"/>
      <c r="AA103" s="4"/>
      <c r="AO103" s="4"/>
      <c r="AY103" s="4"/>
      <c r="BL103" s="325"/>
      <c r="BM103" s="311">
        <v>2015</v>
      </c>
      <c r="BN103" s="382">
        <f ca="1" t="shared" si="55"/>
        <v>0.15664782047413436</v>
      </c>
      <c r="BO103" s="382">
        <f ca="1" t="shared" si="55"/>
        <v>0.38299230985866417</v>
      </c>
      <c r="BP103" s="382">
        <f ca="1" t="shared" si="55"/>
        <v>0.46035986966720155</v>
      </c>
      <c r="BQ103" s="382">
        <f ca="1" t="shared" si="55"/>
        <v>1</v>
      </c>
      <c r="BR103" s="306"/>
      <c r="BS103" s="306"/>
      <c r="BT103" s="307"/>
    </row>
    <row r="104" spans="17:72" ht="13.5" thickBot="1">
      <c r="Q104" s="4"/>
      <c r="AA104" s="4"/>
      <c r="AO104" s="4"/>
      <c r="AY104" s="4"/>
      <c r="BL104" s="326"/>
      <c r="BM104" s="312"/>
      <c r="BN104" s="314"/>
      <c r="BO104" s="314"/>
      <c r="BP104" s="314"/>
      <c r="BQ104" s="314"/>
      <c r="BR104" s="314"/>
      <c r="BS104" s="314"/>
      <c r="BT104" s="315"/>
    </row>
    <row r="105" spans="17:27" ht="12.75">
      <c r="Q105" s="4"/>
      <c r="AA105" s="4"/>
    </row>
  </sheetData>
  <mergeCells count="19">
    <mergeCell ref="AO9:AS9"/>
    <mergeCell ref="AY9:BB9"/>
    <mergeCell ref="BM85:BQ85"/>
    <mergeCell ref="BM96:BQ96"/>
    <mergeCell ref="BF9:BI9"/>
    <mergeCell ref="BM9:BQ9"/>
    <mergeCell ref="BV2:CA2"/>
    <mergeCell ref="B4:G4"/>
    <mergeCell ref="Z4:AE4"/>
    <mergeCell ref="AX4:BC4"/>
    <mergeCell ref="BV4:CA4"/>
    <mergeCell ref="B2:G2"/>
    <mergeCell ref="Z2:AE2"/>
    <mergeCell ref="AX2:BC2"/>
    <mergeCell ref="C9:F9"/>
    <mergeCell ref="J9:M9"/>
    <mergeCell ref="Q9:U9"/>
    <mergeCell ref="AA9:AD9"/>
    <mergeCell ref="AH9:AK9"/>
  </mergeCells>
  <conditionalFormatting sqref="U11:U46">
    <cfRule type="cellIs" priority="7" dxfId="0" operator="equal">
      <formula>100000</formula>
    </cfRule>
  </conditionalFormatting>
  <conditionalFormatting sqref="BX11:BY81">
    <cfRule type="cellIs" priority="6" dxfId="0" operator="equal">
      <formula>100000</formula>
    </cfRule>
  </conditionalFormatting>
  <conditionalFormatting sqref="BX9:BY9">
    <cfRule type="cellIs" priority="5"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B2:AE89"/>
  <sheetViews>
    <sheetView workbookViewId="0" topLeftCell="C59">
      <pane xSplit="1" topLeftCell="K1" activePane="topRight" state="frozen"/>
      <selection pane="topLeft" activeCell="C1" sqref="C1"/>
      <selection pane="topRight" activeCell="L30" sqref="L30"/>
    </sheetView>
  </sheetViews>
  <sheetFormatPr defaultColWidth="9.140625" defaultRowHeight="12.75"/>
  <cols>
    <col min="1" max="2" width="3.7109375" style="4" customWidth="1"/>
    <col min="3" max="3" width="8.7109375" style="16" customWidth="1"/>
    <col min="4" max="15" width="20.7109375" style="4" customWidth="1"/>
    <col min="16" max="16" width="20.7109375" style="16" customWidth="1"/>
    <col min="17" max="17" width="3.7109375" style="4" customWidth="1"/>
    <col min="18" max="18" width="9.140625" style="4" customWidth="1"/>
    <col min="19" max="19" width="23.140625" style="4" customWidth="1"/>
    <col min="20" max="20" width="31.57421875" style="4" customWidth="1"/>
    <col min="21" max="21" width="32.140625" style="4" bestFit="1" customWidth="1"/>
    <col min="22" max="25" width="12.7109375" style="4" customWidth="1"/>
    <col min="26" max="16384" width="9.140625" style="4" customWidth="1"/>
  </cols>
  <sheetData>
    <row r="1" ht="13.5" thickBot="1"/>
    <row r="2" spans="2:17" ht="16.15" customHeight="1" thickBot="1">
      <c r="B2" s="916" t="s">
        <v>220</v>
      </c>
      <c r="C2" s="917"/>
      <c r="D2" s="917"/>
      <c r="E2" s="917"/>
      <c r="F2" s="917"/>
      <c r="G2" s="917"/>
      <c r="H2" s="917"/>
      <c r="I2" s="917"/>
      <c r="J2" s="917"/>
      <c r="K2" s="917"/>
      <c r="L2" s="917"/>
      <c r="M2" s="917"/>
      <c r="N2" s="917"/>
      <c r="O2" s="917"/>
      <c r="P2" s="917"/>
      <c r="Q2" s="918"/>
    </row>
    <row r="3" spans="2:16" ht="13.5" thickBot="1">
      <c r="B3" s="29"/>
      <c r="C3" s="29"/>
      <c r="D3" s="29"/>
      <c r="E3" s="29"/>
      <c r="F3" s="29"/>
      <c r="G3" s="29"/>
      <c r="H3" s="29"/>
      <c r="I3" s="29"/>
      <c r="J3" s="29"/>
      <c r="K3" s="29"/>
      <c r="L3" s="29"/>
      <c r="P3" s="4"/>
    </row>
    <row r="4" spans="2:17" ht="16.15" customHeight="1" thickBot="1">
      <c r="B4" s="916" t="s">
        <v>24</v>
      </c>
      <c r="C4" s="917"/>
      <c r="D4" s="917"/>
      <c r="E4" s="917"/>
      <c r="F4" s="917"/>
      <c r="G4" s="917"/>
      <c r="H4" s="917"/>
      <c r="I4" s="917"/>
      <c r="J4" s="917"/>
      <c r="K4" s="917"/>
      <c r="L4" s="917"/>
      <c r="M4" s="917"/>
      <c r="N4" s="917"/>
      <c r="O4" s="917"/>
      <c r="P4" s="917"/>
      <c r="Q4" s="918"/>
    </row>
    <row r="5" spans="11:17" ht="13.5" thickBot="1">
      <c r="K5" s="7"/>
      <c r="L5" s="7"/>
      <c r="M5" s="7"/>
      <c r="N5" s="7"/>
      <c r="O5" s="7"/>
      <c r="P5" s="7"/>
      <c r="Q5" s="7"/>
    </row>
    <row r="6" spans="2:17" ht="12.75">
      <c r="B6" s="38"/>
      <c r="C6" s="497"/>
      <c r="D6" s="498"/>
      <c r="E6" s="498"/>
      <c r="F6" s="498"/>
      <c r="G6" s="498"/>
      <c r="H6" s="498"/>
      <c r="I6" s="498"/>
      <c r="J6" s="498"/>
      <c r="K6" s="499"/>
      <c r="L6" s="498"/>
      <c r="M6" s="498"/>
      <c r="N6" s="498"/>
      <c r="O6" s="498"/>
      <c r="P6" s="498"/>
      <c r="Q6" s="500"/>
    </row>
    <row r="7" spans="2:18" ht="12.75">
      <c r="B7" s="39"/>
      <c r="C7" s="501" t="s">
        <v>48</v>
      </c>
      <c r="D7" s="502"/>
      <c r="E7" s="502"/>
      <c r="F7" s="502"/>
      <c r="G7" s="502"/>
      <c r="H7" s="502"/>
      <c r="I7" s="502"/>
      <c r="J7" s="502" t="s">
        <v>436</v>
      </c>
      <c r="K7" s="502" t="s">
        <v>437</v>
      </c>
      <c r="L7" s="503" t="s">
        <v>438</v>
      </c>
      <c r="M7" s="503" t="s">
        <v>223</v>
      </c>
      <c r="N7" s="503" t="s">
        <v>222</v>
      </c>
      <c r="O7" s="503" t="s">
        <v>428</v>
      </c>
      <c r="P7" s="503" t="s">
        <v>66</v>
      </c>
      <c r="Q7" s="504"/>
      <c r="R7" s="11"/>
    </row>
    <row r="8" spans="2:18" s="5" customFormat="1" ht="91.5" customHeight="1" thickBot="1">
      <c r="B8" s="40"/>
      <c r="C8" s="505"/>
      <c r="D8" s="506" t="s">
        <v>441</v>
      </c>
      <c r="E8" s="506" t="s">
        <v>439</v>
      </c>
      <c r="F8" s="506" t="s">
        <v>443</v>
      </c>
      <c r="G8" s="506" t="s">
        <v>444</v>
      </c>
      <c r="H8" s="506" t="s">
        <v>445</v>
      </c>
      <c r="I8" s="506" t="s">
        <v>210</v>
      </c>
      <c r="J8" s="506" t="s">
        <v>430</v>
      </c>
      <c r="K8" s="506" t="s">
        <v>211</v>
      </c>
      <c r="L8" s="506" t="s">
        <v>212</v>
      </c>
      <c r="M8" s="506" t="s">
        <v>213</v>
      </c>
      <c r="N8" s="506" t="s">
        <v>215</v>
      </c>
      <c r="O8" s="506" t="s">
        <v>451</v>
      </c>
      <c r="P8" s="506" t="s">
        <v>214</v>
      </c>
      <c r="Q8" s="507"/>
      <c r="R8" s="13"/>
    </row>
    <row r="9" spans="2:26" ht="13.5" thickBot="1">
      <c r="B9" s="41"/>
      <c r="C9" s="508">
        <v>1993</v>
      </c>
      <c r="D9" s="352">
        <f aca="true" t="shared" si="0" ref="D9:D31">SUM(J9,I9)</f>
        <v>22811.081185089188</v>
      </c>
      <c r="E9" s="352">
        <f aca="true" t="shared" si="1" ref="E9:E31">J9+L9</f>
        <v>21325.639248578544</v>
      </c>
      <c r="F9" s="513">
        <f aca="true" t="shared" si="2" ref="F9:F31">J9/D9</f>
        <v>0.634422059926019</v>
      </c>
      <c r="G9" s="513">
        <f aca="true" t="shared" si="3" ref="G9:G31">K9/D9</f>
        <v>0.06511931304166439</v>
      </c>
      <c r="H9" s="513">
        <f aca="true" t="shared" si="4" ref="H9:H31">L9/D9</f>
        <v>0.30045862703231657</v>
      </c>
      <c r="I9" s="352">
        <f ca="1">-'FAF - Electric'!T59</f>
        <v>8339.22807050525</v>
      </c>
      <c r="J9" s="352">
        <f ca="1">'FAF - Electric'!U59</f>
        <v>14471.853114583937</v>
      </c>
      <c r="K9" s="347">
        <f ca="1">'2011 Saturation Data'!$D$19*'FAF - Gas'!T59</f>
        <v>1485.4419365106437</v>
      </c>
      <c r="L9" s="347">
        <f aca="true" t="shared" si="5" ref="L9:L31">I9-K9</f>
        <v>6853.786133994607</v>
      </c>
      <c r="M9" s="347">
        <f ca="1">'Air Source Heat Pump'!R59+'Air Source Heat Pump'!T59-'Conversions and Upgrades'!L9</f>
        <v>8596.188069745407</v>
      </c>
      <c r="N9" s="347">
        <f ca="1">'Air Source Heat Pump'!W59</f>
        <v>1255.0719565648658</v>
      </c>
      <c r="O9" s="347">
        <f ca="1">SUM(M9:N9)</f>
        <v>9851.260026310272</v>
      </c>
      <c r="P9" s="347">
        <f aca="true" t="shared" si="6" ref="P9:P18">SUM(L9:N9)</f>
        <v>16705.04616030488</v>
      </c>
      <c r="Q9" s="504"/>
      <c r="R9" s="15"/>
      <c r="S9" s="5"/>
      <c r="T9" s="514" t="s">
        <v>312</v>
      </c>
      <c r="U9" s="515"/>
      <c r="V9" s="515"/>
      <c r="W9" s="515"/>
      <c r="X9" s="515"/>
      <c r="Y9" s="515"/>
      <c r="Z9" s="516"/>
    </row>
    <row r="10" spans="2:26" ht="12.75">
      <c r="B10" s="41"/>
      <c r="C10" s="508">
        <v>1994</v>
      </c>
      <c r="D10" s="352">
        <f ca="1" t="shared" si="0"/>
        <v>23189.46118508919</v>
      </c>
      <c r="E10" s="352">
        <f ca="1" t="shared" si="1"/>
        <v>21787.693943603903</v>
      </c>
      <c r="F10" s="513">
        <f ca="1" t="shared" si="2"/>
        <v>0.6272222116122992</v>
      </c>
      <c r="G10" s="513">
        <f ca="1" t="shared" si="3"/>
        <v>0.06044846106155413</v>
      </c>
      <c r="H10" s="513">
        <f ca="1" t="shared" si="4"/>
        <v>0.3123293273261467</v>
      </c>
      <c r="I10" s="352">
        <f ca="1">-'FAF - Electric'!T60</f>
        <v>8644.51605447998</v>
      </c>
      <c r="J10" s="352">
        <f ca="1">'FAF - Electric'!U60</f>
        <v>14544.945130609209</v>
      </c>
      <c r="K10" s="347">
        <f ca="1">'2011 Saturation Data'!$D$19*'FAF - Gas'!T60</f>
        <v>1401.7672414852848</v>
      </c>
      <c r="L10" s="347">
        <f ca="1" t="shared" si="5"/>
        <v>7242.748812994695</v>
      </c>
      <c r="M10" s="347">
        <f ca="1">'Air Source Heat Pump'!R60+'Air Source Heat Pump'!T60-'Conversions and Upgrades'!L10</f>
        <v>8911.928679402969</v>
      </c>
      <c r="N10" s="347">
        <f ca="1">'Air Source Heat Pump'!W60</f>
        <v>1255.0719565648658</v>
      </c>
      <c r="O10" s="347">
        <f aca="true" t="shared" si="7" ref="O10:O31">SUM(M10:N10)</f>
        <v>10167.000635967834</v>
      </c>
      <c r="P10" s="347">
        <f ca="1" t="shared" si="6"/>
        <v>17409.749448962528</v>
      </c>
      <c r="Q10" s="504"/>
      <c r="R10" s="15"/>
      <c r="S10" s="97"/>
      <c r="T10" s="517" t="s">
        <v>103</v>
      </c>
      <c r="U10" s="518" t="s">
        <v>47</v>
      </c>
      <c r="V10" s="518">
        <v>2010</v>
      </c>
      <c r="W10" s="518">
        <v>2011</v>
      </c>
      <c r="X10" s="518">
        <v>2012</v>
      </c>
      <c r="Y10" s="518">
        <v>2013</v>
      </c>
      <c r="Z10" s="523">
        <v>2014</v>
      </c>
    </row>
    <row r="11" spans="2:26" ht="12.75">
      <c r="B11" s="41"/>
      <c r="C11" s="508">
        <v>1995</v>
      </c>
      <c r="D11" s="352">
        <f ca="1" t="shared" si="0"/>
        <v>22472.321185089186</v>
      </c>
      <c r="E11" s="352">
        <f ca="1" t="shared" si="1"/>
        <v>19846.677139092222</v>
      </c>
      <c r="F11" s="513">
        <f ca="1" t="shared" si="2"/>
        <v>0.6032796215379127</v>
      </c>
      <c r="G11" s="513">
        <f ca="1" t="shared" si="3"/>
        <v>0.1168390227414127</v>
      </c>
      <c r="H11" s="513">
        <f ca="1" t="shared" si="4"/>
        <v>0.27988135572067463</v>
      </c>
      <c r="I11" s="352">
        <f ca="1">-'FAF - Electric'!T61</f>
        <v>8915.227765470165</v>
      </c>
      <c r="J11" s="352">
        <f ca="1">'FAF - Electric'!U61</f>
        <v>13557.093419619021</v>
      </c>
      <c r="K11" s="347">
        <f ca="1">'2011 Saturation Data'!$D$19*'FAF - Gas'!T61</f>
        <v>2625.644045996966</v>
      </c>
      <c r="L11" s="347">
        <f ca="1" t="shared" si="5"/>
        <v>6289.583719473199</v>
      </c>
      <c r="M11" s="347">
        <f ca="1">'Air Source Heat Pump'!R61+'Air Source Heat Pump'!T61-'Conversions and Upgrades'!L11</f>
        <v>9843.809788608183</v>
      </c>
      <c r="N11" s="347">
        <f ca="1">'Air Source Heat Pump'!W61</f>
        <v>1255.0719565648658</v>
      </c>
      <c r="O11" s="347">
        <f ca="1" t="shared" si="7"/>
        <v>11098.881745173048</v>
      </c>
      <c r="P11" s="347">
        <f ca="1" t="shared" si="6"/>
        <v>17388.465464646248</v>
      </c>
      <c r="Q11" s="504"/>
      <c r="R11" s="15"/>
      <c r="S11" s="97"/>
      <c r="T11" s="519" t="s">
        <v>56</v>
      </c>
      <c r="U11" s="520" t="s">
        <v>321</v>
      </c>
      <c r="V11" s="541">
        <f ca="1">$L$26</f>
        <v>3351.4288355257886</v>
      </c>
      <c r="W11" s="541">
        <f ca="1">$L$27</f>
        <v>5126.550419509367</v>
      </c>
      <c r="X11" s="541">
        <f ca="1">$L$28</f>
        <v>6099.69478742519</v>
      </c>
      <c r="Y11" s="541">
        <f ca="1">$L$29</f>
        <v>6209.67615178077</v>
      </c>
      <c r="Z11" s="542">
        <f ca="1">$L$30</f>
        <v>6070.729167527868</v>
      </c>
    </row>
    <row r="12" spans="2:31" ht="12.75">
      <c r="B12" s="41"/>
      <c r="C12" s="508">
        <v>1996</v>
      </c>
      <c r="D12" s="352">
        <f ca="1" t="shared" si="0"/>
        <v>22724.921185089188</v>
      </c>
      <c r="E12" s="352">
        <f ca="1" t="shared" si="1"/>
        <v>20038.26093386886</v>
      </c>
      <c r="F12" s="513">
        <f ca="1" t="shared" si="2"/>
        <v>0.5946215826623743</v>
      </c>
      <c r="G12" s="513">
        <f ca="1" t="shared" si="3"/>
        <v>0.11822528357031936</v>
      </c>
      <c r="H12" s="513">
        <f ca="1" t="shared" si="4"/>
        <v>0.28715313376730633</v>
      </c>
      <c r="I12" s="352">
        <f ca="1">-'FAF - Electric'!T62</f>
        <v>9212.192584133736</v>
      </c>
      <c r="J12" s="352">
        <f ca="1">'FAF - Electric'!U62</f>
        <v>13512.728600955452</v>
      </c>
      <c r="K12" s="347">
        <f ca="1">'2011 Saturation Data'!$D$19*'FAF - Gas'!T62</f>
        <v>2686.660251220327</v>
      </c>
      <c r="L12" s="347">
        <f ca="1" t="shared" si="5"/>
        <v>6525.532332913409</v>
      </c>
      <c r="M12" s="347">
        <f ca="1">'Air Source Heat Pump'!R62+'Air Source Heat Pump'!T62-'Conversions and Upgrades'!L12</f>
        <v>10222.504548046436</v>
      </c>
      <c r="N12" s="347">
        <f ca="1">'Air Source Heat Pump'!W62</f>
        <v>1255.0719565648658</v>
      </c>
      <c r="O12" s="347">
        <f ca="1" t="shared" si="7"/>
        <v>11477.576504611301</v>
      </c>
      <c r="P12" s="347">
        <f ca="1" t="shared" si="6"/>
        <v>18003.10883752471</v>
      </c>
      <c r="Q12" s="504"/>
      <c r="R12" s="15"/>
      <c r="S12" s="97"/>
      <c r="T12" s="519" t="s">
        <v>56</v>
      </c>
      <c r="U12" s="520" t="s">
        <v>322</v>
      </c>
      <c r="V12" s="541">
        <f ca="1">$O$26</f>
        <v>30452.89733187101</v>
      </c>
      <c r="W12" s="541">
        <f ca="1">$O$27</f>
        <v>31529.4884864472</v>
      </c>
      <c r="X12" s="541">
        <f ca="1">$O$28</f>
        <v>32925.02996020787</v>
      </c>
      <c r="Y12" s="541">
        <f ca="1">$O$29</f>
        <v>34203.05305085231</v>
      </c>
      <c r="Z12" s="542">
        <f ca="1">$O$30</f>
        <v>34799.92799941941</v>
      </c>
      <c r="AA12" s="43"/>
      <c r="AB12" s="43"/>
      <c r="AC12" s="43"/>
      <c r="AD12" s="43"/>
      <c r="AE12" s="43"/>
    </row>
    <row r="13" spans="2:31" ht="13.5" thickBot="1">
      <c r="B13" s="41"/>
      <c r="C13" s="508">
        <v>1997</v>
      </c>
      <c r="D13" s="352">
        <f ca="1" t="shared" si="0"/>
        <v>22685.761185089188</v>
      </c>
      <c r="E13" s="352">
        <f ca="1" t="shared" si="1"/>
        <v>19593.86764204023</v>
      </c>
      <c r="F13" s="513">
        <f ca="1" t="shared" si="2"/>
        <v>0.5813791897665443</v>
      </c>
      <c r="G13" s="513">
        <f ca="1" t="shared" si="3"/>
        <v>0.13629225476821058</v>
      </c>
      <c r="H13" s="513">
        <f ca="1" t="shared" si="4"/>
        <v>0.28232855546524505</v>
      </c>
      <c r="I13" s="352">
        <f ca="1">-'FAF - Electric'!T63</f>
        <v>9496.731728064715</v>
      </c>
      <c r="J13" s="352">
        <f ca="1">'FAF - Electric'!U63</f>
        <v>13189.029457024473</v>
      </c>
      <c r="K13" s="347">
        <f ca="1">'2011 Saturation Data'!$D$19*'FAF - Gas'!T63</f>
        <v>3091.8935430489587</v>
      </c>
      <c r="L13" s="347">
        <f ca="1" t="shared" si="5"/>
        <v>6404.838185015757</v>
      </c>
      <c r="M13" s="347">
        <f ca="1">'Air Source Heat Pump'!R63+'Air Source Heat Pump'!T63-'Conversions and Upgrades'!L13</f>
        <v>10759.543859097514</v>
      </c>
      <c r="N13" s="347">
        <f ca="1">'Air Source Heat Pump'!W63</f>
        <v>1255.0719565648658</v>
      </c>
      <c r="O13" s="347">
        <f ca="1" t="shared" si="7"/>
        <v>12014.615815662379</v>
      </c>
      <c r="P13" s="347">
        <f ca="1" t="shared" si="6"/>
        <v>18419.454000678135</v>
      </c>
      <c r="Q13" s="504"/>
      <c r="R13" s="15"/>
      <c r="S13" s="97"/>
      <c r="T13" s="521"/>
      <c r="U13" s="522" t="s">
        <v>1</v>
      </c>
      <c r="V13" s="543">
        <f ca="1">SUM(V11:V12)</f>
        <v>33804.32616739679</v>
      </c>
      <c r="W13" s="543">
        <f ca="1">SUM(W11:W12)</f>
        <v>36656.038905956564</v>
      </c>
      <c r="X13" s="543">
        <f ca="1">SUM(X11:X12)</f>
        <v>39024.72474763306</v>
      </c>
      <c r="Y13" s="543">
        <f ca="1">SUM(Y11:Y12)</f>
        <v>40412.729202633076</v>
      </c>
      <c r="Z13" s="544">
        <f ca="1">SUM(Z11:Z12)</f>
        <v>40870.657166947276</v>
      </c>
      <c r="AA13" s="43"/>
      <c r="AB13" s="43"/>
      <c r="AC13" s="43"/>
      <c r="AD13" s="43"/>
      <c r="AE13" s="43"/>
    </row>
    <row r="14" spans="2:31" ht="13.5" thickBot="1">
      <c r="B14" s="41"/>
      <c r="C14" s="508">
        <v>1998</v>
      </c>
      <c r="D14" s="352">
        <f ca="1" t="shared" si="0"/>
        <v>22912.421185089188</v>
      </c>
      <c r="E14" s="352">
        <f ca="1" t="shared" si="1"/>
        <v>19701.804668035984</v>
      </c>
      <c r="F14" s="513">
        <f ca="1" t="shared" si="2"/>
        <v>0.5716575924987601</v>
      </c>
      <c r="G14" s="513">
        <f ca="1" t="shared" si="3"/>
        <v>0.1401255891342723</v>
      </c>
      <c r="H14" s="513">
        <f ca="1" t="shared" si="4"/>
        <v>0.2882168183669676</v>
      </c>
      <c r="I14" s="352">
        <f ca="1">-'FAF - Electric'!T64</f>
        <v>9814.361652103515</v>
      </c>
      <c r="J14" s="352">
        <f ca="1">'FAF - Electric'!U64</f>
        <v>13098.059532985673</v>
      </c>
      <c r="K14" s="347">
        <f ca="1">'2011 Saturation Data'!$D$19*'FAF - Gas'!T64</f>
        <v>3210.616517053204</v>
      </c>
      <c r="L14" s="347">
        <f ca="1" t="shared" si="5"/>
        <v>6603.745135050311</v>
      </c>
      <c r="M14" s="347">
        <f ca="1">'Air Source Heat Pump'!R64+'Air Source Heat Pump'!T64-'Conversions and Upgrades'!L14</f>
        <v>11191.117574181422</v>
      </c>
      <c r="N14" s="347">
        <f ca="1">'Air Source Heat Pump'!W64</f>
        <v>1255.0719565648658</v>
      </c>
      <c r="O14" s="347">
        <f ca="1" t="shared" si="7"/>
        <v>12446.189530746287</v>
      </c>
      <c r="P14" s="347">
        <f ca="1" t="shared" si="6"/>
        <v>19049.934665796598</v>
      </c>
      <c r="Q14" s="504"/>
      <c r="R14" s="15"/>
      <c r="S14" s="97"/>
      <c r="T14" s="99"/>
      <c r="U14" s="100"/>
      <c r="V14" s="100"/>
      <c r="W14" s="100"/>
      <c r="X14" s="100"/>
      <c r="Y14" s="100"/>
      <c r="Z14" s="101"/>
      <c r="AA14" s="43"/>
      <c r="AB14" s="43"/>
      <c r="AC14" s="43"/>
      <c r="AD14" s="43"/>
      <c r="AE14" s="43"/>
    </row>
    <row r="15" spans="2:26" ht="12.75">
      <c r="B15" s="41"/>
      <c r="C15" s="508">
        <v>1999</v>
      </c>
      <c r="D15" s="352">
        <f ca="1" t="shared" si="0"/>
        <v>22782.981185089186</v>
      </c>
      <c r="E15" s="352">
        <f ca="1" t="shared" si="1"/>
        <v>19064.204619302946</v>
      </c>
      <c r="F15" s="513">
        <f ca="1" t="shared" si="2"/>
        <v>0.5570296454947179</v>
      </c>
      <c r="G15" s="513">
        <f ca="1" t="shared" si="3"/>
        <v>0.1632260736896044</v>
      </c>
      <c r="H15" s="513">
        <f ca="1" t="shared" si="4"/>
        <v>0.2797442808156777</v>
      </c>
      <c r="I15" s="352">
        <f ca="1">-'FAF - Electric'!T65</f>
        <v>10092.185252246129</v>
      </c>
      <c r="J15" s="352">
        <f ca="1">'FAF - Electric'!U65</f>
        <v>12690.795932843057</v>
      </c>
      <c r="K15" s="347">
        <f ca="1">'2011 Saturation Data'!$D$19*'FAF - Gas'!T65</f>
        <v>3718.7765657862383</v>
      </c>
      <c r="L15" s="347">
        <f ca="1" t="shared" si="5"/>
        <v>6373.40868645989</v>
      </c>
      <c r="M15" s="347">
        <f ca="1">'Air Source Heat Pump'!R65+'Air Source Heat Pump'!T65-'Conversions and Upgrades'!L15</f>
        <v>11772.013798116637</v>
      </c>
      <c r="N15" s="347">
        <f ca="1">'Air Source Heat Pump'!W65</f>
        <v>1255.0719565648658</v>
      </c>
      <c r="O15" s="347">
        <f ca="1" t="shared" si="7"/>
        <v>13027.085754681502</v>
      </c>
      <c r="P15" s="347">
        <f ca="1" t="shared" si="6"/>
        <v>19400.494441141393</v>
      </c>
      <c r="Q15" s="504"/>
      <c r="R15" s="15"/>
      <c r="S15" s="97"/>
      <c r="T15" s="525" t="s">
        <v>442</v>
      </c>
      <c r="U15" s="526" t="s">
        <v>446</v>
      </c>
      <c r="V15" s="545">
        <f ca="1">$L$26</f>
        <v>3351.4288355257886</v>
      </c>
      <c r="W15" s="545">
        <f ca="1">$L$27</f>
        <v>5126.550419509367</v>
      </c>
      <c r="X15" s="545">
        <f ca="1">$L$28</f>
        <v>6099.69478742519</v>
      </c>
      <c r="Y15" s="545">
        <f ca="1">$L$29</f>
        <v>6209.67615178077</v>
      </c>
      <c r="Z15" s="546">
        <f ca="1">$L$30</f>
        <v>6070.729167527868</v>
      </c>
    </row>
    <row r="16" spans="2:26" ht="12.75">
      <c r="B16" s="41"/>
      <c r="C16" s="508">
        <v>2000</v>
      </c>
      <c r="D16" s="352">
        <f ca="1" t="shared" si="0"/>
        <v>22286.671185089188</v>
      </c>
      <c r="E16" s="352">
        <f ca="1" t="shared" si="1"/>
        <v>17705.15544183332</v>
      </c>
      <c r="F16" s="513">
        <f ca="1" t="shared" si="2"/>
        <v>0.5382193169599894</v>
      </c>
      <c r="G16" s="513">
        <f ca="1" t="shared" si="3"/>
        <v>0.20557200782506774</v>
      </c>
      <c r="H16" s="513">
        <f ca="1" t="shared" si="4"/>
        <v>0.2562086752149429</v>
      </c>
      <c r="I16" s="352">
        <f ca="1">-'FAF - Electric'!T66</f>
        <v>10291.554242538608</v>
      </c>
      <c r="J16" s="352">
        <f ca="1">'FAF - Electric'!U66</f>
        <v>11995.11694255058</v>
      </c>
      <c r="K16" s="347">
        <f ca="1">'2011 Saturation Data'!$D$19*'FAF - Gas'!T66</f>
        <v>4581.515743255866</v>
      </c>
      <c r="L16" s="347">
        <f ca="1" t="shared" si="5"/>
        <v>5710.038499282742</v>
      </c>
      <c r="M16" s="347">
        <f ca="1">'Air Source Heat Pump'!R66+'Air Source Heat Pump'!T66-'Conversions and Upgrades'!L16</f>
        <v>12439.97129978186</v>
      </c>
      <c r="N16" s="347">
        <f ca="1">'Air Source Heat Pump'!W66</f>
        <v>1255.0719565648658</v>
      </c>
      <c r="O16" s="347">
        <f ca="1" t="shared" si="7"/>
        <v>13695.043256346726</v>
      </c>
      <c r="P16" s="347">
        <f ca="1" t="shared" si="6"/>
        <v>19405.081755629468</v>
      </c>
      <c r="Q16" s="504"/>
      <c r="R16" s="15"/>
      <c r="S16" s="97"/>
      <c r="T16" s="519" t="s">
        <v>442</v>
      </c>
      <c r="U16" s="520" t="s">
        <v>447</v>
      </c>
      <c r="V16" s="541">
        <f ca="1">$K$26</f>
        <v>9053.793443273047</v>
      </c>
      <c r="W16" s="541">
        <f ca="1">$K$27</f>
        <v>8237.809751004574</v>
      </c>
      <c r="X16" s="541">
        <f ca="1">$K$28</f>
        <v>8006.052533691164</v>
      </c>
      <c r="Y16" s="541">
        <f ca="1">$K$29</f>
        <v>8311.19066656843</v>
      </c>
      <c r="Z16" s="542">
        <f ca="1">$K$30</f>
        <v>8756.480042509374</v>
      </c>
    </row>
    <row r="17" spans="2:26" ht="13.5" thickBot="1">
      <c r="B17" s="41"/>
      <c r="C17" s="508">
        <v>2001</v>
      </c>
      <c r="D17" s="352">
        <f ca="1" t="shared" si="0"/>
        <v>22412.131185089187</v>
      </c>
      <c r="E17" s="352">
        <f ca="1" t="shared" si="1"/>
        <v>17617.348070318694</v>
      </c>
      <c r="F17" s="513">
        <f ca="1" t="shared" si="2"/>
        <v>0.5277140910832439</v>
      </c>
      <c r="G17" s="513">
        <f ca="1" t="shared" si="3"/>
        <v>0.21393695562341114</v>
      </c>
      <c r="H17" s="513">
        <f ca="1" t="shared" si="4"/>
        <v>0.258348953293345</v>
      </c>
      <c r="I17" s="352">
        <f ca="1">-'FAF - Electric'!T67</f>
        <v>10584.933747511423</v>
      </c>
      <c r="J17" s="352">
        <f ca="1">'FAF - Electric'!U67</f>
        <v>11827.197437577765</v>
      </c>
      <c r="K17" s="347">
        <f ca="1">'2011 Saturation Data'!$D$19*'FAF - Gas'!T67</f>
        <v>4794.783114770495</v>
      </c>
      <c r="L17" s="347">
        <f ca="1" t="shared" si="5"/>
        <v>5790.150632740928</v>
      </c>
      <c r="M17" s="347">
        <f ca="1">'Air Source Heat Pump'!R67+'Air Source Heat Pump'!T67-'Conversions and Upgrades'!L17</f>
        <v>12890.874797053637</v>
      </c>
      <c r="N17" s="347">
        <f ca="1">'Air Source Heat Pump'!W67</f>
        <v>1255.0719565648658</v>
      </c>
      <c r="O17" s="347">
        <f ca="1" t="shared" si="7"/>
        <v>14145.946753618502</v>
      </c>
      <c r="P17" s="347">
        <f ca="1" t="shared" si="6"/>
        <v>19936.09738635943</v>
      </c>
      <c r="Q17" s="504"/>
      <c r="R17" s="15"/>
      <c r="S17" s="5"/>
      <c r="T17" s="534" t="s">
        <v>442</v>
      </c>
      <c r="U17" s="535" t="s">
        <v>448</v>
      </c>
      <c r="V17" s="547">
        <f ca="1">$J$26</f>
        <v>5539.487669420487</v>
      </c>
      <c r="W17" s="547">
        <f ca="1">$J$27</f>
        <v>6689.651688605543</v>
      </c>
      <c r="X17" s="547">
        <f ca="1">$J$28</f>
        <v>5972.044333324911</v>
      </c>
      <c r="Y17" s="547">
        <f ca="1">$J$29</f>
        <v>6640.471753673917</v>
      </c>
      <c r="Z17" s="548">
        <f ca="1">$J$30</f>
        <v>6641.505860251345</v>
      </c>
    </row>
    <row r="18" spans="2:26" ht="12.75">
      <c r="B18" s="41"/>
      <c r="C18" s="508">
        <v>2002</v>
      </c>
      <c r="D18" s="352">
        <f ca="1" t="shared" si="0"/>
        <v>19935.80004978155</v>
      </c>
      <c r="E18" s="352">
        <f ca="1" t="shared" si="1"/>
        <v>15471.390783676354</v>
      </c>
      <c r="F18" s="513">
        <f ca="1" t="shared" si="2"/>
        <v>0.44674262029843825</v>
      </c>
      <c r="G18" s="513">
        <f ca="1" t="shared" si="3"/>
        <v>0.22393930792630085</v>
      </c>
      <c r="H18" s="513">
        <f ca="1" t="shared" si="4"/>
        <v>0.32931807177526096</v>
      </c>
      <c r="I18" s="352">
        <f ca="1">-'FAF - Electric'!T68</f>
        <v>11029.628497796404</v>
      </c>
      <c r="J18" s="352">
        <f ca="1">'FAF - Electric'!U68</f>
        <v>8906.171551985144</v>
      </c>
      <c r="K18" s="347">
        <f ca="1">'2011 Saturation Data'!$D$19*'FAF - Gas'!T68</f>
        <v>4464.409266105194</v>
      </c>
      <c r="L18" s="347">
        <f ca="1" t="shared" si="5"/>
        <v>6565.219231691211</v>
      </c>
      <c r="M18" s="347">
        <f ca="1">'Air Source Heat Pump'!R68+'Air Source Heat Pump'!T68-'Conversions and Upgrades'!L18</f>
        <v>13244.21390555671</v>
      </c>
      <c r="N18" s="347">
        <f ca="1">'Air Source Heat Pump'!W68</f>
        <v>1255.0719565648658</v>
      </c>
      <c r="O18" s="347">
        <f ca="1" t="shared" si="7"/>
        <v>14499.285862121575</v>
      </c>
      <c r="P18" s="347">
        <f ca="1" t="shared" si="6"/>
        <v>21064.505093812786</v>
      </c>
      <c r="Q18" s="504"/>
      <c r="R18" s="15"/>
      <c r="S18" s="5"/>
      <c r="T18" s="525"/>
      <c r="U18" s="529" t="s">
        <v>450</v>
      </c>
      <c r="V18" s="549">
        <f ca="1">SUM(V17,V15)</f>
        <v>8890.916504946275</v>
      </c>
      <c r="W18" s="549">
        <f ca="1">SUM(W17,W15)</f>
        <v>11816.20210811491</v>
      </c>
      <c r="X18" s="549">
        <f ca="1">SUM(X17,X15)</f>
        <v>12071.739120750102</v>
      </c>
      <c r="Y18" s="549">
        <f ca="1">SUM(Y17,Y15)</f>
        <v>12850.147905454687</v>
      </c>
      <c r="Z18" s="550">
        <f ca="1">SUM(Z17,Z15)</f>
        <v>12712.235027779214</v>
      </c>
    </row>
    <row r="19" spans="2:26" ht="13.5" thickBot="1">
      <c r="B19" s="41"/>
      <c r="C19" s="508">
        <v>2003</v>
      </c>
      <c r="D19" s="352">
        <f ca="1" t="shared" si="0"/>
        <v>19189.77016064379</v>
      </c>
      <c r="E19" s="352">
        <f ca="1" t="shared" si="1"/>
        <v>14975.20058684358</v>
      </c>
      <c r="F19" s="513">
        <f ca="1" t="shared" si="2"/>
        <v>0.39933489118112386</v>
      </c>
      <c r="G19" s="513">
        <f ca="1" t="shared" si="3"/>
        <v>0.21962584952913355</v>
      </c>
      <c r="H19" s="513">
        <f ca="1" t="shared" si="4"/>
        <v>0.3810392592897426</v>
      </c>
      <c r="I19" s="352">
        <f ca="1">-'FAF - Electric'!T69</f>
        <v>11526.625381752325</v>
      </c>
      <c r="J19" s="352">
        <f ca="1">'FAF - Electric'!U69</f>
        <v>7663.144778891467</v>
      </c>
      <c r="K19" s="347">
        <f ca="1">'2011 Saturation Data'!$D$19*'FAF - Gas'!T69</f>
        <v>4214.5695738002105</v>
      </c>
      <c r="L19" s="347">
        <f ca="1" t="shared" si="5"/>
        <v>7312.055807952114</v>
      </c>
      <c r="M19" s="347">
        <f ca="1">'Air Source Heat Pump'!R69+'Air Source Heat Pump'!T69-'Conversions and Upgrades'!L19</f>
        <v>13698.54364119035</v>
      </c>
      <c r="N19" s="347">
        <f ca="1">'Air Source Heat Pump'!W69</f>
        <v>1255.0719565648658</v>
      </c>
      <c r="O19" s="347">
        <f ca="1" t="shared" si="7"/>
        <v>14953.615597755215</v>
      </c>
      <c r="P19" s="347">
        <f aca="true" t="shared" si="8" ref="P19:P31">SUM(L19:N19)</f>
        <v>22265.67140570733</v>
      </c>
      <c r="Q19" s="504"/>
      <c r="R19" s="15"/>
      <c r="S19" s="5"/>
      <c r="T19" s="530"/>
      <c r="U19" s="531" t="s">
        <v>449</v>
      </c>
      <c r="V19" s="543">
        <f ca="1">$D$26</f>
        <v>17944.709948219323</v>
      </c>
      <c r="W19" s="543">
        <f ca="1">$D$27</f>
        <v>20054.011859119484</v>
      </c>
      <c r="X19" s="543">
        <f ca="1">$D$28</f>
        <v>20077.791654441266</v>
      </c>
      <c r="Y19" s="543">
        <f ca="1">$D$29</f>
        <v>21161.338572023116</v>
      </c>
      <c r="Z19" s="544">
        <f ca="1">$D$30</f>
        <v>21468.71507028859</v>
      </c>
    </row>
    <row r="20" spans="2:26" ht="15.75" thickBot="1">
      <c r="B20" s="41"/>
      <c r="C20" s="508">
        <v>2004</v>
      </c>
      <c r="D20" s="352">
        <f ca="1" t="shared" si="0"/>
        <v>21038.397241724175</v>
      </c>
      <c r="E20" s="352">
        <f ca="1" t="shared" si="1"/>
        <v>16711.960498313998</v>
      </c>
      <c r="F20" s="513">
        <f ca="1" t="shared" si="2"/>
        <v>0.43053354963291457</v>
      </c>
      <c r="G20" s="513">
        <f ca="1" t="shared" si="3"/>
        <v>0.20564478813195036</v>
      </c>
      <c r="H20" s="513">
        <f ca="1" t="shared" si="4"/>
        <v>0.36382166223513507</v>
      </c>
      <c r="I20" s="352">
        <f ca="1">-'FAF - Electric'!T70</f>
        <v>11980.661398657347</v>
      </c>
      <c r="J20" s="352">
        <f ca="1">'FAF - Electric'!U70</f>
        <v>9057.735843066828</v>
      </c>
      <c r="K20" s="347">
        <f ca="1">'2011 Saturation Data'!$D$19*'FAF - Gas'!T70</f>
        <v>4326.436743410177</v>
      </c>
      <c r="L20" s="347">
        <f ca="1" t="shared" si="5"/>
        <v>7654.22465524717</v>
      </c>
      <c r="M20" s="347">
        <f ca="1">'Air Source Heat Pump'!R70+'Air Source Heat Pump'!T70-'Conversions and Upgrades'!L20</f>
        <v>14284.625440571115</v>
      </c>
      <c r="N20" s="347">
        <f ca="1">'Air Source Heat Pump'!W70</f>
        <v>11994.355938443001</v>
      </c>
      <c r="O20" s="347">
        <f ca="1" t="shared" si="7"/>
        <v>26278.981379014116</v>
      </c>
      <c r="P20" s="347">
        <f ca="1" t="shared" si="8"/>
        <v>33933.20603426128</v>
      </c>
      <c r="Q20" s="504"/>
      <c r="R20" s="15"/>
      <c r="T20" s="44"/>
      <c r="U20" s="62"/>
      <c r="V20" s="44"/>
      <c r="W20" s="44"/>
      <c r="X20" s="44"/>
      <c r="Y20" s="44"/>
      <c r="Z20" s="44"/>
    </row>
    <row r="21" spans="2:26" ht="13.5" thickBot="1">
      <c r="B21" s="41"/>
      <c r="C21" s="508">
        <v>2005</v>
      </c>
      <c r="D21" s="352">
        <f ca="1" t="shared" si="0"/>
        <v>21427.730358786637</v>
      </c>
      <c r="E21" s="352">
        <f ca="1" t="shared" si="1"/>
        <v>17351.309524707234</v>
      </c>
      <c r="F21" s="513">
        <f ca="1" t="shared" si="2"/>
        <v>0.4113848786799136</v>
      </c>
      <c r="G21" s="513">
        <f ca="1" t="shared" si="3"/>
        <v>0.19024043917968325</v>
      </c>
      <c r="H21" s="513">
        <f ca="1" t="shared" si="4"/>
        <v>0.3983746821404032</v>
      </c>
      <c r="I21" s="352">
        <f ca="1">-'FAF - Electric'!T71</f>
        <v>12612.686104751296</v>
      </c>
      <c r="J21" s="352">
        <f ca="1">'FAF - Electric'!U71</f>
        <v>8815.044254035342</v>
      </c>
      <c r="K21" s="347">
        <f ca="1">'2011 Saturation Data'!$D$19*'FAF - Gas'!T71</f>
        <v>4076.4208340794016</v>
      </c>
      <c r="L21" s="347">
        <f ca="1" t="shared" si="5"/>
        <v>8536.265270671895</v>
      </c>
      <c r="M21" s="347">
        <f ca="1">'Air Source Heat Pump'!R71+'Air Source Heat Pump'!T71-'Conversions and Upgrades'!L21</f>
        <v>14895.255831937568</v>
      </c>
      <c r="N21" s="347">
        <f ca="1">'Air Source Heat Pump'!W71</f>
        <v>12013.285944633059</v>
      </c>
      <c r="O21" s="347">
        <f ca="1" t="shared" si="7"/>
        <v>26908.541776570626</v>
      </c>
      <c r="P21" s="347">
        <f ca="1" t="shared" si="8"/>
        <v>35444.80704724252</v>
      </c>
      <c r="Q21" s="504"/>
      <c r="R21" s="15"/>
      <c r="T21" s="514" t="s">
        <v>22</v>
      </c>
      <c r="U21" s="515"/>
      <c r="V21" s="515"/>
      <c r="W21" s="515"/>
      <c r="X21" s="515"/>
      <c r="Y21" s="515"/>
      <c r="Z21" s="516"/>
    </row>
    <row r="22" spans="2:26" ht="12.75">
      <c r="B22" s="41"/>
      <c r="C22" s="508">
        <v>2006</v>
      </c>
      <c r="D22" s="352">
        <f ca="1" t="shared" si="0"/>
        <v>20237.15895400682</v>
      </c>
      <c r="E22" s="352">
        <f ca="1" t="shared" si="1"/>
        <v>14942.18557938756</v>
      </c>
      <c r="F22" s="513">
        <f ca="1" t="shared" si="2"/>
        <v>0.37126142649897576</v>
      </c>
      <c r="G22" s="513">
        <f ca="1" t="shared" si="3"/>
        <v>0.26164608316084265</v>
      </c>
      <c r="H22" s="513">
        <f ca="1" t="shared" si="4"/>
        <v>0.3670924903401816</v>
      </c>
      <c r="I22" s="352">
        <f ca="1">-'FAF - Electric'!T72</f>
        <v>12723.882452455728</v>
      </c>
      <c r="J22" s="352">
        <f ca="1">'FAF - Electric'!U72</f>
        <v>7513.276501551092</v>
      </c>
      <c r="K22" s="347">
        <f ca="1">'2011 Saturation Data'!$D$19*'FAF - Gas'!T72</f>
        <v>5294.97337461926</v>
      </c>
      <c r="L22" s="347">
        <f ca="1" t="shared" si="5"/>
        <v>7428.909077836468</v>
      </c>
      <c r="M22" s="347">
        <f ca="1">'Air Source Heat Pump'!R72+'Air Source Heat Pump'!T72-'Conversions and Upgrades'!L22</f>
        <v>15639.591615287494</v>
      </c>
      <c r="N22" s="347">
        <f ca="1">'Air Source Heat Pump'!W72</f>
        <v>12432.782680384193</v>
      </c>
      <c r="O22" s="347">
        <f ca="1" t="shared" si="7"/>
        <v>28072.37429567169</v>
      </c>
      <c r="P22" s="347">
        <f ca="1" t="shared" si="8"/>
        <v>35501.28337350815</v>
      </c>
      <c r="Q22" s="504"/>
      <c r="R22" s="15"/>
      <c r="T22" s="517" t="s">
        <v>103</v>
      </c>
      <c r="U22" s="518" t="s">
        <v>47</v>
      </c>
      <c r="V22" s="518">
        <v>2010</v>
      </c>
      <c r="W22" s="518">
        <v>2011</v>
      </c>
      <c r="X22" s="518">
        <v>2012</v>
      </c>
      <c r="Y22" s="518">
        <v>2013</v>
      </c>
      <c r="Z22" s="523">
        <v>2014</v>
      </c>
    </row>
    <row r="23" spans="2:26" ht="12.75">
      <c r="B23" s="41"/>
      <c r="C23" s="508">
        <v>2007</v>
      </c>
      <c r="D23" s="352">
        <f ca="1" t="shared" si="0"/>
        <v>18581.636897882923</v>
      </c>
      <c r="E23" s="352">
        <f ca="1" t="shared" si="1"/>
        <v>11418.192538140833</v>
      </c>
      <c r="F23" s="513">
        <f ca="1" t="shared" si="2"/>
        <v>0.3315613087431797</v>
      </c>
      <c r="G23" s="513">
        <f ca="1" t="shared" si="3"/>
        <v>0.38551201915684025</v>
      </c>
      <c r="H23" s="513">
        <f ca="1" t="shared" si="4"/>
        <v>0.28292667209998</v>
      </c>
      <c r="I23" s="352">
        <f ca="1">-'FAF - Electric'!T73</f>
        <v>12420.685049430303</v>
      </c>
      <c r="J23" s="352">
        <f ca="1">'FAF - Electric'!U73</f>
        <v>6160.95184845262</v>
      </c>
      <c r="K23" s="347">
        <f ca="1">'2011 Saturation Data'!$D$19*'FAF - Gas'!T73</f>
        <v>7163.444359742091</v>
      </c>
      <c r="L23" s="347">
        <f ca="1" t="shared" si="5"/>
        <v>5257.240689688212</v>
      </c>
      <c r="M23" s="347">
        <f ca="1">'Air Source Heat Pump'!R73+'Air Source Heat Pump'!T73-'Conversions and Upgrades'!L23</f>
        <v>16230.076406108248</v>
      </c>
      <c r="N23" s="347">
        <f ca="1">'Air Source Heat Pump'!W73</f>
        <v>12597.910905522589</v>
      </c>
      <c r="O23" s="347">
        <f ca="1" t="shared" si="7"/>
        <v>28827.987311630837</v>
      </c>
      <c r="P23" s="347">
        <f ca="1" t="shared" si="8"/>
        <v>34085.22800131905</v>
      </c>
      <c r="Q23" s="504"/>
      <c r="R23" s="15"/>
      <c r="T23" s="519" t="s">
        <v>56</v>
      </c>
      <c r="U23" s="520" t="s">
        <v>321</v>
      </c>
      <c r="V23" s="551">
        <f ca="1">$L$54</f>
        <v>3152.673903184047</v>
      </c>
      <c r="W23" s="551">
        <f ca="1">$L$55</f>
        <v>3096.6101365489203</v>
      </c>
      <c r="X23" s="551">
        <f ca="1">$L$56</f>
        <v>2997.6638806019687</v>
      </c>
      <c r="Y23" s="551">
        <f ca="1">$L$57</f>
        <v>2879.2807059480183</v>
      </c>
      <c r="Z23" s="552">
        <f ca="1">$L$58</f>
        <v>2734.180917624275</v>
      </c>
    </row>
    <row r="24" spans="2:26" ht="12.75">
      <c r="B24" s="41"/>
      <c r="C24" s="508">
        <v>2008</v>
      </c>
      <c r="D24" s="352">
        <f ca="1" t="shared" si="0"/>
        <v>16069.174446876104</v>
      </c>
      <c r="E24" s="352">
        <f ca="1" t="shared" si="1"/>
        <v>6785.128255857537</v>
      </c>
      <c r="F24" s="513">
        <f ca="1" t="shared" si="2"/>
        <v>0.26867376569174395</v>
      </c>
      <c r="G24" s="513">
        <f ca="1" t="shared" si="3"/>
        <v>0.577755019195987</v>
      </c>
      <c r="H24" s="513">
        <f ca="1" t="shared" si="4"/>
        <v>0.15357121511226904</v>
      </c>
      <c r="I24" s="352">
        <f ca="1">-'FAF - Electric'!T74</f>
        <v>11751.808836676355</v>
      </c>
      <c r="J24" s="352">
        <f ca="1">'FAF - Electric'!U74</f>
        <v>4317.365610199749</v>
      </c>
      <c r="K24" s="347">
        <f ca="1">'2011 Saturation Data'!$D$19*'FAF - Gas'!T74</f>
        <v>9284.046191018568</v>
      </c>
      <c r="L24" s="347">
        <f ca="1" t="shared" si="5"/>
        <v>2467.7626456577873</v>
      </c>
      <c r="M24" s="347">
        <f ca="1">'Air Source Heat Pump'!R74+'Air Source Heat Pump'!T74-'Conversions and Upgrades'!L24</f>
        <v>16523.50688061057</v>
      </c>
      <c r="N24" s="347">
        <f ca="1">'Air Source Heat Pump'!W74</f>
        <v>12764.073676048432</v>
      </c>
      <c r="O24" s="347">
        <f ca="1" t="shared" si="7"/>
        <v>29287.580556659002</v>
      </c>
      <c r="P24" s="347">
        <f ca="1" t="shared" si="8"/>
        <v>31755.343202316788</v>
      </c>
      <c r="Q24" s="504"/>
      <c r="R24" s="15"/>
      <c r="S24" s="98"/>
      <c r="T24" s="519" t="s">
        <v>56</v>
      </c>
      <c r="U24" s="520" t="s">
        <v>322</v>
      </c>
      <c r="V24" s="551">
        <f ca="1">$O$54</f>
        <v>2825.272219541211</v>
      </c>
      <c r="W24" s="551">
        <f ca="1">$O$55</f>
        <v>3049.5538933445946</v>
      </c>
      <c r="X24" s="551">
        <f ca="1">$O$56</f>
        <v>3290.598986047749</v>
      </c>
      <c r="Y24" s="551">
        <f ca="1">$O$57</f>
        <v>3614.4176303164445</v>
      </c>
      <c r="Z24" s="552">
        <f ca="1">$O$58</f>
        <v>3828.2665533557542</v>
      </c>
    </row>
    <row r="25" spans="2:26" ht="13.5" thickBot="1">
      <c r="B25" s="41"/>
      <c r="C25" s="508">
        <v>2009</v>
      </c>
      <c r="D25" s="352">
        <f ca="1" t="shared" si="0"/>
        <v>15514.873186218387</v>
      </c>
      <c r="E25" s="352">
        <f ca="1" t="shared" si="1"/>
        <v>5472.9255816126715</v>
      </c>
      <c r="F25" s="513">
        <f ca="1" t="shared" si="2"/>
        <v>0.2546390479826403</v>
      </c>
      <c r="G25" s="513">
        <f ca="1" t="shared" si="3"/>
        <v>0.6472465152680601</v>
      </c>
      <c r="H25" s="513">
        <f ca="1" t="shared" si="4"/>
        <v>0.0981144367492996</v>
      </c>
      <c r="I25" s="352">
        <f ca="1">-'FAF - Electric'!T75</f>
        <v>11564.180648508343</v>
      </c>
      <c r="J25" s="352">
        <f ca="1">'FAF - Electric'!U75</f>
        <v>3950.6925377100433</v>
      </c>
      <c r="K25" s="347">
        <f ca="1">'2011 Saturation Data'!$D$19*'FAF - Gas'!T75</f>
        <v>10041.947604605715</v>
      </c>
      <c r="L25" s="347">
        <f ca="1" t="shared" si="5"/>
        <v>1522.2330439026282</v>
      </c>
      <c r="M25" s="347">
        <f ca="1">'Air Source Heat Pump'!R75+'Air Source Heat Pump'!T75-'Conversions and Upgrades'!L25</f>
        <v>16690.496932179245</v>
      </c>
      <c r="N25" s="347">
        <f ca="1">'Air Source Heat Pump'!W75</f>
        <v>13051.711837445855</v>
      </c>
      <c r="O25" s="347">
        <f ca="1" t="shared" si="7"/>
        <v>29742.2087696251</v>
      </c>
      <c r="P25" s="347">
        <f ca="1" t="shared" si="8"/>
        <v>31264.441813527726</v>
      </c>
      <c r="Q25" s="504"/>
      <c r="R25" s="15"/>
      <c r="S25" s="98"/>
      <c r="T25" s="521" t="s">
        <v>1</v>
      </c>
      <c r="U25" s="524"/>
      <c r="V25" s="553">
        <f ca="1">SUM(V23:V24)</f>
        <v>5977.946122725258</v>
      </c>
      <c r="W25" s="553">
        <f ca="1">SUM(W23:W24)</f>
        <v>6146.164029893514</v>
      </c>
      <c r="X25" s="553">
        <f ca="1">SUM(X23:X24)</f>
        <v>6288.262866649718</v>
      </c>
      <c r="Y25" s="553">
        <f ca="1">SUM(Y23:Y24)</f>
        <v>6493.698336264462</v>
      </c>
      <c r="Z25" s="554">
        <f ca="1">SUM(Z23:Z24)</f>
        <v>6562.447470980029</v>
      </c>
    </row>
    <row r="26" spans="2:26" ht="13.5" thickBot="1">
      <c r="B26" s="41"/>
      <c r="C26" s="508">
        <v>2010</v>
      </c>
      <c r="D26" s="352">
        <f ca="1" t="shared" si="0"/>
        <v>17944.709948219323</v>
      </c>
      <c r="E26" s="352">
        <f ca="1" t="shared" si="1"/>
        <v>8890.916504946275</v>
      </c>
      <c r="F26" s="513">
        <f ca="1" t="shared" si="2"/>
        <v>0.3086975317742696</v>
      </c>
      <c r="G26" s="513">
        <f ca="1" t="shared" si="3"/>
        <v>0.5045382995544861</v>
      </c>
      <c r="H26" s="513">
        <f ca="1" t="shared" si="4"/>
        <v>0.18676416867124426</v>
      </c>
      <c r="I26" s="352">
        <f ca="1">-'FAF - Electric'!T76</f>
        <v>12405.222278798836</v>
      </c>
      <c r="J26" s="352">
        <f ca="1">'FAF - Electric'!U76</f>
        <v>5539.487669420487</v>
      </c>
      <c r="K26" s="347">
        <f ca="1">'2011 Saturation Data'!$D$19*'FAF - Gas'!T76</f>
        <v>9053.793443273047</v>
      </c>
      <c r="L26" s="347">
        <f ca="1" t="shared" si="5"/>
        <v>3351.4288355257886</v>
      </c>
      <c r="M26" s="347">
        <f ca="1">'Air Source Heat Pump'!R76+'Air Source Heat Pump'!T76-'Conversions and Upgrades'!L26</f>
        <v>17172.75543878766</v>
      </c>
      <c r="N26" s="347">
        <f ca="1">'Air Source Heat Pump'!W76</f>
        <v>13280.14189308335</v>
      </c>
      <c r="O26" s="347">
        <f ca="1" t="shared" si="7"/>
        <v>30452.89733187101</v>
      </c>
      <c r="P26" s="347">
        <f ca="1" t="shared" si="8"/>
        <v>33804.32616739679</v>
      </c>
      <c r="Q26" s="504"/>
      <c r="R26" s="15"/>
      <c r="S26" s="98"/>
      <c r="T26" s="99"/>
      <c r="U26" s="100"/>
      <c r="V26" s="100"/>
      <c r="W26" s="100"/>
      <c r="X26" s="100"/>
      <c r="Y26" s="100"/>
      <c r="Z26" s="101"/>
    </row>
    <row r="27" spans="2:26" ht="12.75">
      <c r="B27" s="41"/>
      <c r="C27" s="508">
        <v>2011</v>
      </c>
      <c r="D27" s="352">
        <f ca="1" t="shared" si="0"/>
        <v>20054.011859119484</v>
      </c>
      <c r="E27" s="352">
        <f ca="1" t="shared" si="1"/>
        <v>11816.20210811491</v>
      </c>
      <c r="F27" s="513">
        <f ca="1" t="shared" si="2"/>
        <v>0.33358171599781167</v>
      </c>
      <c r="G27" s="513">
        <f ca="1" t="shared" si="3"/>
        <v>0.4107811349108414</v>
      </c>
      <c r="H27" s="513">
        <f ca="1" t="shared" si="4"/>
        <v>0.25563714909134694</v>
      </c>
      <c r="I27" s="352">
        <f ca="1">-'FAF - Electric'!T77</f>
        <v>13364.36017051394</v>
      </c>
      <c r="J27" s="352">
        <f ca="1">'FAF - Electric'!U77</f>
        <v>6689.651688605543</v>
      </c>
      <c r="K27" s="347">
        <f ca="1">'2011 Saturation Data'!$D$19*'FAF - Gas'!T77</f>
        <v>8237.809751004574</v>
      </c>
      <c r="L27" s="347">
        <f ca="1" t="shared" si="5"/>
        <v>5126.550419509367</v>
      </c>
      <c r="M27" s="347">
        <f ca="1">'Air Source Heat Pump'!R77+'Air Source Heat Pump'!T77-'Conversions and Upgrades'!L27</f>
        <v>17878.204430618018</v>
      </c>
      <c r="N27" s="347">
        <f ca="1">'Air Source Heat Pump'!W77</f>
        <v>13651.284055829183</v>
      </c>
      <c r="O27" s="347">
        <f ca="1" t="shared" si="7"/>
        <v>31529.4884864472</v>
      </c>
      <c r="P27" s="347">
        <f ca="1" t="shared" si="8"/>
        <v>36656.038905956564</v>
      </c>
      <c r="Q27" s="504"/>
      <c r="R27" s="15"/>
      <c r="S27" s="98"/>
      <c r="T27" s="525" t="s">
        <v>442</v>
      </c>
      <c r="U27" s="526" t="s">
        <v>446</v>
      </c>
      <c r="V27" s="545">
        <f ca="1">$L$54</f>
        <v>3152.673903184047</v>
      </c>
      <c r="W27" s="545">
        <f ca="1">$L$55</f>
        <v>3096.6101365489203</v>
      </c>
      <c r="X27" s="545">
        <f ca="1">$L$56</f>
        <v>2997.6638806019687</v>
      </c>
      <c r="Y27" s="545">
        <f ca="1">$L$57</f>
        <v>2879.2807059480183</v>
      </c>
      <c r="Z27" s="546">
        <f ca="1">$L$58</f>
        <v>2734.180917624275</v>
      </c>
    </row>
    <row r="28" spans="2:26" ht="12.75">
      <c r="B28" s="41"/>
      <c r="C28" s="508">
        <v>2012</v>
      </c>
      <c r="D28" s="352">
        <f ca="1" t="shared" si="0"/>
        <v>20077.791654441266</v>
      </c>
      <c r="E28" s="352">
        <f ca="1" t="shared" si="1"/>
        <v>12071.739120750102</v>
      </c>
      <c r="F28" s="513">
        <f ca="1" t="shared" si="2"/>
        <v>0.2974452786496506</v>
      </c>
      <c r="G28" s="513">
        <f ca="1" t="shared" si="3"/>
        <v>0.3987516491595928</v>
      </c>
      <c r="H28" s="513">
        <f ca="1" t="shared" si="4"/>
        <v>0.3038030721907566</v>
      </c>
      <c r="I28" s="352">
        <f ca="1">-'FAF - Electric'!T78</f>
        <v>14105.747321116354</v>
      </c>
      <c r="J28" s="352">
        <f ca="1">'FAF - Electric'!U78</f>
        <v>5972.044333324911</v>
      </c>
      <c r="K28" s="347">
        <f ca="1">'2011 Saturation Data'!$D$19*'FAF - Gas'!T78</f>
        <v>8006.052533691164</v>
      </c>
      <c r="L28" s="347">
        <f ca="1" t="shared" si="5"/>
        <v>6099.69478742519</v>
      </c>
      <c r="M28" s="347">
        <f ca="1">'Air Source Heat Pump'!R78+'Air Source Heat Pump'!T78-'Conversions and Upgrades'!L28</f>
        <v>18624.613044587346</v>
      </c>
      <c r="N28" s="347">
        <f ca="1">'Air Source Heat Pump'!W78</f>
        <v>14300.41691562052</v>
      </c>
      <c r="O28" s="347">
        <f ca="1" t="shared" si="7"/>
        <v>32925.02996020787</v>
      </c>
      <c r="P28" s="347">
        <f ca="1" t="shared" si="8"/>
        <v>39024.72474763305</v>
      </c>
      <c r="Q28" s="504"/>
      <c r="R28" s="15"/>
      <c r="S28" s="98"/>
      <c r="T28" s="519" t="s">
        <v>442</v>
      </c>
      <c r="U28" s="520" t="s">
        <v>447</v>
      </c>
      <c r="V28" s="541">
        <f ca="1">$K$54</f>
        <v>386.2807142381597</v>
      </c>
      <c r="W28" s="541">
        <f ca="1">$K$55</f>
        <v>393.70718455400385</v>
      </c>
      <c r="X28" s="541">
        <f ca="1">$K$56</f>
        <v>398.94668805638713</v>
      </c>
      <c r="Y28" s="541">
        <f ca="1">$K$57</f>
        <v>402.69266957849527</v>
      </c>
      <c r="Z28" s="542">
        <f ca="1">$K$58</f>
        <v>404.3727161260504</v>
      </c>
    </row>
    <row r="29" spans="2:26" ht="13.5" thickBot="1">
      <c r="B29" s="41"/>
      <c r="C29" s="508">
        <v>2013</v>
      </c>
      <c r="D29" s="352">
        <f ca="1" t="shared" si="0"/>
        <v>21161.338572023116</v>
      </c>
      <c r="E29" s="352">
        <f ca="1" t="shared" si="1"/>
        <v>12850.147905454687</v>
      </c>
      <c r="F29" s="513">
        <f ca="1" t="shared" si="2"/>
        <v>0.31380206554859064</v>
      </c>
      <c r="G29" s="513">
        <f ca="1" t="shared" si="3"/>
        <v>0.39275354147759106</v>
      </c>
      <c r="H29" s="513">
        <f ca="1" t="shared" si="4"/>
        <v>0.2934443929738183</v>
      </c>
      <c r="I29" s="352">
        <f ca="1">-'FAF - Electric'!T79</f>
        <v>14520.8668183492</v>
      </c>
      <c r="J29" s="352">
        <f ca="1">'FAF - Electric'!U79</f>
        <v>6640.471753673917</v>
      </c>
      <c r="K29" s="347">
        <f ca="1">'2011 Saturation Data'!$D$19*'FAF - Gas'!T79</f>
        <v>8311.19066656843</v>
      </c>
      <c r="L29" s="347">
        <f ca="1" t="shared" si="5"/>
        <v>6209.67615178077</v>
      </c>
      <c r="M29" s="347">
        <f ca="1">'Air Source Heat Pump'!R79+'Air Source Heat Pump'!T79-'Conversions and Upgrades'!L29</f>
        <v>19262.529106084716</v>
      </c>
      <c r="N29" s="347">
        <f ca="1">'Air Source Heat Pump'!W79</f>
        <v>14940.523944767589</v>
      </c>
      <c r="O29" s="347">
        <f ca="1" t="shared" si="7"/>
        <v>34203.05305085231</v>
      </c>
      <c r="P29" s="347">
        <f ca="1" t="shared" si="8"/>
        <v>40412.72920263307</v>
      </c>
      <c r="Q29" s="504"/>
      <c r="R29" s="15"/>
      <c r="S29" s="15"/>
      <c r="T29" s="527" t="s">
        <v>442</v>
      </c>
      <c r="U29" s="528" t="s">
        <v>448</v>
      </c>
      <c r="V29" s="555">
        <f ca="1">$J$54</f>
        <v>13702.971253634014</v>
      </c>
      <c r="W29" s="555">
        <f ca="1">$J$55</f>
        <v>14642.761255842132</v>
      </c>
      <c r="X29" s="555">
        <f ca="1">$J$56</f>
        <v>14491.622890686724</v>
      </c>
      <c r="Y29" s="555">
        <f ca="1">$J$57</f>
        <v>15343.65244723937</v>
      </c>
      <c r="Z29" s="556">
        <f ca="1">$J$58</f>
        <v>17058.072165497717</v>
      </c>
    </row>
    <row r="30" spans="2:26" ht="12.75">
      <c r="B30" s="41"/>
      <c r="C30" s="508">
        <v>2014</v>
      </c>
      <c r="D30" s="352">
        <f ca="1" t="shared" si="0"/>
        <v>21468.71507028859</v>
      </c>
      <c r="E30" s="352">
        <f ca="1" t="shared" si="1"/>
        <v>12712.235027779214</v>
      </c>
      <c r="F30" s="513">
        <f ca="1" t="shared" si="2"/>
        <v>0.30935739929041167</v>
      </c>
      <c r="G30" s="513">
        <f ca="1" t="shared" si="3"/>
        <v>0.40787164084299654</v>
      </c>
      <c r="H30" s="513">
        <f ca="1" t="shared" si="4"/>
        <v>0.2827709598665918</v>
      </c>
      <c r="I30" s="352">
        <f ca="1">-'FAF - Electric'!T80</f>
        <v>14827.209210037243</v>
      </c>
      <c r="J30" s="352">
        <f ca="1">'FAF - Electric'!U80</f>
        <v>6641.505860251345</v>
      </c>
      <c r="K30" s="347">
        <f ca="1">'2011 Saturation Data'!$D$19*'FAF - Gas'!T80</f>
        <v>8756.480042509374</v>
      </c>
      <c r="L30" s="347">
        <f ca="1" t="shared" si="5"/>
        <v>6070.729167527868</v>
      </c>
      <c r="M30" s="347">
        <f ca="1">'Air Source Heat Pump'!R80+'Air Source Heat Pump'!T80-'Conversions and Upgrades'!L30</f>
        <v>19844.771533401567</v>
      </c>
      <c r="N30" s="347">
        <f ca="1">'Air Source Heat Pump'!W80</f>
        <v>14955.156466017845</v>
      </c>
      <c r="O30" s="347">
        <f ca="1" t="shared" si="7"/>
        <v>34799.92799941941</v>
      </c>
      <c r="P30" s="347">
        <f ca="1" t="shared" si="8"/>
        <v>40870.657166947276</v>
      </c>
      <c r="Q30" s="504"/>
      <c r="R30" s="15"/>
      <c r="S30" s="15"/>
      <c r="T30" s="525"/>
      <c r="U30" s="529" t="s">
        <v>450</v>
      </c>
      <c r="V30" s="549">
        <f ca="1">SUM(V29,V27)</f>
        <v>16855.64515681806</v>
      </c>
      <c r="W30" s="549">
        <f ca="1">SUM(W29,W27)</f>
        <v>17739.37139239105</v>
      </c>
      <c r="X30" s="549">
        <f ca="1">SUM(X29,X27)</f>
        <v>17489.28677128869</v>
      </c>
      <c r="Y30" s="549">
        <f ca="1">SUM(Y29,Y27)</f>
        <v>18222.93315318739</v>
      </c>
      <c r="Z30" s="550">
        <f ca="1">SUM(Z29,Z27)</f>
        <v>19792.253083121992</v>
      </c>
    </row>
    <row r="31" spans="2:26" ht="13.5" thickBot="1">
      <c r="B31" s="41"/>
      <c r="C31" s="508">
        <v>2015</v>
      </c>
      <c r="D31" s="352">
        <f ca="1" t="shared" si="0"/>
        <v>21563.55004447341</v>
      </c>
      <c r="E31" s="352">
        <f ca="1" t="shared" si="1"/>
        <v>12403.561959547447</v>
      </c>
      <c r="F31" s="513">
        <f ca="1" t="shared" si="2"/>
        <v>0.2964641131682397</v>
      </c>
      <c r="G31" s="513">
        <f ca="1" t="shared" si="3"/>
        <v>0.4247903553002213</v>
      </c>
      <c r="H31" s="513">
        <f ca="1" t="shared" si="4"/>
        <v>0.278745531531539</v>
      </c>
      <c r="I31" s="352">
        <f ca="1">-'FAF - Electric'!T81</f>
        <v>15170.731303779645</v>
      </c>
      <c r="J31" s="352">
        <f ca="1">'FAF - Electric'!U81</f>
        <v>6392.818740693765</v>
      </c>
      <c r="K31" s="347">
        <f ca="1">'2011 Saturation Data'!$D$19*'FAF - Gas'!T81</f>
        <v>9159.988084925963</v>
      </c>
      <c r="L31" s="347">
        <f ca="1" t="shared" si="5"/>
        <v>6010.743218853682</v>
      </c>
      <c r="M31" s="347">
        <f ca="1">'Air Source Heat Pump'!R81+'Air Source Heat Pump'!T81-'Conversions and Upgrades'!L31</f>
        <v>20449.10341557864</v>
      </c>
      <c r="N31" s="347">
        <f ca="1">'Air Source Heat Pump'!W81</f>
        <v>15912.369359257737</v>
      </c>
      <c r="O31" s="347">
        <f ca="1" t="shared" si="7"/>
        <v>36361.47277483638</v>
      </c>
      <c r="P31" s="347">
        <f ca="1" t="shared" si="8"/>
        <v>42372.21599369006</v>
      </c>
      <c r="Q31" s="504"/>
      <c r="R31" s="15"/>
      <c r="S31" s="15"/>
      <c r="T31" s="530"/>
      <c r="U31" s="531" t="s">
        <v>449</v>
      </c>
      <c r="V31" s="543">
        <f ca="1">SUM(V27:V29)</f>
        <v>17241.92587105622</v>
      </c>
      <c r="W31" s="543">
        <f ca="1">SUM(W27:W29)</f>
        <v>18133.078576945056</v>
      </c>
      <c r="X31" s="543">
        <f ca="1">SUM(X27:X29)</f>
        <v>17888.23345934508</v>
      </c>
      <c r="Y31" s="543">
        <f ca="1">SUM(Y27:Y29)</f>
        <v>18625.625822765884</v>
      </c>
      <c r="Z31" s="544">
        <f ca="1">SUM(Z27:Z29)</f>
        <v>20196.625799248042</v>
      </c>
    </row>
    <row r="32" spans="2:17" ht="13.5" thickBot="1">
      <c r="B32" s="42"/>
      <c r="C32" s="509"/>
      <c r="D32" s="510"/>
      <c r="E32" s="510"/>
      <c r="F32" s="510"/>
      <c r="G32" s="510"/>
      <c r="H32" s="510"/>
      <c r="I32" s="511"/>
      <c r="J32" s="510"/>
      <c r="K32" s="511"/>
      <c r="L32" s="511"/>
      <c r="M32" s="511"/>
      <c r="N32" s="511"/>
      <c r="O32" s="510"/>
      <c r="P32" s="511"/>
      <c r="Q32" s="512"/>
    </row>
    <row r="33" spans="16:26" ht="13.5" thickBot="1">
      <c r="P33" s="4"/>
      <c r="Q33" s="16"/>
      <c r="T33" s="532" t="s">
        <v>5</v>
      </c>
      <c r="U33" s="533"/>
      <c r="V33" s="536">
        <v>2010</v>
      </c>
      <c r="W33" s="536">
        <v>2011</v>
      </c>
      <c r="X33" s="536">
        <v>2012</v>
      </c>
      <c r="Y33" s="536">
        <v>2013</v>
      </c>
      <c r="Z33" s="537">
        <v>2014</v>
      </c>
    </row>
    <row r="34" spans="2:26" ht="12.75">
      <c r="B34" s="38"/>
      <c r="C34" s="497"/>
      <c r="D34" s="498"/>
      <c r="E34" s="498"/>
      <c r="F34" s="498"/>
      <c r="G34" s="498"/>
      <c r="H34" s="498"/>
      <c r="I34" s="498"/>
      <c r="J34" s="498"/>
      <c r="K34" s="499"/>
      <c r="L34" s="498"/>
      <c r="M34" s="498"/>
      <c r="N34" s="498"/>
      <c r="O34" s="498"/>
      <c r="P34" s="498"/>
      <c r="Q34" s="500"/>
      <c r="T34" s="519" t="s">
        <v>56</v>
      </c>
      <c r="U34" s="520" t="s">
        <v>341</v>
      </c>
      <c r="V34" s="557">
        <f aca="true" t="shared" si="9" ref="V34:Z35">V11/V$13</f>
        <v>0.09914200978092964</v>
      </c>
      <c r="W34" s="557">
        <f ca="1" t="shared" si="9"/>
        <v>0.13985554829483524</v>
      </c>
      <c r="X34" s="557">
        <f ca="1" t="shared" si="9"/>
        <v>0.15630333914898786</v>
      </c>
      <c r="Y34" s="557">
        <f ca="1" t="shared" si="9"/>
        <v>0.15365644128227254</v>
      </c>
      <c r="Z34" s="558">
        <f ca="1" t="shared" si="9"/>
        <v>0.14853514937942716</v>
      </c>
    </row>
    <row r="35" spans="2:26" ht="13.5" thickBot="1">
      <c r="B35" s="39"/>
      <c r="C35" s="501" t="s">
        <v>49</v>
      </c>
      <c r="D35" s="502"/>
      <c r="E35" s="502"/>
      <c r="F35" s="502"/>
      <c r="G35" s="502"/>
      <c r="H35" s="502"/>
      <c r="I35" s="502"/>
      <c r="J35" s="502"/>
      <c r="K35" s="502"/>
      <c r="L35" s="503" t="s">
        <v>221</v>
      </c>
      <c r="M35" s="503" t="s">
        <v>223</v>
      </c>
      <c r="N35" s="503" t="s">
        <v>222</v>
      </c>
      <c r="O35" s="503" t="s">
        <v>428</v>
      </c>
      <c r="P35" s="503" t="s">
        <v>66</v>
      </c>
      <c r="Q35" s="504"/>
      <c r="T35" s="534" t="s">
        <v>56</v>
      </c>
      <c r="U35" s="535" t="s">
        <v>342</v>
      </c>
      <c r="V35" s="559">
        <f ca="1" t="shared" si="9"/>
        <v>0.9008579902190704</v>
      </c>
      <c r="W35" s="559">
        <f ca="1" t="shared" si="9"/>
        <v>0.8601444517051648</v>
      </c>
      <c r="X35" s="559">
        <f ca="1" t="shared" si="9"/>
        <v>0.843696660851012</v>
      </c>
      <c r="Y35" s="559">
        <f ca="1" t="shared" si="9"/>
        <v>0.8463435587177275</v>
      </c>
      <c r="Z35" s="560">
        <f ca="1" t="shared" si="9"/>
        <v>0.8514648506205729</v>
      </c>
    </row>
    <row r="36" spans="2:17" ht="88.5" customHeight="1" thickBot="1">
      <c r="B36" s="40"/>
      <c r="C36" s="505"/>
      <c r="D36" s="506" t="s">
        <v>441</v>
      </c>
      <c r="E36" s="506" t="s">
        <v>439</v>
      </c>
      <c r="F36" s="506" t="s">
        <v>443</v>
      </c>
      <c r="G36" s="506" t="s">
        <v>444</v>
      </c>
      <c r="H36" s="506" t="s">
        <v>445</v>
      </c>
      <c r="I36" s="506" t="s">
        <v>210</v>
      </c>
      <c r="J36" s="506" t="s">
        <v>430</v>
      </c>
      <c r="K36" s="506" t="s">
        <v>211</v>
      </c>
      <c r="L36" s="506" t="s">
        <v>212</v>
      </c>
      <c r="M36" s="506" t="s">
        <v>213</v>
      </c>
      <c r="N36" s="506" t="s">
        <v>215</v>
      </c>
      <c r="O36" s="506" t="s">
        <v>451</v>
      </c>
      <c r="P36" s="506" t="s">
        <v>214</v>
      </c>
      <c r="Q36" s="507"/>
    </row>
    <row r="37" spans="2:26" ht="12.75">
      <c r="B37" s="41"/>
      <c r="C37" s="508">
        <v>1993</v>
      </c>
      <c r="D37" s="352">
        <f aca="true" t="shared" si="10" ref="D37:D59">SUM(J37,I37)</f>
        <v>20756.048504</v>
      </c>
      <c r="E37" s="352">
        <f aca="true" t="shared" si="11" ref="E37:E59">J37+L37</f>
        <v>20552.26949124515</v>
      </c>
      <c r="F37" s="513">
        <f aca="true" t="shared" si="12" ref="F37:F59">J37/D37</f>
        <v>0.693687183526749</v>
      </c>
      <c r="G37" s="513">
        <f aca="true" t="shared" si="13" ref="G37:G59">K37/D37</f>
        <v>0.009817813478108619</v>
      </c>
      <c r="H37" s="513">
        <f aca="true" t="shared" si="14" ref="H37:H59">L37/D37</f>
        <v>0.29649500299514236</v>
      </c>
      <c r="I37" s="352">
        <f ca="1">-'FAF - Electric'!AR59</f>
        <v>6357.843676115648</v>
      </c>
      <c r="J37" s="352">
        <f ca="1">'FAF - Electric'!AS59</f>
        <v>14398.20482788435</v>
      </c>
      <c r="K37" s="347">
        <f ca="1">'2011 Saturation Data'!$I$19*'FAF - Gas'!AR59</f>
        <v>203.7790127548474</v>
      </c>
      <c r="L37" s="347">
        <f aca="true" t="shared" si="15" ref="L37:L59">I37-K37</f>
        <v>6154.0646633608</v>
      </c>
      <c r="M37" s="347">
        <f ca="1">'Air Source Heat Pump'!AP59+'Air Source Heat Pump'!AR59-'Conversions and Upgrades'!L37</f>
        <v>-2983.7415394877635</v>
      </c>
      <c r="N37" s="347">
        <f ca="1">'Air Source Heat Pump'!AU59</f>
        <v>175.38169798591355</v>
      </c>
      <c r="O37" s="347">
        <f aca="true" t="shared" si="16" ref="O37:O59">SUM(M37:N37)</f>
        <v>-2808.35984150185</v>
      </c>
      <c r="P37" s="347">
        <f ca="1">SUM(L37:N37)</f>
        <v>3345.7048218589503</v>
      </c>
      <c r="Q37" s="504"/>
      <c r="T37" s="532" t="s">
        <v>6</v>
      </c>
      <c r="U37" s="538"/>
      <c r="V37" s="536">
        <v>2010</v>
      </c>
      <c r="W37" s="536">
        <v>2011</v>
      </c>
      <c r="X37" s="536">
        <v>2012</v>
      </c>
      <c r="Y37" s="536">
        <v>2013</v>
      </c>
      <c r="Z37" s="537">
        <v>2014</v>
      </c>
    </row>
    <row r="38" spans="2:26" ht="12.75">
      <c r="B38" s="41"/>
      <c r="C38" s="508">
        <v>1994</v>
      </c>
      <c r="D38" s="352">
        <f ca="1" t="shared" si="10"/>
        <v>23137.648504</v>
      </c>
      <c r="E38" s="352">
        <f ca="1" t="shared" si="11"/>
        <v>22911.758936745</v>
      </c>
      <c r="F38" s="513">
        <f ca="1" t="shared" si="12"/>
        <v>0.6889174591505253</v>
      </c>
      <c r="G38" s="513">
        <f ca="1" t="shared" si="13"/>
        <v>0.009762857587535364</v>
      </c>
      <c r="H38" s="513">
        <f ca="1" t="shared" si="14"/>
        <v>0.30131968326193936</v>
      </c>
      <c r="I38" s="352">
        <f ca="1">-'FAF - Electric'!AR60</f>
        <v>7197.718485906367</v>
      </c>
      <c r="J38" s="352">
        <f ca="1">'FAF - Electric'!AS60</f>
        <v>15939.930018093633</v>
      </c>
      <c r="K38" s="347">
        <f ca="1">'2011 Saturation Data'!$I$19*'FAF - Gas'!AR60</f>
        <v>225.88956725500267</v>
      </c>
      <c r="L38" s="347">
        <f ca="1" t="shared" si="15"/>
        <v>6971.828918651365</v>
      </c>
      <c r="M38" s="347">
        <f ca="1">'Air Source Heat Pump'!AP60+'Air Source Heat Pump'!AR60-'Conversions and Upgrades'!L38</f>
        <v>-3380.1312690351406</v>
      </c>
      <c r="N38" s="347">
        <f ca="1">'Air Source Heat Pump'!AU60</f>
        <v>175.38169798591355</v>
      </c>
      <c r="O38" s="347">
        <f ca="1" t="shared" si="16"/>
        <v>-3204.749571049227</v>
      </c>
      <c r="P38" s="347">
        <f aca="true" t="shared" si="17" ref="P38:P50">SUM(L38:N38)</f>
        <v>3767.0793476021377</v>
      </c>
      <c r="Q38" s="504"/>
      <c r="T38" s="519" t="s">
        <v>56</v>
      </c>
      <c r="U38" s="539" t="s">
        <v>341</v>
      </c>
      <c r="V38" s="557">
        <f aca="true" t="shared" si="18" ref="V38:Z39">V23/V$25</f>
        <v>0.5273841280032797</v>
      </c>
      <c r="W38" s="557">
        <f ca="1" t="shared" si="18"/>
        <v>0.5038280985485789</v>
      </c>
      <c r="X38" s="557">
        <f ca="1" t="shared" si="18"/>
        <v>0.47670778785351164</v>
      </c>
      <c r="Y38" s="557">
        <f ca="1" t="shared" si="18"/>
        <v>0.44339612911620735</v>
      </c>
      <c r="Z38" s="558">
        <f ca="1" t="shared" si="18"/>
        <v>0.41664042717525257</v>
      </c>
    </row>
    <row r="39" spans="2:26" ht="13.5" thickBot="1">
      <c r="B39" s="41"/>
      <c r="C39" s="508">
        <v>1995</v>
      </c>
      <c r="D39" s="352">
        <f ca="1" t="shared" si="10"/>
        <v>22440.848504</v>
      </c>
      <c r="E39" s="352">
        <f ca="1" t="shared" si="11"/>
        <v>22192.03415327317</v>
      </c>
      <c r="F39" s="513">
        <f ca="1" t="shared" si="12"/>
        <v>0.6910184764467613</v>
      </c>
      <c r="G39" s="513">
        <f ca="1" t="shared" si="13"/>
        <v>0.0110875642996513</v>
      </c>
      <c r="H39" s="513">
        <f ca="1" t="shared" si="14"/>
        <v>0.2978939592535874</v>
      </c>
      <c r="I39" s="352">
        <f ca="1">-'FAF - Electric'!AR61</f>
        <v>6933.807560593339</v>
      </c>
      <c r="J39" s="352">
        <f ca="1">'FAF - Electric'!AS61</f>
        <v>15507.040943406662</v>
      </c>
      <c r="K39" s="347">
        <f ca="1">'2011 Saturation Data'!$I$19*'FAF - Gas'!AR61</f>
        <v>248.8143507268337</v>
      </c>
      <c r="L39" s="347">
        <f ca="1" t="shared" si="15"/>
        <v>6684.993209866505</v>
      </c>
      <c r="M39" s="347">
        <f ca="1">'Air Source Heat Pump'!AP61+'Air Source Heat Pump'!AR61-'Conversions and Upgrades'!L39</f>
        <v>-2983.728587306785</v>
      </c>
      <c r="N39" s="347">
        <f ca="1">'Air Source Heat Pump'!AU61</f>
        <v>175.38169798591355</v>
      </c>
      <c r="O39" s="347">
        <f ca="1" t="shared" si="16"/>
        <v>-2808.3468893208715</v>
      </c>
      <c r="P39" s="347">
        <f ca="1" t="shared" si="17"/>
        <v>3876.6463205456334</v>
      </c>
      <c r="Q39" s="504"/>
      <c r="T39" s="534" t="s">
        <v>56</v>
      </c>
      <c r="U39" s="540" t="s">
        <v>342</v>
      </c>
      <c r="V39" s="559">
        <f ca="1" t="shared" si="18"/>
        <v>0.47261587199672034</v>
      </c>
      <c r="W39" s="559">
        <f ca="1" t="shared" si="18"/>
        <v>0.4961719014514212</v>
      </c>
      <c r="X39" s="559">
        <f ca="1" t="shared" si="18"/>
        <v>0.5232922121464884</v>
      </c>
      <c r="Y39" s="559">
        <f ca="1" t="shared" si="18"/>
        <v>0.5566038708837927</v>
      </c>
      <c r="Z39" s="560">
        <f ca="1" t="shared" si="18"/>
        <v>0.5833595728247475</v>
      </c>
    </row>
    <row r="40" spans="2:22" ht="12.75">
      <c r="B40" s="41"/>
      <c r="C40" s="508">
        <v>1996</v>
      </c>
      <c r="D40" s="352">
        <f ca="1" t="shared" si="10"/>
        <v>20428.048504</v>
      </c>
      <c r="E40" s="352">
        <f ca="1" t="shared" si="11"/>
        <v>20161.24934237826</v>
      </c>
      <c r="F40" s="513">
        <f ca="1" t="shared" si="12"/>
        <v>0.6965878000097896</v>
      </c>
      <c r="G40" s="513">
        <f ca="1" t="shared" si="13"/>
        <v>0.013060433137776025</v>
      </c>
      <c r="H40" s="513">
        <f ca="1" t="shared" si="14"/>
        <v>0.2903517668524343</v>
      </c>
      <c r="I40" s="352">
        <f ca="1">-'FAF - Electric'!AR62</f>
        <v>6198.119138105365</v>
      </c>
      <c r="J40" s="352">
        <f ca="1">'FAF - Electric'!AS62</f>
        <v>14229.929365894634</v>
      </c>
      <c r="K40" s="347">
        <f ca="1">'2011 Saturation Data'!$I$19*'FAF - Gas'!AR62</f>
        <v>266.79916162173754</v>
      </c>
      <c r="L40" s="347">
        <f ca="1" t="shared" si="15"/>
        <v>5931.319976483627</v>
      </c>
      <c r="M40" s="347">
        <f ca="1">'Air Source Heat Pump'!AP62+'Air Source Heat Pump'!AR62-'Conversions and Upgrades'!L40</f>
        <v>-2295.90662505192</v>
      </c>
      <c r="N40" s="347">
        <f ca="1">'Air Source Heat Pump'!AU62</f>
        <v>175.38169798591355</v>
      </c>
      <c r="O40" s="347">
        <f ca="1" t="shared" si="16"/>
        <v>-2120.5249270660065</v>
      </c>
      <c r="P40" s="347">
        <f ca="1" t="shared" si="17"/>
        <v>3810.7950494176207</v>
      </c>
      <c r="Q40" s="504"/>
      <c r="T40" s="43"/>
      <c r="U40" s="43"/>
      <c r="V40" s="43"/>
    </row>
    <row r="41" spans="2:22" ht="12.75">
      <c r="B41" s="41"/>
      <c r="C41" s="508">
        <v>1997</v>
      </c>
      <c r="D41" s="352">
        <f ca="1" t="shared" si="10"/>
        <v>20568.848504</v>
      </c>
      <c r="E41" s="352">
        <f ca="1" t="shared" si="11"/>
        <v>20281.862854283514</v>
      </c>
      <c r="F41" s="513">
        <f ca="1" t="shared" si="12"/>
        <v>0.6968777228111559</v>
      </c>
      <c r="G41" s="513">
        <f ca="1" t="shared" si="13"/>
        <v>0.013952441220065271</v>
      </c>
      <c r="H41" s="513">
        <f ca="1" t="shared" si="14"/>
        <v>0.2891698359687789</v>
      </c>
      <c r="I41" s="352">
        <f ca="1">-'FAF - Electric'!AR63</f>
        <v>6234.876197684831</v>
      </c>
      <c r="J41" s="352">
        <f ca="1">'FAF - Electric'!AS63</f>
        <v>14333.97230631517</v>
      </c>
      <c r="K41" s="347">
        <f ca="1">'2011 Saturation Data'!$I$19*'FAF - Gas'!AR63</f>
        <v>286.9856497164875</v>
      </c>
      <c r="L41" s="347">
        <f ca="1" t="shared" si="15"/>
        <v>5947.8905479683435</v>
      </c>
      <c r="M41" s="347">
        <f ca="1">'Air Source Heat Pump'!AP63+'Air Source Heat Pump'!AR63-'Conversions and Upgrades'!L41</f>
        <v>-2138.096245795188</v>
      </c>
      <c r="N41" s="347">
        <f ca="1">'Air Source Heat Pump'!AU63</f>
        <v>175.38169798591355</v>
      </c>
      <c r="O41" s="347">
        <f ca="1" t="shared" si="16"/>
        <v>-1962.7145478092748</v>
      </c>
      <c r="P41" s="347">
        <f ca="1" t="shared" si="17"/>
        <v>3985.1760001590687</v>
      </c>
      <c r="Q41" s="504"/>
      <c r="T41" s="43"/>
      <c r="U41" s="43"/>
      <c r="V41" s="43"/>
    </row>
    <row r="42" spans="2:22" ht="12.75">
      <c r="B42" s="41"/>
      <c r="C42" s="508">
        <v>1998</v>
      </c>
      <c r="D42" s="352">
        <f ca="1" t="shared" si="10"/>
        <v>21124.848504</v>
      </c>
      <c r="E42" s="352">
        <f ca="1" t="shared" si="11"/>
        <v>20815.566589112033</v>
      </c>
      <c r="F42" s="513">
        <f ca="1" t="shared" si="12"/>
        <v>0.696060595441093</v>
      </c>
      <c r="G42" s="513">
        <f ca="1" t="shared" si="13"/>
        <v>0.01464066901258043</v>
      </c>
      <c r="H42" s="513">
        <f ca="1" t="shared" si="14"/>
        <v>0.28929873554632657</v>
      </c>
      <c r="I42" s="352">
        <f ca="1">-'FAF - Electric'!AR64</f>
        <v>6420.673875702878</v>
      </c>
      <c r="J42" s="352">
        <f ca="1">'FAF - Electric'!AS64</f>
        <v>14704.174628297123</v>
      </c>
      <c r="K42" s="347">
        <f ca="1">'2011 Saturation Data'!$I$19*'FAF - Gas'!AR64</f>
        <v>309.28191488796887</v>
      </c>
      <c r="L42" s="347">
        <f ca="1" t="shared" si="15"/>
        <v>6111.391960814909</v>
      </c>
      <c r="M42" s="347">
        <f ca="1">'Air Source Heat Pump'!AP64+'Air Source Heat Pump'!AR64-'Conversions and Upgrades'!L42</f>
        <v>-2067.466578981025</v>
      </c>
      <c r="N42" s="347">
        <f ca="1">'Air Source Heat Pump'!AU64</f>
        <v>175.38169798591355</v>
      </c>
      <c r="O42" s="347">
        <f ca="1" t="shared" si="16"/>
        <v>-1892.0848809951117</v>
      </c>
      <c r="P42" s="347">
        <f ca="1" t="shared" si="17"/>
        <v>4219.307079819798</v>
      </c>
      <c r="Q42" s="504"/>
      <c r="T42" s="43"/>
      <c r="U42" s="43"/>
      <c r="V42" s="43"/>
    </row>
    <row r="43" spans="2:22" ht="12.75">
      <c r="B43" s="41"/>
      <c r="C43" s="508">
        <v>1999</v>
      </c>
      <c r="D43" s="352">
        <f ca="1" t="shared" si="10"/>
        <v>18424.048504</v>
      </c>
      <c r="E43" s="352">
        <f ca="1" t="shared" si="11"/>
        <v>18107.180085448374</v>
      </c>
      <c r="F43" s="513">
        <f ca="1" t="shared" si="12"/>
        <v>0.7048040846019552</v>
      </c>
      <c r="G43" s="513">
        <f ca="1" t="shared" si="13"/>
        <v>0.01719863136936659</v>
      </c>
      <c r="H43" s="513">
        <f ca="1" t="shared" si="14"/>
        <v>0.27799728402867824</v>
      </c>
      <c r="I43" s="352">
        <f ca="1">-'FAF - Electric'!AR65</f>
        <v>5438.7038634762575</v>
      </c>
      <c r="J43" s="352">
        <f ca="1">'FAF - Electric'!AS65</f>
        <v>12985.344640523741</v>
      </c>
      <c r="K43" s="347">
        <f ca="1">'2011 Saturation Data'!$I$19*'FAF - Gas'!AR65</f>
        <v>316.86841855162595</v>
      </c>
      <c r="L43" s="347">
        <f ca="1" t="shared" si="15"/>
        <v>5121.835444924632</v>
      </c>
      <c r="M43" s="347">
        <f ca="1">'Air Source Heat Pump'!AP65+'Air Source Heat Pump'!AR65-'Conversions and Upgrades'!L43</f>
        <v>-1297.7084687434099</v>
      </c>
      <c r="N43" s="347">
        <f ca="1">'Air Source Heat Pump'!AU65</f>
        <v>175.38169798591355</v>
      </c>
      <c r="O43" s="347">
        <f ca="1" t="shared" si="16"/>
        <v>-1122.3267707574964</v>
      </c>
      <c r="P43" s="347">
        <f ca="1" t="shared" si="17"/>
        <v>3999.5086741671353</v>
      </c>
      <c r="Q43" s="504"/>
      <c r="T43" s="43"/>
      <c r="U43" s="43"/>
      <c r="V43" s="43"/>
    </row>
    <row r="44" spans="2:17" ht="12.75">
      <c r="B44" s="41"/>
      <c r="C44" s="508">
        <v>2000</v>
      </c>
      <c r="D44" s="352">
        <f ca="1" t="shared" si="10"/>
        <v>14379.248504</v>
      </c>
      <c r="E44" s="352">
        <f ca="1" t="shared" si="11"/>
        <v>14069.175761178198</v>
      </c>
      <c r="F44" s="513">
        <f ca="1" t="shared" si="12"/>
        <v>0.7235662883230459</v>
      </c>
      <c r="G44" s="513">
        <f ca="1" t="shared" si="13"/>
        <v>0.021563904590392664</v>
      </c>
      <c r="H44" s="513">
        <f ca="1" t="shared" si="14"/>
        <v>0.2548698070865615</v>
      </c>
      <c r="I44" s="352">
        <f ca="1">-'FAF - Electric'!AR66</f>
        <v>3974.9090350860097</v>
      </c>
      <c r="J44" s="352">
        <f ca="1">'FAF - Electric'!AS66</f>
        <v>10404.33946891399</v>
      </c>
      <c r="K44" s="347">
        <f ca="1">'2011 Saturation Data'!$I$19*'FAF - Gas'!AR66</f>
        <v>310.0727428218024</v>
      </c>
      <c r="L44" s="347">
        <f ca="1" t="shared" si="15"/>
        <v>3664.8362922642073</v>
      </c>
      <c r="M44" s="347">
        <f ca="1">'Air Source Heat Pump'!AP66+'Air Source Heat Pump'!AR66-'Conversions and Upgrades'!L44</f>
        <v>-314.04484662318555</v>
      </c>
      <c r="N44" s="347">
        <f ca="1">'Air Source Heat Pump'!AU66</f>
        <v>175.38169798591355</v>
      </c>
      <c r="O44" s="347">
        <f ca="1" t="shared" si="16"/>
        <v>-138.663148637272</v>
      </c>
      <c r="P44" s="347">
        <f ca="1" t="shared" si="17"/>
        <v>3526.173143626935</v>
      </c>
      <c r="Q44" s="504"/>
    </row>
    <row r="45" spans="2:17" ht="12.75">
      <c r="B45" s="41"/>
      <c r="C45" s="508">
        <v>2001</v>
      </c>
      <c r="D45" s="352">
        <f ca="1" t="shared" si="10"/>
        <v>12554.448504</v>
      </c>
      <c r="E45" s="352">
        <f ca="1" t="shared" si="11"/>
        <v>12246.462317547843</v>
      </c>
      <c r="F45" s="513">
        <f ca="1" t="shared" si="12"/>
        <v>0.7365583216064797</v>
      </c>
      <c r="G45" s="513">
        <f ca="1" t="shared" si="13"/>
        <v>0.024532036302034935</v>
      </c>
      <c r="H45" s="513">
        <f ca="1" t="shared" si="14"/>
        <v>0.2389096420914852</v>
      </c>
      <c r="I45" s="352">
        <f ca="1">-'FAF - Electric'!AR67</f>
        <v>3307.3649851987784</v>
      </c>
      <c r="J45" s="352">
        <f ca="1">'FAF - Electric'!AS67</f>
        <v>9247.08351880122</v>
      </c>
      <c r="K45" s="347">
        <f ca="1">'2011 Saturation Data'!$I$19*'FAF - Gas'!AR67</f>
        <v>307.9861864521562</v>
      </c>
      <c r="L45" s="347">
        <f ca="1" t="shared" si="15"/>
        <v>2999.378798746622</v>
      </c>
      <c r="M45" s="347">
        <f ca="1">'Air Source Heat Pump'!AP67+'Air Source Heat Pump'!AR67-'Conversions and Upgrades'!L45</f>
        <v>145.15065820744167</v>
      </c>
      <c r="N45" s="347">
        <f ca="1">'Air Source Heat Pump'!AU67</f>
        <v>175.38169798591355</v>
      </c>
      <c r="O45" s="347">
        <f ca="1" t="shared" si="16"/>
        <v>320.5323561933552</v>
      </c>
      <c r="P45" s="347">
        <f ca="1" t="shared" si="17"/>
        <v>3319.911154939977</v>
      </c>
      <c r="Q45" s="504"/>
    </row>
    <row r="46" spans="2:17" ht="12.75">
      <c r="B46" s="41"/>
      <c r="C46" s="508">
        <v>2002</v>
      </c>
      <c r="D46" s="352">
        <f ca="1" t="shared" si="10"/>
        <v>16752.989774985017</v>
      </c>
      <c r="E46" s="352">
        <f ca="1" t="shared" si="11"/>
        <v>16436.933542392297</v>
      </c>
      <c r="F46" s="513">
        <f ca="1" t="shared" si="12"/>
        <v>0.8002580481553411</v>
      </c>
      <c r="G46" s="513">
        <f ca="1" t="shared" si="13"/>
        <v>0.018865661403592717</v>
      </c>
      <c r="H46" s="513">
        <f ca="1" t="shared" si="14"/>
        <v>0.18087629044106623</v>
      </c>
      <c r="I46" s="352">
        <f ca="1">-'FAF - Electric'!AR68</f>
        <v>3346.2748768891215</v>
      </c>
      <c r="J46" s="352">
        <f ca="1">'FAF - Electric'!AS68</f>
        <v>13406.714898095895</v>
      </c>
      <c r="K46" s="347">
        <f ca="1">'2011 Saturation Data'!$I$19*'FAF - Gas'!AR68</f>
        <v>316.0562325927183</v>
      </c>
      <c r="L46" s="347">
        <f ca="1" t="shared" si="15"/>
        <v>3030.218644296403</v>
      </c>
      <c r="M46" s="347">
        <f ca="1">'Air Source Heat Pump'!AP68+'Air Source Heat Pump'!AR68-'Conversions and Upgrades'!L46</f>
        <v>192.62946670272322</v>
      </c>
      <c r="N46" s="347">
        <f ca="1">'Air Source Heat Pump'!AU68</f>
        <v>175.38169798591355</v>
      </c>
      <c r="O46" s="347">
        <f ca="1" t="shared" si="16"/>
        <v>368.01116468863677</v>
      </c>
      <c r="P46" s="347">
        <f ca="1" t="shared" si="17"/>
        <v>3398.2298089850397</v>
      </c>
      <c r="Q46" s="504"/>
    </row>
    <row r="47" spans="2:17" ht="12.75">
      <c r="B47" s="41"/>
      <c r="C47" s="508">
        <v>2003</v>
      </c>
      <c r="D47" s="352">
        <f ca="1" t="shared" si="10"/>
        <v>15244.08394115857</v>
      </c>
      <c r="E47" s="352">
        <f ca="1" t="shared" si="11"/>
        <v>14924.50216044053</v>
      </c>
      <c r="F47" s="513">
        <f ca="1" t="shared" si="12"/>
        <v>0.7920400210533437</v>
      </c>
      <c r="G47" s="513">
        <f ca="1" t="shared" si="13"/>
        <v>0.02096431520264572</v>
      </c>
      <c r="H47" s="513">
        <f ca="1" t="shared" si="14"/>
        <v>0.1869956637440106</v>
      </c>
      <c r="I47" s="352">
        <f ca="1">-'FAF - Electric'!AR69</f>
        <v>3170.159375464398</v>
      </c>
      <c r="J47" s="352">
        <f ca="1">'FAF - Electric'!AS69</f>
        <v>12073.924565694171</v>
      </c>
      <c r="K47" s="347">
        <f ca="1">'2011 Saturation Data'!$I$19*'FAF - Gas'!AR69</f>
        <v>319.5817807180381</v>
      </c>
      <c r="L47" s="347">
        <f ca="1" t="shared" si="15"/>
        <v>2850.57759474636</v>
      </c>
      <c r="M47" s="347">
        <f ca="1">'Air Source Heat Pump'!AP69+'Air Source Heat Pump'!AR69-'Conversions and Upgrades'!L47</f>
        <v>352.3548667933237</v>
      </c>
      <c r="N47" s="347">
        <f ca="1">'Air Source Heat Pump'!AU69</f>
        <v>175.38169798591355</v>
      </c>
      <c r="O47" s="347">
        <f ca="1" t="shared" si="16"/>
        <v>527.7365647792373</v>
      </c>
      <c r="P47" s="347">
        <f ca="1" t="shared" si="17"/>
        <v>3378.314159525597</v>
      </c>
      <c r="Q47" s="504"/>
    </row>
    <row r="48" spans="2:17" ht="12.75">
      <c r="B48" s="41"/>
      <c r="C48" s="508">
        <v>2004</v>
      </c>
      <c r="D48" s="352">
        <f ca="1" t="shared" si="10"/>
        <v>16793.25892696845</v>
      </c>
      <c r="E48" s="352">
        <f ca="1" t="shared" si="11"/>
        <v>16468.816343441238</v>
      </c>
      <c r="F48" s="513">
        <f ca="1" t="shared" si="12"/>
        <v>0.8160145957536935</v>
      </c>
      <c r="G48" s="513">
        <f ca="1" t="shared" si="13"/>
        <v>0.019319810701315727</v>
      </c>
      <c r="H48" s="513">
        <f ca="1" t="shared" si="14"/>
        <v>0.16466559354499077</v>
      </c>
      <c r="I48" s="352">
        <f ca="1">-'FAF - Electric'!AR70</f>
        <v>3089.7145322911856</v>
      </c>
      <c r="J48" s="352">
        <f ca="1">'FAF - Electric'!AS70</f>
        <v>13703.544394677265</v>
      </c>
      <c r="K48" s="347">
        <f ca="1">'2011 Saturation Data'!$I$19*'FAF - Gas'!AR70</f>
        <v>324.44258352721096</v>
      </c>
      <c r="L48" s="347">
        <f ca="1" t="shared" si="15"/>
        <v>2765.2719487639747</v>
      </c>
      <c r="M48" s="347">
        <f ca="1">'Air Source Heat Pump'!AP70+'Air Source Heat Pump'!AR70-'Conversions and Upgrades'!L48</f>
        <v>455.9380806424547</v>
      </c>
      <c r="N48" s="347">
        <f ca="1">'Air Source Heat Pump'!AU70</f>
        <v>1776.4809039128415</v>
      </c>
      <c r="O48" s="347">
        <f ca="1" t="shared" si="16"/>
        <v>2232.4189845552964</v>
      </c>
      <c r="P48" s="347">
        <f ca="1" t="shared" si="17"/>
        <v>4997.690933319271</v>
      </c>
      <c r="Q48" s="504"/>
    </row>
    <row r="49" spans="2:17" ht="12.75">
      <c r="B49" s="41"/>
      <c r="C49" s="508">
        <v>2005</v>
      </c>
      <c r="D49" s="352">
        <f ca="1" t="shared" si="10"/>
        <v>16693.54140943206</v>
      </c>
      <c r="E49" s="352">
        <f ca="1" t="shared" si="11"/>
        <v>16362.809870056613</v>
      </c>
      <c r="F49" s="513">
        <f ca="1" t="shared" si="12"/>
        <v>0.8157049431772764</v>
      </c>
      <c r="G49" s="513">
        <f ca="1" t="shared" si="13"/>
        <v>0.019811945905533153</v>
      </c>
      <c r="H49" s="513">
        <f ca="1" t="shared" si="14"/>
        <v>0.16448311091719042</v>
      </c>
      <c r="I49" s="352">
        <f ca="1">-'FAF - Electric'!AR71</f>
        <v>3076.53716262377</v>
      </c>
      <c r="J49" s="352">
        <f ca="1">'FAF - Electric'!AS71</f>
        <v>13617.004246808288</v>
      </c>
      <c r="K49" s="347">
        <f ca="1">'2011 Saturation Data'!$I$19*'FAF - Gas'!AR71</f>
        <v>330.7315393754456</v>
      </c>
      <c r="L49" s="347">
        <f ca="1" t="shared" si="15"/>
        <v>2745.8056232483245</v>
      </c>
      <c r="M49" s="347">
        <f ca="1">'Air Source Heat Pump'!AP71+'Air Source Heat Pump'!AR71-'Conversions and Upgrades'!L49</f>
        <v>524.4259308621954</v>
      </c>
      <c r="N49" s="347">
        <f ca="1">'Air Source Heat Pump'!AU71</f>
        <v>1807.7169471184593</v>
      </c>
      <c r="O49" s="347">
        <f ca="1" t="shared" si="16"/>
        <v>2332.1428779806547</v>
      </c>
      <c r="P49" s="347">
        <f ca="1" t="shared" si="17"/>
        <v>5077.948501228979</v>
      </c>
      <c r="Q49" s="504"/>
    </row>
    <row r="50" spans="2:17" ht="12.75">
      <c r="B50" s="41"/>
      <c r="C50" s="508">
        <v>2006</v>
      </c>
      <c r="D50" s="352">
        <f ca="1" t="shared" si="10"/>
        <v>15533.334983870562</v>
      </c>
      <c r="E50" s="352">
        <f ca="1" t="shared" si="11"/>
        <v>15198.949829930341</v>
      </c>
      <c r="F50" s="513">
        <f ca="1" t="shared" si="12"/>
        <v>0.808541690594949</v>
      </c>
      <c r="G50" s="513">
        <f ca="1" t="shared" si="13"/>
        <v>0.02152693895338238</v>
      </c>
      <c r="H50" s="513">
        <f ca="1" t="shared" si="14"/>
        <v>0.16993137045166865</v>
      </c>
      <c r="I50" s="352">
        <f ca="1">-'FAF - Electric'!AR72</f>
        <v>2973.986055434193</v>
      </c>
      <c r="J50" s="352">
        <f ca="1">'FAF - Electric'!AS72</f>
        <v>12559.348928436368</v>
      </c>
      <c r="K50" s="347">
        <f ca="1">'2011 Saturation Data'!$I$19*'FAF - Gas'!AR72</f>
        <v>334.38515394022045</v>
      </c>
      <c r="L50" s="347">
        <f ca="1" t="shared" si="15"/>
        <v>2639.6009014939727</v>
      </c>
      <c r="M50" s="347">
        <f ca="1">'Air Source Heat Pump'!AP72+'Air Source Heat Pump'!AR72-'Conversions and Upgrades'!L50</f>
        <v>632.8584476661827</v>
      </c>
      <c r="N50" s="347">
        <f ca="1">'Air Source Heat Pump'!AU72</f>
        <v>1971.9400035055828</v>
      </c>
      <c r="O50" s="347">
        <f ca="1" t="shared" si="16"/>
        <v>2604.7984511717655</v>
      </c>
      <c r="P50" s="347">
        <f ca="1" t="shared" si="17"/>
        <v>5244.399352665738</v>
      </c>
      <c r="Q50" s="504"/>
    </row>
    <row r="51" spans="2:17" ht="12.75">
      <c r="B51" s="41"/>
      <c r="C51" s="508">
        <v>2007</v>
      </c>
      <c r="D51" s="352">
        <f ca="1" t="shared" si="10"/>
        <v>16009.873224931129</v>
      </c>
      <c r="E51" s="352">
        <f ca="1" t="shared" si="11"/>
        <v>15653.910344192062</v>
      </c>
      <c r="F51" s="513">
        <f ca="1" t="shared" si="12"/>
        <v>0.7847078154963109</v>
      </c>
      <c r="G51" s="513">
        <f ca="1" t="shared" si="13"/>
        <v>0.02223395999068568</v>
      </c>
      <c r="H51" s="513">
        <f ca="1" t="shared" si="14"/>
        <v>0.19305822451300353</v>
      </c>
      <c r="I51" s="352">
        <f ca="1">-'FAF - Electric'!AR73</f>
        <v>3446.800580222546</v>
      </c>
      <c r="J51" s="352">
        <f ca="1">'FAF - Electric'!AS73</f>
        <v>12563.072644708584</v>
      </c>
      <c r="K51" s="347">
        <f ca="1">'2011 Saturation Data'!$I$19*'FAF - Gas'!AR73</f>
        <v>355.9628807390686</v>
      </c>
      <c r="L51" s="347">
        <f ca="1" t="shared" si="15"/>
        <v>3090.8376994834775</v>
      </c>
      <c r="M51" s="347">
        <f ca="1">'Air Source Heat Pump'!AP73+'Air Source Heat Pump'!AR73-'Conversions and Upgrades'!L51</f>
        <v>492.5155709210435</v>
      </c>
      <c r="N51" s="347">
        <f ca="1">'Air Source Heat Pump'!AU73</f>
        <v>2061.970311127562</v>
      </c>
      <c r="O51" s="347">
        <f ca="1" t="shared" si="16"/>
        <v>2554.4858820486056</v>
      </c>
      <c r="P51" s="347">
        <f aca="true" t="shared" si="19" ref="P51:P59">SUM(L51:N51)</f>
        <v>5645.323581532083</v>
      </c>
      <c r="Q51" s="504"/>
    </row>
    <row r="52" spans="2:17" ht="12.75">
      <c r="B52" s="41"/>
      <c r="C52" s="508">
        <v>2008</v>
      </c>
      <c r="D52" s="352">
        <f ca="1" t="shared" si="10"/>
        <v>16027.722724698891</v>
      </c>
      <c r="E52" s="352">
        <f ca="1" t="shared" si="11"/>
        <v>15660.63482968244</v>
      </c>
      <c r="F52" s="513">
        <f ca="1" t="shared" si="12"/>
        <v>0.7804855620261051</v>
      </c>
      <c r="G52" s="513">
        <f ca="1" t="shared" si="13"/>
        <v>0.022903309554436202</v>
      </c>
      <c r="H52" s="513">
        <f ca="1" t="shared" si="14"/>
        <v>0.1966111284194587</v>
      </c>
      <c r="I52" s="352">
        <f ca="1">-'FAF - Electric'!AR74</f>
        <v>3518.316545913701</v>
      </c>
      <c r="J52" s="352">
        <f ca="1">'FAF - Electric'!AS74</f>
        <v>12509.40617878519</v>
      </c>
      <c r="K52" s="347">
        <f ca="1">'2011 Saturation Data'!$I$19*'FAF - Gas'!AR74</f>
        <v>367.0878950164504</v>
      </c>
      <c r="L52" s="347">
        <f ca="1" t="shared" si="15"/>
        <v>3151.22865089725</v>
      </c>
      <c r="M52" s="347">
        <f ca="1">'Air Source Heat Pump'!AP74+'Air Source Heat Pump'!AR74-'Conversions and Upgrades'!L52</f>
        <v>544.0075028477113</v>
      </c>
      <c r="N52" s="347">
        <f ca="1">'Air Source Heat Pump'!AU74</f>
        <v>2084.406283977238</v>
      </c>
      <c r="O52" s="347">
        <f ca="1" t="shared" si="16"/>
        <v>2628.4137868249495</v>
      </c>
      <c r="P52" s="347">
        <f ca="1" t="shared" si="19"/>
        <v>5779.642437722199</v>
      </c>
      <c r="Q52" s="504"/>
    </row>
    <row r="53" spans="2:17" ht="12.75">
      <c r="B53" s="41"/>
      <c r="C53" s="508">
        <v>2009</v>
      </c>
      <c r="D53" s="352">
        <f ca="1" t="shared" si="10"/>
        <v>16728.431146562638</v>
      </c>
      <c r="E53" s="352">
        <f ca="1" t="shared" si="11"/>
        <v>16351.399584453102</v>
      </c>
      <c r="F53" s="513">
        <f ca="1" t="shared" si="12"/>
        <v>0.7883219642173644</v>
      </c>
      <c r="G53" s="513">
        <f ca="1" t="shared" si="13"/>
        <v>0.022538369486430124</v>
      </c>
      <c r="H53" s="513">
        <f ca="1" t="shared" si="14"/>
        <v>0.18913966629620532</v>
      </c>
      <c r="I53" s="352">
        <f ca="1">-'FAF - Electric'!AR75</f>
        <v>3541.0414468294393</v>
      </c>
      <c r="J53" s="352">
        <f ca="1">'FAF - Electric'!AS75</f>
        <v>13187.389699733198</v>
      </c>
      <c r="K53" s="347">
        <f ca="1">'2011 Saturation Data'!$I$19*'FAF - Gas'!AR75</f>
        <v>377.03156210953466</v>
      </c>
      <c r="L53" s="347">
        <f ca="1" t="shared" si="15"/>
        <v>3164.0098847199047</v>
      </c>
      <c r="M53" s="347">
        <f ca="1">'Air Source Heat Pump'!AP75+'Air Source Heat Pump'!AR75-'Conversions and Upgrades'!L53</f>
        <v>619.6013404186156</v>
      </c>
      <c r="N53" s="347">
        <f ca="1">'Air Source Heat Pump'!AU75</f>
        <v>2081.9090277886103</v>
      </c>
      <c r="O53" s="347">
        <f ca="1" t="shared" si="16"/>
        <v>2701.510368207226</v>
      </c>
      <c r="P53" s="347">
        <f ca="1" t="shared" si="19"/>
        <v>5865.52025292713</v>
      </c>
      <c r="Q53" s="504"/>
    </row>
    <row r="54" spans="2:17" ht="12.75">
      <c r="B54" s="41"/>
      <c r="C54" s="508">
        <v>2010</v>
      </c>
      <c r="D54" s="352">
        <f ca="1" t="shared" si="10"/>
        <v>17241.92587105622</v>
      </c>
      <c r="E54" s="352">
        <f ca="1" t="shared" si="11"/>
        <v>16855.64515681806</v>
      </c>
      <c r="F54" s="513">
        <f ca="1" t="shared" si="12"/>
        <v>0.7947471388122019</v>
      </c>
      <c r="G54" s="513">
        <f ca="1" t="shared" si="13"/>
        <v>0.022403571220927457</v>
      </c>
      <c r="H54" s="513">
        <f ca="1" t="shared" si="14"/>
        <v>0.1828492899668706</v>
      </c>
      <c r="I54" s="352">
        <f ca="1">-'FAF - Electric'!AR76</f>
        <v>3538.954617422207</v>
      </c>
      <c r="J54" s="352">
        <f ca="1">'FAF - Electric'!AS76</f>
        <v>13702.971253634014</v>
      </c>
      <c r="K54" s="347">
        <f ca="1">'2011 Saturation Data'!$I$19*'FAF - Gas'!AR76</f>
        <v>386.2807142381597</v>
      </c>
      <c r="L54" s="347">
        <f ca="1" t="shared" si="15"/>
        <v>3152.673903184047</v>
      </c>
      <c r="M54" s="347">
        <f ca="1">'Air Source Heat Pump'!AP76+'Air Source Heat Pump'!AR76-'Conversions and Upgrades'!L54</f>
        <v>706.597442794221</v>
      </c>
      <c r="N54" s="347">
        <f ca="1">'Air Source Heat Pump'!AU76</f>
        <v>2118.67477674699</v>
      </c>
      <c r="O54" s="347">
        <f ca="1" t="shared" si="16"/>
        <v>2825.272219541211</v>
      </c>
      <c r="P54" s="347">
        <f ca="1" t="shared" si="19"/>
        <v>5977.946122725258</v>
      </c>
      <c r="Q54" s="504"/>
    </row>
    <row r="55" spans="2:17" ht="12.75">
      <c r="B55" s="41"/>
      <c r="C55" s="508">
        <v>2011</v>
      </c>
      <c r="D55" s="352">
        <f ca="1" t="shared" si="10"/>
        <v>18133.078576945056</v>
      </c>
      <c r="E55" s="352">
        <f ca="1" t="shared" si="11"/>
        <v>17739.37139239105</v>
      </c>
      <c r="F55" s="513">
        <f ca="1" t="shared" si="12"/>
        <v>0.8075165611679078</v>
      </c>
      <c r="G55" s="513">
        <f ca="1" t="shared" si="13"/>
        <v>0.021712098300537618</v>
      </c>
      <c r="H55" s="513">
        <f ca="1" t="shared" si="14"/>
        <v>0.17077134053155452</v>
      </c>
      <c r="I55" s="352">
        <f ca="1">-'FAF - Electric'!AR77</f>
        <v>3490.3173211029243</v>
      </c>
      <c r="J55" s="352">
        <f ca="1">'FAF - Electric'!AS77</f>
        <v>14642.761255842132</v>
      </c>
      <c r="K55" s="347">
        <f ca="1">'2011 Saturation Data'!$I$19*'FAF - Gas'!AR77</f>
        <v>393.70718455400385</v>
      </c>
      <c r="L55" s="347">
        <f ca="1" t="shared" si="15"/>
        <v>3096.6101365489203</v>
      </c>
      <c r="M55" s="347">
        <f ca="1">'Air Source Heat Pump'!AP77+'Air Source Heat Pump'!AR77-'Conversions and Upgrades'!L55</f>
        <v>810.3508413583286</v>
      </c>
      <c r="N55" s="347">
        <f ca="1">'Air Source Heat Pump'!AU77</f>
        <v>2239.203051986266</v>
      </c>
      <c r="O55" s="347">
        <f ca="1" t="shared" si="16"/>
        <v>3049.5538933445946</v>
      </c>
      <c r="P55" s="347">
        <f ca="1" t="shared" si="19"/>
        <v>6146.164029893514</v>
      </c>
      <c r="Q55" s="504"/>
    </row>
    <row r="56" spans="2:17" ht="12.75">
      <c r="B56" s="41"/>
      <c r="C56" s="508">
        <v>2012</v>
      </c>
      <c r="D56" s="352">
        <f ca="1" t="shared" si="10"/>
        <v>17888.23345934508</v>
      </c>
      <c r="E56" s="352">
        <f ca="1" t="shared" si="11"/>
        <v>17489.28677128869</v>
      </c>
      <c r="F56" s="513">
        <f ca="1" t="shared" si="12"/>
        <v>0.8101204025328775</v>
      </c>
      <c r="G56" s="513">
        <f ca="1" t="shared" si="13"/>
        <v>0.02230218478325882</v>
      </c>
      <c r="H56" s="513">
        <f ca="1" t="shared" si="14"/>
        <v>0.16757741268386367</v>
      </c>
      <c r="I56" s="352">
        <f ca="1">-'FAF - Electric'!AR78</f>
        <v>3396.610568658356</v>
      </c>
      <c r="J56" s="352">
        <f ca="1">'FAF - Electric'!AS78</f>
        <v>14491.622890686724</v>
      </c>
      <c r="K56" s="347">
        <f ca="1">'2011 Saturation Data'!$I$19*'FAF - Gas'!AR78</f>
        <v>398.94668805638713</v>
      </c>
      <c r="L56" s="347">
        <f ca="1" t="shared" si="15"/>
        <v>2997.6638806019687</v>
      </c>
      <c r="M56" s="347">
        <f ca="1">'Air Source Heat Pump'!AP78+'Air Source Heat Pump'!AR78-'Conversions and Upgrades'!L56</f>
        <v>926.5414143544699</v>
      </c>
      <c r="N56" s="347">
        <f ca="1">'Air Source Heat Pump'!AU78</f>
        <v>2364.057571693279</v>
      </c>
      <c r="O56" s="347">
        <f ca="1" t="shared" si="16"/>
        <v>3290.598986047749</v>
      </c>
      <c r="P56" s="347">
        <f ca="1" t="shared" si="19"/>
        <v>6288.262866649718</v>
      </c>
      <c r="Q56" s="504"/>
    </row>
    <row r="57" spans="2:17" ht="12.75">
      <c r="B57" s="41"/>
      <c r="C57" s="508">
        <v>2013</v>
      </c>
      <c r="D57" s="352">
        <f ca="1" t="shared" si="10"/>
        <v>18625.625822765884</v>
      </c>
      <c r="E57" s="352">
        <f ca="1" t="shared" si="11"/>
        <v>18222.93315318739</v>
      </c>
      <c r="F57" s="513">
        <f ca="1" t="shared" si="12"/>
        <v>0.8237925851857822</v>
      </c>
      <c r="G57" s="513">
        <f ca="1" t="shared" si="13"/>
        <v>0.021620356459984755</v>
      </c>
      <c r="H57" s="513">
        <f ca="1" t="shared" si="14"/>
        <v>0.15458705835423298</v>
      </c>
      <c r="I57" s="352">
        <f ca="1">-'FAF - Electric'!AR79</f>
        <v>3281.9733755265133</v>
      </c>
      <c r="J57" s="352">
        <f ca="1">'FAF - Electric'!AS79</f>
        <v>15343.65244723937</v>
      </c>
      <c r="K57" s="347">
        <f ca="1">'2011 Saturation Data'!$I$19*'FAF - Gas'!AR79</f>
        <v>402.69266957849527</v>
      </c>
      <c r="L57" s="347">
        <f ca="1" t="shared" si="15"/>
        <v>2879.2807059480183</v>
      </c>
      <c r="M57" s="347">
        <f ca="1">'Air Source Heat Pump'!AP79+'Air Source Heat Pump'!AR79-'Conversions and Upgrades'!L57</f>
        <v>1044.2085056917058</v>
      </c>
      <c r="N57" s="347">
        <f ca="1">'Air Source Heat Pump'!AU79</f>
        <v>2570.2091246247387</v>
      </c>
      <c r="O57" s="347">
        <f ca="1" t="shared" si="16"/>
        <v>3614.4176303164445</v>
      </c>
      <c r="P57" s="347">
        <f ca="1" t="shared" si="19"/>
        <v>6493.698336264462</v>
      </c>
      <c r="Q57" s="504"/>
    </row>
    <row r="58" spans="2:17" ht="12.75">
      <c r="B58" s="41"/>
      <c r="C58" s="508">
        <v>2014</v>
      </c>
      <c r="D58" s="352">
        <f ca="1" t="shared" si="10"/>
        <v>20196.625799248042</v>
      </c>
      <c r="E58" s="352">
        <f ca="1" t="shared" si="11"/>
        <v>19792.253083121992</v>
      </c>
      <c r="F58" s="513">
        <f ca="1" t="shared" si="12"/>
        <v>0.8446000997915613</v>
      </c>
      <c r="G58" s="513">
        <f ca="1" t="shared" si="13"/>
        <v>0.020021795726942963</v>
      </c>
      <c r="H58" s="513">
        <f ca="1" t="shared" si="14"/>
        <v>0.1353781044814958</v>
      </c>
      <c r="I58" s="352">
        <f ca="1">-'FAF - Electric'!AR80</f>
        <v>3138.5536337503254</v>
      </c>
      <c r="J58" s="352">
        <f ca="1">'FAF - Electric'!AS80</f>
        <v>17058.072165497717</v>
      </c>
      <c r="K58" s="347">
        <f ca="1">'2011 Saturation Data'!$I$19*'FAF - Gas'!AR80</f>
        <v>404.3727161260504</v>
      </c>
      <c r="L58" s="347">
        <f ca="1" t="shared" si="15"/>
        <v>2734.180917624275</v>
      </c>
      <c r="M58" s="347">
        <f ca="1">'Air Source Heat Pump'!AP80+'Air Source Heat Pump'!AR80-'Conversions and Upgrades'!L58</f>
        <v>1163.8078071467826</v>
      </c>
      <c r="N58" s="347">
        <f ca="1">'Air Source Heat Pump'!AU80</f>
        <v>2664.4587462089717</v>
      </c>
      <c r="O58" s="347">
        <f ca="1" t="shared" si="16"/>
        <v>3828.2665533557542</v>
      </c>
      <c r="P58" s="347">
        <f ca="1" t="shared" si="19"/>
        <v>6562.447470980029</v>
      </c>
      <c r="Q58" s="504"/>
    </row>
    <row r="59" spans="2:17" ht="12.75">
      <c r="B59" s="41"/>
      <c r="C59" s="508">
        <v>2015</v>
      </c>
      <c r="D59" s="352">
        <f ca="1" t="shared" si="10"/>
        <v>21397.739004334868</v>
      </c>
      <c r="E59" s="352">
        <f ca="1" t="shared" si="11"/>
        <v>20992.06096750929</v>
      </c>
      <c r="F59" s="513">
        <f ca="1" t="shared" si="12"/>
        <v>0.8595604889264011</v>
      </c>
      <c r="G59" s="513">
        <f ca="1" t="shared" si="13"/>
        <v>0.018958920694536682</v>
      </c>
      <c r="H59" s="513">
        <f ca="1" t="shared" si="14"/>
        <v>0.12148059037906218</v>
      </c>
      <c r="I59" s="352">
        <f ca="1">-'FAF - Electric'!AR81</f>
        <v>3005.088003849265</v>
      </c>
      <c r="J59" s="352">
        <f ca="1">'FAF - Electric'!AS81</f>
        <v>18392.651000485603</v>
      </c>
      <c r="K59" s="347">
        <f ca="1">'2011 Saturation Data'!$I$19*'FAF - Gas'!AR81</f>
        <v>405.67803682557906</v>
      </c>
      <c r="L59" s="347">
        <f ca="1" t="shared" si="15"/>
        <v>2599.409967023686</v>
      </c>
      <c r="M59" s="347">
        <f ca="1">'Air Source Heat Pump'!AP81+'Air Source Heat Pump'!AR81-'Conversions and Upgrades'!L59</f>
        <v>1272.9366969608568</v>
      </c>
      <c r="N59" s="347">
        <f ca="1">'Air Source Heat Pump'!AU81</f>
        <v>2915.5917181465034</v>
      </c>
      <c r="O59" s="347">
        <f ca="1" t="shared" si="16"/>
        <v>4188.52841510736</v>
      </c>
      <c r="P59" s="347">
        <f ca="1" t="shared" si="19"/>
        <v>6787.938382131046</v>
      </c>
      <c r="Q59" s="504"/>
    </row>
    <row r="60" spans="2:17" ht="13.5" thickBot="1">
      <c r="B60" s="42"/>
      <c r="C60" s="509"/>
      <c r="D60" s="510"/>
      <c r="E60" s="510"/>
      <c r="F60" s="510"/>
      <c r="G60" s="510"/>
      <c r="H60" s="510"/>
      <c r="I60" s="511"/>
      <c r="J60" s="510"/>
      <c r="K60" s="511"/>
      <c r="L60" s="511"/>
      <c r="M60" s="511"/>
      <c r="N60" s="511"/>
      <c r="O60" s="510"/>
      <c r="P60" s="511"/>
      <c r="Q60" s="512"/>
    </row>
    <row r="61" spans="16:17" ht="13.5" thickBot="1">
      <c r="P61" s="4"/>
      <c r="Q61" s="16"/>
    </row>
    <row r="62" spans="2:17" ht="12.75">
      <c r="B62" s="38"/>
      <c r="C62" s="497"/>
      <c r="D62" s="498"/>
      <c r="E62" s="498"/>
      <c r="F62" s="498"/>
      <c r="G62" s="498"/>
      <c r="H62" s="498"/>
      <c r="I62" s="498"/>
      <c r="J62" s="498"/>
      <c r="K62" s="499"/>
      <c r="L62" s="498"/>
      <c r="M62" s="498"/>
      <c r="N62" s="498"/>
      <c r="O62" s="498"/>
      <c r="P62" s="498"/>
      <c r="Q62" s="500"/>
    </row>
    <row r="63" spans="2:17" ht="12.75">
      <c r="B63" s="39"/>
      <c r="C63" s="501" t="s">
        <v>52</v>
      </c>
      <c r="D63" s="502"/>
      <c r="E63" s="502"/>
      <c r="F63" s="502"/>
      <c r="G63" s="502"/>
      <c r="H63" s="502"/>
      <c r="I63" s="502"/>
      <c r="J63" s="502"/>
      <c r="K63" s="502"/>
      <c r="L63" s="503" t="s">
        <v>221</v>
      </c>
      <c r="M63" s="503" t="s">
        <v>223</v>
      </c>
      <c r="N63" s="503" t="s">
        <v>222</v>
      </c>
      <c r="O63" s="503" t="s">
        <v>428</v>
      </c>
      <c r="P63" s="503" t="s">
        <v>66</v>
      </c>
      <c r="Q63" s="504"/>
    </row>
    <row r="64" spans="2:17" ht="63.75">
      <c r="B64" s="40"/>
      <c r="C64" s="505"/>
      <c r="D64" s="506" t="s">
        <v>441</v>
      </c>
      <c r="E64" s="506" t="s">
        <v>439</v>
      </c>
      <c r="F64" s="506" t="s">
        <v>443</v>
      </c>
      <c r="G64" s="506" t="s">
        <v>444</v>
      </c>
      <c r="H64" s="506" t="s">
        <v>445</v>
      </c>
      <c r="I64" s="506" t="s">
        <v>210</v>
      </c>
      <c r="J64" s="506" t="s">
        <v>430</v>
      </c>
      <c r="K64" s="506" t="s">
        <v>211</v>
      </c>
      <c r="L64" s="506" t="s">
        <v>212</v>
      </c>
      <c r="M64" s="506" t="s">
        <v>213</v>
      </c>
      <c r="N64" s="506" t="s">
        <v>215</v>
      </c>
      <c r="O64" s="506" t="s">
        <v>451</v>
      </c>
      <c r="P64" s="506" t="s">
        <v>214</v>
      </c>
      <c r="Q64" s="507"/>
    </row>
    <row r="65" spans="2:17" ht="12.75">
      <c r="B65" s="41"/>
      <c r="C65" s="508">
        <v>2010</v>
      </c>
      <c r="D65" s="352">
        <f aca="true" t="shared" si="20" ref="D65:D70">SUM(J65,I65)</f>
        <v>43567.12968908918</v>
      </c>
      <c r="E65" s="352">
        <f aca="true" t="shared" si="21" ref="E65:E70">J65+L65</f>
        <v>35374.160681178124</v>
      </c>
      <c r="F65" s="513">
        <f aca="true" t="shared" si="22" ref="F65:F70">J65/D65</f>
        <v>0.6626568733927499</v>
      </c>
      <c r="G65" s="513">
        <f aca="true" t="shared" si="23" ref="G65:G70">K65/D65</f>
        <v>0.2166788178353496</v>
      </c>
      <c r="H65" s="513">
        <f aca="true" t="shared" si="24" ref="H65:H70">L65/D65</f>
        <v>0.1492892183883921</v>
      </c>
      <c r="I65" s="347">
        <f ca="1">-'FAF - Electric'!BP59</f>
        <v>14697.071746620899</v>
      </c>
      <c r="J65" s="347">
        <f ca="1">'FAF - Electric'!BQ59</f>
        <v>28870.057942468287</v>
      </c>
      <c r="K65" s="347">
        <f aca="true" t="shared" si="25" ref="K65:P70">K26+K54</f>
        <v>9440.074157511206</v>
      </c>
      <c r="L65" s="347">
        <f ca="1" t="shared" si="25"/>
        <v>6504.102738709836</v>
      </c>
      <c r="M65" s="347">
        <f ca="1" t="shared" si="25"/>
        <v>17879.35288158188</v>
      </c>
      <c r="N65" s="347">
        <f ca="1" t="shared" si="25"/>
        <v>15398.81666983034</v>
      </c>
      <c r="O65" s="347">
        <f aca="true" t="shared" si="26" ref="O65:O70">SUM(M65:N65)</f>
        <v>33278.16955141222</v>
      </c>
      <c r="P65" s="347">
        <f ca="1" t="shared" si="25"/>
        <v>39782.272290122055</v>
      </c>
      <c r="Q65" s="504"/>
    </row>
    <row r="66" spans="2:17" ht="12.75">
      <c r="B66" s="41"/>
      <c r="C66" s="508">
        <v>2011</v>
      </c>
      <c r="D66" s="352">
        <f ca="1" t="shared" si="20"/>
        <v>46327.10968908919</v>
      </c>
      <c r="E66" s="352">
        <f ca="1" t="shared" si="21"/>
        <v>38708.03570476113</v>
      </c>
      <c r="F66" s="513">
        <f ca="1" t="shared" si="22"/>
        <v>0.658035335104934</v>
      </c>
      <c r="G66" s="513">
        <f ca="1" t="shared" si="23"/>
        <v>0.18631675909605566</v>
      </c>
      <c r="H66" s="513">
        <f ca="1" t="shared" si="24"/>
        <v>0.17750212804652862</v>
      </c>
      <c r="I66" s="347">
        <f ca="1">-'FAF - Electric'!BP60</f>
        <v>15842.234540386347</v>
      </c>
      <c r="J66" s="347">
        <f ca="1">'FAF - Electric'!BQ60</f>
        <v>30484.875148702842</v>
      </c>
      <c r="K66" s="347">
        <f ca="1" t="shared" si="25"/>
        <v>8631.516935558577</v>
      </c>
      <c r="L66" s="347">
        <f ca="1" t="shared" si="25"/>
        <v>8223.160556058287</v>
      </c>
      <c r="M66" s="347">
        <f ca="1" t="shared" si="25"/>
        <v>18688.555271976347</v>
      </c>
      <c r="N66" s="347">
        <f ca="1" t="shared" si="25"/>
        <v>15890.487107815448</v>
      </c>
      <c r="O66" s="347">
        <f ca="1" t="shared" si="26"/>
        <v>34579.0423797918</v>
      </c>
      <c r="P66" s="347">
        <f ca="1" t="shared" si="25"/>
        <v>42802.20293585008</v>
      </c>
      <c r="Q66" s="504"/>
    </row>
    <row r="67" spans="2:17" ht="12.75">
      <c r="B67" s="41"/>
      <c r="C67" s="508">
        <v>2012</v>
      </c>
      <c r="D67" s="352">
        <f ca="1" t="shared" si="20"/>
        <v>44913.16968908918</v>
      </c>
      <c r="E67" s="352">
        <f ca="1" t="shared" si="21"/>
        <v>38161.49303105284</v>
      </c>
      <c r="F67" s="513">
        <f ca="1" t="shared" si="22"/>
        <v>0.6471183077084464</v>
      </c>
      <c r="G67" s="513">
        <f ca="1" t="shared" si="23"/>
        <v>0.18713885659665186</v>
      </c>
      <c r="H67" s="513">
        <f ca="1" t="shared" si="24"/>
        <v>0.2025543672602825</v>
      </c>
      <c r="I67" s="347">
        <f ca="1">-'FAF - Electric'!BP61</f>
        <v>15849.035326063504</v>
      </c>
      <c r="J67" s="347">
        <f ca="1">'FAF - Electric'!BQ61</f>
        <v>29064.13436302568</v>
      </c>
      <c r="K67" s="347">
        <f ca="1" t="shared" si="25"/>
        <v>8404.999221747552</v>
      </c>
      <c r="L67" s="347">
        <f ca="1" t="shared" si="25"/>
        <v>9097.358668027158</v>
      </c>
      <c r="M67" s="347">
        <f ca="1" t="shared" si="25"/>
        <v>19551.154458941815</v>
      </c>
      <c r="N67" s="347">
        <f ca="1" t="shared" si="25"/>
        <v>16664.4744873138</v>
      </c>
      <c r="O67" s="347">
        <f ca="1" t="shared" si="26"/>
        <v>36215.628946255616</v>
      </c>
      <c r="P67" s="347">
        <f ca="1" t="shared" si="25"/>
        <v>45312.98761428277</v>
      </c>
      <c r="Q67" s="504"/>
    </row>
    <row r="68" spans="2:17" ht="12.75">
      <c r="B68" s="41"/>
      <c r="C68" s="508">
        <v>2013</v>
      </c>
      <c r="D68" s="352">
        <f ca="1" t="shared" si="20"/>
        <v>43152.96968908919</v>
      </c>
      <c r="E68" s="352">
        <f ca="1" t="shared" si="21"/>
        <v>36831.61482457887</v>
      </c>
      <c r="F68" s="513">
        <f ca="1" t="shared" si="22"/>
        <v>0.6428910493699939</v>
      </c>
      <c r="G68" s="513">
        <f ca="1" t="shared" si="23"/>
        <v>0.20193009655949926</v>
      </c>
      <c r="H68" s="513">
        <f ca="1" t="shared" si="24"/>
        <v>0.21062181637123445</v>
      </c>
      <c r="I68" s="347">
        <f ca="1">-'FAF - Electric'!BP62</f>
        <v>15410.311722239101</v>
      </c>
      <c r="J68" s="347">
        <f ca="1">'FAF - Electric'!BQ62</f>
        <v>27742.657966850085</v>
      </c>
      <c r="K68" s="347">
        <f ca="1" t="shared" si="25"/>
        <v>8713.883336146924</v>
      </c>
      <c r="L68" s="347">
        <f ca="1" t="shared" si="25"/>
        <v>9088.956857728788</v>
      </c>
      <c r="M68" s="347">
        <f ca="1" t="shared" si="25"/>
        <v>20306.73761177642</v>
      </c>
      <c r="N68" s="347">
        <f ca="1" t="shared" si="25"/>
        <v>17510.73306939233</v>
      </c>
      <c r="O68" s="347">
        <f ca="1" t="shared" si="26"/>
        <v>37817.47068116875</v>
      </c>
      <c r="P68" s="347">
        <f ca="1" t="shared" si="25"/>
        <v>46906.42753889753</v>
      </c>
      <c r="Q68" s="504"/>
    </row>
    <row r="69" spans="2:17" ht="12.75">
      <c r="B69" s="41"/>
      <c r="C69" s="508">
        <v>2014</v>
      </c>
      <c r="D69" s="352">
        <f ca="1" t="shared" si="20"/>
        <v>43254.609689089186</v>
      </c>
      <c r="E69" s="352">
        <f ca="1" t="shared" si="21"/>
        <v>36327.911848491785</v>
      </c>
      <c r="F69" s="513">
        <f ca="1" t="shared" si="22"/>
        <v>0.6363021643513342</v>
      </c>
      <c r="G69" s="513">
        <f ca="1" t="shared" si="23"/>
        <v>0.211789051490302</v>
      </c>
      <c r="H69" s="513">
        <f ca="1" t="shared" si="24"/>
        <v>0.20356004015389714</v>
      </c>
      <c r="I69" s="347">
        <f ca="1">-'FAF - Electric'!BP63</f>
        <v>15731.607925749546</v>
      </c>
      <c r="J69" s="347">
        <f ca="1">'FAF - Electric'!BQ63</f>
        <v>27523.001763339642</v>
      </c>
      <c r="K69" s="347">
        <f ca="1" t="shared" si="25"/>
        <v>9160.852758635425</v>
      </c>
      <c r="L69" s="347">
        <f ca="1" t="shared" si="25"/>
        <v>8804.910085152143</v>
      </c>
      <c r="M69" s="347">
        <f ca="1" t="shared" si="25"/>
        <v>21008.57934054835</v>
      </c>
      <c r="N69" s="347">
        <f ca="1" t="shared" si="25"/>
        <v>17619.615212226818</v>
      </c>
      <c r="O69" s="347">
        <f ca="1" t="shared" si="26"/>
        <v>38628.19455277517</v>
      </c>
      <c r="P69" s="347">
        <f ca="1" t="shared" si="25"/>
        <v>47433.1046379273</v>
      </c>
      <c r="Q69" s="504"/>
    </row>
    <row r="70" spans="2:17" ht="12.75">
      <c r="B70" s="41"/>
      <c r="C70" s="508">
        <v>2015</v>
      </c>
      <c r="D70" s="352">
        <f ca="1" t="shared" si="20"/>
        <v>44037.26968908919</v>
      </c>
      <c r="E70" s="352">
        <f ca="1" t="shared" si="21"/>
        <v>36412.38734716016</v>
      </c>
      <c r="F70" s="513">
        <f ca="1" t="shared" si="22"/>
        <v>0.6313341939128247</v>
      </c>
      <c r="G70" s="513">
        <f ca="1" t="shared" si="23"/>
        <v>0.2172175111964664</v>
      </c>
      <c r="H70" s="513">
        <f ca="1" t="shared" si="24"/>
        <v>0.1955196869984573</v>
      </c>
      <c r="I70" s="347">
        <f ca="1">-'FAF - Electric'!BP64</f>
        <v>16235.035527806393</v>
      </c>
      <c r="J70" s="347">
        <f ca="1">'FAF - Electric'!BQ64</f>
        <v>27802.234161282795</v>
      </c>
      <c r="K70" s="347">
        <f ca="1" t="shared" si="25"/>
        <v>9565.666121751541</v>
      </c>
      <c r="L70" s="347">
        <f ca="1" t="shared" si="25"/>
        <v>8610.153185877369</v>
      </c>
      <c r="M70" s="347">
        <f ca="1" t="shared" si="25"/>
        <v>21722.040112539496</v>
      </c>
      <c r="N70" s="347">
        <f ca="1" t="shared" si="25"/>
        <v>18827.96107740424</v>
      </c>
      <c r="O70" s="347">
        <f ca="1" t="shared" si="26"/>
        <v>40550.00118994374</v>
      </c>
      <c r="P70" s="347">
        <f ca="1" t="shared" si="25"/>
        <v>49160.154375821105</v>
      </c>
      <c r="Q70" s="504"/>
    </row>
    <row r="71" spans="2:17" ht="13.5" thickBot="1">
      <c r="B71" s="42"/>
      <c r="C71" s="509"/>
      <c r="D71" s="510"/>
      <c r="E71" s="510"/>
      <c r="F71" s="510"/>
      <c r="G71" s="510"/>
      <c r="H71" s="510"/>
      <c r="I71" s="511"/>
      <c r="J71" s="510"/>
      <c r="K71" s="511"/>
      <c r="L71" s="511"/>
      <c r="M71" s="511"/>
      <c r="N71" s="511"/>
      <c r="O71" s="510"/>
      <c r="P71" s="511"/>
      <c r="Q71" s="512"/>
    </row>
    <row r="72" ht="12.75"/>
    <row r="73" ht="12.75"/>
    <row r="74" ht="12.75"/>
    <row r="75" ht="12.75"/>
    <row r="76" ht="12.75">
      <c r="F76" s="9" t="s">
        <v>0</v>
      </c>
    </row>
    <row r="77" spans="6:8" ht="51">
      <c r="F77" s="506" t="s">
        <v>508</v>
      </c>
      <c r="G77" s="506" t="s">
        <v>509</v>
      </c>
      <c r="H77" s="506" t="s">
        <v>510</v>
      </c>
    </row>
    <row r="78" spans="5:8" ht="12.75">
      <c r="E78" s="508">
        <v>2010</v>
      </c>
      <c r="F78" s="98">
        <f aca="true" t="shared" si="27" ref="F78:H82">F26</f>
        <v>0.3086975317742696</v>
      </c>
      <c r="G78" s="98">
        <f ca="1" t="shared" si="27"/>
        <v>0.5045382995544861</v>
      </c>
      <c r="H78" s="98">
        <f ca="1" t="shared" si="27"/>
        <v>0.18676416867124426</v>
      </c>
    </row>
    <row r="79" spans="5:8" ht="12.75">
      <c r="E79" s="508">
        <v>2011</v>
      </c>
      <c r="F79" s="98">
        <f ca="1" t="shared" si="27"/>
        <v>0.33358171599781167</v>
      </c>
      <c r="G79" s="98">
        <f ca="1" t="shared" si="27"/>
        <v>0.4107811349108414</v>
      </c>
      <c r="H79" s="98">
        <f ca="1" t="shared" si="27"/>
        <v>0.25563714909134694</v>
      </c>
    </row>
    <row r="80" spans="5:8" ht="12.75">
      <c r="E80" s="508">
        <v>2012</v>
      </c>
      <c r="F80" s="98">
        <f ca="1" t="shared" si="27"/>
        <v>0.2974452786496506</v>
      </c>
      <c r="G80" s="98">
        <f ca="1" t="shared" si="27"/>
        <v>0.3987516491595928</v>
      </c>
      <c r="H80" s="98">
        <f ca="1" t="shared" si="27"/>
        <v>0.3038030721907566</v>
      </c>
    </row>
    <row r="81" spans="5:8" ht="12.75">
      <c r="E81" s="508">
        <v>2013</v>
      </c>
      <c r="F81" s="98">
        <f ca="1" t="shared" si="27"/>
        <v>0.31380206554859064</v>
      </c>
      <c r="G81" s="98">
        <f ca="1" t="shared" si="27"/>
        <v>0.39275354147759106</v>
      </c>
      <c r="H81" s="98">
        <f ca="1" t="shared" si="27"/>
        <v>0.2934443929738183</v>
      </c>
    </row>
    <row r="82" spans="5:8" ht="12.75">
      <c r="E82" s="508">
        <v>2014</v>
      </c>
      <c r="F82" s="98">
        <f ca="1" t="shared" si="27"/>
        <v>0.30935739929041167</v>
      </c>
      <c r="G82" s="98">
        <f ca="1" t="shared" si="27"/>
        <v>0.40787164084299654</v>
      </c>
      <c r="H82" s="98">
        <f ca="1" t="shared" si="27"/>
        <v>0.2827709598665918</v>
      </c>
    </row>
    <row r="83" ht="12.75">
      <c r="F83" s="9" t="s">
        <v>22</v>
      </c>
    </row>
    <row r="84" spans="6:8" ht="51">
      <c r="F84" s="506" t="s">
        <v>508</v>
      </c>
      <c r="G84" s="506" t="s">
        <v>509</v>
      </c>
      <c r="H84" s="506" t="s">
        <v>510</v>
      </c>
    </row>
    <row r="85" spans="5:8" ht="12.75">
      <c r="E85" s="508">
        <v>2010</v>
      </c>
      <c r="F85" s="98">
        <f aca="true" t="shared" si="28" ref="F85:H89">F54</f>
        <v>0.7947471388122019</v>
      </c>
      <c r="G85" s="98">
        <f ca="1" t="shared" si="28"/>
        <v>0.022403571220927457</v>
      </c>
      <c r="H85" s="98">
        <f ca="1" t="shared" si="28"/>
        <v>0.1828492899668706</v>
      </c>
    </row>
    <row r="86" spans="5:8" ht="12.75">
      <c r="E86" s="508">
        <v>2011</v>
      </c>
      <c r="F86" s="98">
        <f ca="1" t="shared" si="28"/>
        <v>0.8075165611679078</v>
      </c>
      <c r="G86" s="98">
        <f ca="1" t="shared" si="28"/>
        <v>0.021712098300537618</v>
      </c>
      <c r="H86" s="98">
        <f ca="1" t="shared" si="28"/>
        <v>0.17077134053155452</v>
      </c>
    </row>
    <row r="87" spans="5:8" ht="12.75">
      <c r="E87" s="508">
        <v>2012</v>
      </c>
      <c r="F87" s="98">
        <f ca="1" t="shared" si="28"/>
        <v>0.8101204025328775</v>
      </c>
      <c r="G87" s="98">
        <f ca="1" t="shared" si="28"/>
        <v>0.02230218478325882</v>
      </c>
      <c r="H87" s="98">
        <f ca="1" t="shared" si="28"/>
        <v>0.16757741268386367</v>
      </c>
    </row>
    <row r="88" spans="5:8" ht="12.75">
      <c r="E88" s="508">
        <v>2013</v>
      </c>
      <c r="F88" s="98">
        <f ca="1" t="shared" si="28"/>
        <v>0.8237925851857822</v>
      </c>
      <c r="G88" s="98">
        <f ca="1" t="shared" si="28"/>
        <v>0.021620356459984755</v>
      </c>
      <c r="H88" s="98">
        <f ca="1" t="shared" si="28"/>
        <v>0.15458705835423298</v>
      </c>
    </row>
    <row r="89" spans="5:8" ht="12.75">
      <c r="E89" s="508">
        <v>2014</v>
      </c>
      <c r="F89" s="98">
        <f ca="1" t="shared" si="28"/>
        <v>0.8446000997915613</v>
      </c>
      <c r="G89" s="98">
        <f ca="1" t="shared" si="28"/>
        <v>0.020021795726942963</v>
      </c>
      <c r="H89" s="98">
        <f ca="1" t="shared" si="28"/>
        <v>0.1353781044814958</v>
      </c>
    </row>
  </sheetData>
  <mergeCells count="2">
    <mergeCell ref="B2:Q2"/>
    <mergeCell ref="B4:Q4"/>
  </mergeCells>
  <hyperlinks>
    <hyperlink ref="B4:L4" location="Navigation!A1" display="NAVIGATION"/>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E91"/>
  <sheetViews>
    <sheetView showGridLines="0" zoomScale="70" zoomScaleNormal="70" workbookViewId="0" topLeftCell="A1"/>
  </sheetViews>
  <sheetFormatPr defaultColWidth="9.140625" defaultRowHeight="12.75"/>
  <cols>
    <col min="1" max="1" width="2.8515625" style="44" customWidth="1"/>
    <col min="2" max="2" width="15.00390625" style="44" bestFit="1" customWidth="1"/>
    <col min="3" max="3" width="12.28125" style="44" bestFit="1" customWidth="1"/>
    <col min="4" max="4" width="10.421875" style="44" bestFit="1" customWidth="1"/>
    <col min="5" max="5" width="12.140625" style="44" bestFit="1" customWidth="1"/>
    <col min="6" max="6" width="14.140625" style="44" bestFit="1" customWidth="1"/>
    <col min="7" max="7" width="3.28125" style="44" customWidth="1"/>
    <col min="8" max="8" width="27.28125" style="44" customWidth="1"/>
    <col min="9" max="9" width="39.7109375" style="44" customWidth="1"/>
    <col min="10" max="14" width="12.7109375" style="44" customWidth="1"/>
    <col min="15" max="15" width="3.140625" style="44" customWidth="1"/>
    <col min="16" max="16" width="43.28125" style="44" customWidth="1"/>
    <col min="17" max="17" width="29.7109375" style="44" customWidth="1"/>
    <col min="18" max="22" width="9.140625" style="44" customWidth="1"/>
    <col min="23" max="23" width="3.28125" style="44" customWidth="1"/>
    <col min="24" max="16384" width="9.140625" style="44" customWidth="1"/>
  </cols>
  <sheetData>
    <row r="2" spans="2:31" ht="15" customHeight="1">
      <c r="B2" s="837" t="s">
        <v>237</v>
      </c>
      <c r="C2" s="837"/>
      <c r="D2" s="837"/>
      <c r="E2" s="837"/>
      <c r="F2" s="837"/>
      <c r="H2" s="837" t="s">
        <v>242</v>
      </c>
      <c r="I2" s="837"/>
      <c r="J2" s="837"/>
      <c r="K2" s="837"/>
      <c r="L2" s="837"/>
      <c r="M2" s="837"/>
      <c r="N2" s="837"/>
      <c r="P2" s="837" t="s">
        <v>246</v>
      </c>
      <c r="Q2" s="837"/>
      <c r="R2" s="837"/>
      <c r="S2" s="837"/>
      <c r="T2" s="837"/>
      <c r="U2" s="837"/>
      <c r="V2" s="837"/>
      <c r="X2" s="837" t="s">
        <v>249</v>
      </c>
      <c r="Y2" s="837"/>
      <c r="Z2" s="837"/>
      <c r="AA2" s="837"/>
      <c r="AB2" s="837"/>
      <c r="AC2" s="837"/>
      <c r="AD2" s="837"/>
      <c r="AE2" s="53"/>
    </row>
    <row r="3" spans="2:31" ht="15.75" customHeight="1">
      <c r="B3" s="837"/>
      <c r="C3" s="837"/>
      <c r="D3" s="837"/>
      <c r="E3" s="837"/>
      <c r="F3" s="837"/>
      <c r="H3" s="837"/>
      <c r="I3" s="837"/>
      <c r="J3" s="837"/>
      <c r="K3" s="837"/>
      <c r="L3" s="837"/>
      <c r="M3" s="837"/>
      <c r="N3" s="837"/>
      <c r="P3" s="837"/>
      <c r="Q3" s="837"/>
      <c r="R3" s="837"/>
      <c r="S3" s="837"/>
      <c r="T3" s="837"/>
      <c r="U3" s="837"/>
      <c r="V3" s="837"/>
      <c r="X3" s="837"/>
      <c r="Y3" s="837"/>
      <c r="Z3" s="837"/>
      <c r="AA3" s="837"/>
      <c r="AB3" s="837"/>
      <c r="AC3" s="837"/>
      <c r="AD3" s="837"/>
      <c r="AE3" s="53"/>
    </row>
    <row r="4" spans="2:31" s="54" customFormat="1" ht="29.25" customHeight="1" thickBot="1">
      <c r="B4" s="838" t="str">
        <f>'Analysis Overview'!$C$3</f>
        <v>HVAC unit energy consumption in homes outside of programs, in kWh/yr by climate zone, housing type, installation type, and unit efficiency</v>
      </c>
      <c r="C4" s="838"/>
      <c r="D4" s="838"/>
      <c r="E4" s="838"/>
      <c r="F4" s="838"/>
      <c r="H4" s="839" t="str">
        <f>'Analysis Overview'!$C$4</f>
        <v>The size of the HVAC market (number of shipments) by year, housing type, and installation type</v>
      </c>
      <c r="I4" s="839"/>
      <c r="J4" s="839"/>
      <c r="K4" s="839"/>
      <c r="L4" s="839"/>
      <c r="M4" s="839"/>
      <c r="N4" s="839"/>
      <c r="P4" s="838" t="str">
        <f>'Analysis Overview'!$C$5</f>
        <v>The percent of each unit efficiency in the market, by year, under the Sixth Plan Baseline and in the actual market</v>
      </c>
      <c r="Q4" s="838"/>
      <c r="R4" s="838"/>
      <c r="S4" s="838"/>
      <c r="T4" s="838"/>
      <c r="U4" s="838"/>
      <c r="V4" s="838"/>
      <c r="X4" s="838" t="str">
        <f>'Analysis Overview'!$C$6</f>
        <v>Savings from all ASHP res HVAC utility programs in the region, by year and service territory, measured against the Sixth Plan Baseline</v>
      </c>
      <c r="Y4" s="838"/>
      <c r="Z4" s="838"/>
      <c r="AA4" s="838"/>
      <c r="AB4" s="838"/>
      <c r="AC4" s="838"/>
      <c r="AD4" s="838"/>
      <c r="AE4" s="55"/>
    </row>
    <row r="5" spans="2:30" ht="15.75" customHeight="1" thickBot="1">
      <c r="B5" s="440" t="s">
        <v>311</v>
      </c>
      <c r="C5" s="441"/>
      <c r="D5" s="441"/>
      <c r="E5" s="441"/>
      <c r="F5" s="442"/>
      <c r="G5" s="59"/>
      <c r="H5" s="102" t="str">
        <f>'Conversions and Upgrades'!T9</f>
        <v>Single Family Homes</v>
      </c>
      <c r="I5" s="103"/>
      <c r="J5" s="103"/>
      <c r="K5" s="103"/>
      <c r="L5" s="103"/>
      <c r="M5" s="103"/>
      <c r="N5" s="104"/>
      <c r="O5" s="59"/>
      <c r="P5" s="443" t="s">
        <v>453</v>
      </c>
      <c r="Q5" s="444"/>
      <c r="R5" s="444"/>
      <c r="S5" s="444"/>
      <c r="T5" s="444"/>
      <c r="U5" s="444"/>
      <c r="V5" s="445"/>
      <c r="W5" s="59"/>
      <c r="X5" s="443" t="s">
        <v>313</v>
      </c>
      <c r="Y5" s="444"/>
      <c r="Z5" s="444"/>
      <c r="AA5" s="444"/>
      <c r="AB5" s="444"/>
      <c r="AC5" s="444"/>
      <c r="AD5" s="445"/>
    </row>
    <row r="6" spans="2:30" ht="15" customHeight="1">
      <c r="B6" s="735" t="s">
        <v>314</v>
      </c>
      <c r="C6" s="736" t="s">
        <v>315</v>
      </c>
      <c r="D6" s="736" t="s">
        <v>316</v>
      </c>
      <c r="E6" s="736" t="s">
        <v>317</v>
      </c>
      <c r="F6" s="384" t="s">
        <v>318</v>
      </c>
      <c r="G6" s="59"/>
      <c r="H6" s="105" t="str">
        <f>'Conversions and Upgrades'!T10</f>
        <v>ALL HEATING ZONES</v>
      </c>
      <c r="I6" s="106" t="str">
        <f>'Conversions and Upgrades'!U10</f>
        <v>SHIPMENTS</v>
      </c>
      <c r="J6" s="106">
        <f>'Conversions and Upgrades'!V10</f>
        <v>2010</v>
      </c>
      <c r="K6" s="106">
        <f>'Conversions and Upgrades'!W10</f>
        <v>2011</v>
      </c>
      <c r="L6" s="106">
        <f>'Conversions and Upgrades'!X10</f>
        <v>2012</v>
      </c>
      <c r="M6" s="106">
        <f>'Conversions and Upgrades'!Y10</f>
        <v>2013</v>
      </c>
      <c r="N6" s="111">
        <f>'Conversions and Upgrades'!Z10</f>
        <v>2014</v>
      </c>
      <c r="O6" s="59"/>
      <c r="P6" s="179" t="s">
        <v>301</v>
      </c>
      <c r="Q6" s="152" t="s">
        <v>310</v>
      </c>
      <c r="R6" s="157">
        <v>2010</v>
      </c>
      <c r="S6" s="157">
        <v>2011</v>
      </c>
      <c r="T6" s="157">
        <v>2012</v>
      </c>
      <c r="U6" s="157">
        <v>2013</v>
      </c>
      <c r="V6" s="180">
        <v>2014</v>
      </c>
      <c r="W6" s="59"/>
      <c r="X6" s="840" t="s">
        <v>319</v>
      </c>
      <c r="Y6" s="841"/>
      <c r="Z6" s="157">
        <v>2010</v>
      </c>
      <c r="AA6" s="157">
        <v>2011</v>
      </c>
      <c r="AB6" s="157">
        <v>2012</v>
      </c>
      <c r="AC6" s="157">
        <v>2013</v>
      </c>
      <c r="AD6" s="180">
        <v>2014</v>
      </c>
    </row>
    <row r="7" spans="2:30" ht="15" customHeight="1" thickBot="1">
      <c r="B7" s="179" t="s">
        <v>320</v>
      </c>
      <c r="C7" s="716">
        <f>'SEEM Data'!$D$12</f>
        <v>12306.0977549107</v>
      </c>
      <c r="D7" s="716">
        <f>'SEEM Data'!$D$13</f>
        <v>15104.636883323255</v>
      </c>
      <c r="E7" s="716">
        <f>'SEEM Data'!$D$14</f>
        <v>20425.5725291778</v>
      </c>
      <c r="F7" s="737">
        <f>'SEEM Data'!$D$15</f>
        <v>13982.756857398494</v>
      </c>
      <c r="G7" s="59"/>
      <c r="H7" s="107" t="str">
        <f>'Conversions and Upgrades'!T11</f>
        <v>Air Source Heat Pump</v>
      </c>
      <c r="I7" s="108" t="str">
        <f>'Conversions and Upgrades'!U11</f>
        <v>Total Shipments - Conversions</v>
      </c>
      <c r="J7" s="130">
        <f aca="true" t="shared" si="0" ref="J7:N8">J30*J$9</f>
        <v>3351.4288355257886</v>
      </c>
      <c r="K7" s="130">
        <f ca="1" t="shared" si="0"/>
        <v>5126.550419509367</v>
      </c>
      <c r="L7" s="130">
        <f ca="1" t="shared" si="0"/>
        <v>6099.69478742519</v>
      </c>
      <c r="M7" s="130">
        <f ca="1" t="shared" si="0"/>
        <v>6209.67615178077</v>
      </c>
      <c r="N7" s="131">
        <f ca="1" t="shared" si="0"/>
        <v>6070.729167527869</v>
      </c>
      <c r="O7" s="59"/>
      <c r="P7" s="163" t="s">
        <v>130</v>
      </c>
      <c r="Q7" s="154" t="s">
        <v>129</v>
      </c>
      <c r="R7" s="159">
        <v>0.85</v>
      </c>
      <c r="S7" s="159">
        <v>0.85</v>
      </c>
      <c r="T7" s="159">
        <v>0.85</v>
      </c>
      <c r="U7" s="159">
        <v>0.85</v>
      </c>
      <c r="V7" s="181">
        <v>0.85</v>
      </c>
      <c r="W7" s="59"/>
      <c r="X7" s="842" t="s">
        <v>323</v>
      </c>
      <c r="Y7" s="843"/>
      <c r="Z7" s="136">
        <v>10997.2149989483</v>
      </c>
      <c r="AA7" s="136">
        <v>14077.291494792247</v>
      </c>
      <c r="AB7" s="136">
        <v>12143.294580602786</v>
      </c>
      <c r="AC7" s="136">
        <v>12887.70380193404</v>
      </c>
      <c r="AD7" s="137">
        <v>9800.231371121616</v>
      </c>
    </row>
    <row r="8" spans="2:23" ht="15" customHeight="1">
      <c r="B8" s="738" t="s">
        <v>476</v>
      </c>
      <c r="C8" s="716">
        <f>'SEEM Data'!$E$12</f>
        <v>6719.5301746105215</v>
      </c>
      <c r="D8" s="716">
        <f>'SEEM Data'!$E$13</f>
        <v>9850.515923716473</v>
      </c>
      <c r="E8" s="716">
        <f>'SEEM Data'!$E$14</f>
        <v>11709.164888940815</v>
      </c>
      <c r="F8" s="737">
        <f>'SEEM Data'!$E$15</f>
        <v>8179.691795082415</v>
      </c>
      <c r="G8" s="59"/>
      <c r="H8" s="107" t="str">
        <f>'Conversions and Upgrades'!T12</f>
        <v>Air Source Heat Pump</v>
      </c>
      <c r="I8" s="108" t="str">
        <f>'Conversions and Upgrades'!U12</f>
        <v>Total Shipments - Upgrades</v>
      </c>
      <c r="J8" s="130">
        <f ca="1" t="shared" si="0"/>
        <v>30452.89733187101</v>
      </c>
      <c r="K8" s="130">
        <f ca="1" t="shared" si="0"/>
        <v>31529.4884864472</v>
      </c>
      <c r="L8" s="130">
        <f ca="1" t="shared" si="0"/>
        <v>32925.02996020787</v>
      </c>
      <c r="M8" s="130">
        <f ca="1" t="shared" si="0"/>
        <v>34203.05305085231</v>
      </c>
      <c r="N8" s="131">
        <f ca="1" t="shared" si="0"/>
        <v>34799.92799941941</v>
      </c>
      <c r="O8" s="59"/>
      <c r="P8" s="163" t="s">
        <v>56</v>
      </c>
      <c r="Q8" s="154" t="s">
        <v>302</v>
      </c>
      <c r="R8" s="159">
        <v>0</v>
      </c>
      <c r="S8" s="159">
        <v>0</v>
      </c>
      <c r="T8" s="159">
        <v>0</v>
      </c>
      <c r="U8" s="159">
        <v>0</v>
      </c>
      <c r="V8" s="181">
        <v>0</v>
      </c>
      <c r="W8" s="59"/>
    </row>
    <row r="9" spans="2:30" ht="15.75" thickBot="1">
      <c r="B9" s="738" t="s">
        <v>477</v>
      </c>
      <c r="C9" s="716">
        <f>'SEEM Data'!$F$12</f>
        <v>6306.688804753517</v>
      </c>
      <c r="D9" s="716">
        <f>'SEEM Data'!$F$13</f>
        <v>9391.199138222692</v>
      </c>
      <c r="E9" s="716">
        <f>'SEEM Data'!$F$14</f>
        <v>11244.197535714791</v>
      </c>
      <c r="F9" s="737">
        <f>'SEEM Data'!$F$15</f>
        <v>7747.403498293496</v>
      </c>
      <c r="G9" s="59"/>
      <c r="H9" s="109"/>
      <c r="I9" s="110" t="s">
        <v>1</v>
      </c>
      <c r="J9" s="132">
        <f ca="1">'Conversions and Upgrades'!V13</f>
        <v>33804.32616739679</v>
      </c>
      <c r="K9" s="132">
        <f ca="1">'Conversions and Upgrades'!W13</f>
        <v>36656.038905956564</v>
      </c>
      <c r="L9" s="132">
        <f ca="1">'Conversions and Upgrades'!X13</f>
        <v>39024.72474763306</v>
      </c>
      <c r="M9" s="132">
        <f ca="1">'Conversions and Upgrades'!Y13</f>
        <v>40412.729202633076</v>
      </c>
      <c r="N9" s="133">
        <f ca="1">'Conversions and Upgrades'!Z13</f>
        <v>40870.657166947276</v>
      </c>
      <c r="O9" s="59"/>
      <c r="P9" s="163" t="s">
        <v>56</v>
      </c>
      <c r="Q9" s="154" t="s">
        <v>303</v>
      </c>
      <c r="R9" s="159">
        <v>0.1</v>
      </c>
      <c r="S9" s="159">
        <v>0.1</v>
      </c>
      <c r="T9" s="159">
        <v>0.1</v>
      </c>
      <c r="U9" s="159">
        <v>0.1</v>
      </c>
      <c r="V9" s="181">
        <v>0.1</v>
      </c>
      <c r="W9" s="59"/>
      <c r="X9" s="59"/>
      <c r="Y9" s="59"/>
      <c r="Z9" s="59"/>
      <c r="AA9" s="59"/>
      <c r="AB9" s="59"/>
      <c r="AC9" s="59"/>
      <c r="AD9" s="59"/>
    </row>
    <row r="10" spans="2:30" ht="15" customHeight="1" thickBot="1">
      <c r="B10" s="738" t="s">
        <v>478</v>
      </c>
      <c r="C10" s="716">
        <f>'SEEM Data'!$G$12</f>
        <v>6143.802959027851</v>
      </c>
      <c r="D10" s="716">
        <f>'SEEM Data'!$G$13</f>
        <v>9241.48908834041</v>
      </c>
      <c r="E10" s="716">
        <f>'SEEM Data'!$G$14</f>
        <v>11098.548337929898</v>
      </c>
      <c r="F10" s="737">
        <f>'SEEM Data'!$G$15</f>
        <v>7590.280498808534</v>
      </c>
      <c r="G10" s="59"/>
      <c r="H10" s="99"/>
      <c r="I10" s="100"/>
      <c r="J10" s="100"/>
      <c r="K10" s="100"/>
      <c r="L10" s="100"/>
      <c r="M10" s="100"/>
      <c r="N10" s="101"/>
      <c r="O10" s="59"/>
      <c r="P10" s="163" t="s">
        <v>56</v>
      </c>
      <c r="Q10" s="154" t="s">
        <v>304</v>
      </c>
      <c r="R10" s="159">
        <v>0.05</v>
      </c>
      <c r="S10" s="159">
        <v>0.05</v>
      </c>
      <c r="T10" s="159">
        <v>0.05</v>
      </c>
      <c r="U10" s="159">
        <v>0.05</v>
      </c>
      <c r="V10" s="181">
        <v>0.05</v>
      </c>
      <c r="W10" s="59"/>
      <c r="X10" s="59"/>
      <c r="Y10" s="59"/>
      <c r="Z10" s="59"/>
      <c r="AA10" s="59"/>
      <c r="AB10" s="59"/>
      <c r="AC10" s="59"/>
      <c r="AD10" s="59"/>
    </row>
    <row r="11" spans="2:30" ht="15.75" customHeight="1">
      <c r="B11" s="738" t="s">
        <v>479</v>
      </c>
      <c r="C11" s="716">
        <f>'SEEM Data'!$H$12</f>
        <v>5983.985086465105</v>
      </c>
      <c r="D11" s="716">
        <f>'SEEM Data'!$H$13</f>
        <v>9100.568048729368</v>
      </c>
      <c r="E11" s="716">
        <f>'SEEM Data'!$H$14</f>
        <v>10965.159097238125</v>
      </c>
      <c r="F11" s="737">
        <f>'SEEM Data'!$H$15</f>
        <v>7438.901116674833</v>
      </c>
      <c r="G11" s="59"/>
      <c r="H11" s="112" t="str">
        <f>'Conversions and Upgrades'!T15</f>
        <v>Electric Forced Air Furnace</v>
      </c>
      <c r="I11" s="113" t="str">
        <f>'Conversions and Upgrades'!U15</f>
        <v>Qty Converted to ASHP</v>
      </c>
      <c r="J11" s="134">
        <f ca="1">J7</f>
        <v>3351.4288355257886</v>
      </c>
      <c r="K11" s="134">
        <f ca="1">K7</f>
        <v>5126.550419509367</v>
      </c>
      <c r="L11" s="134">
        <f ca="1">L7</f>
        <v>6099.69478742519</v>
      </c>
      <c r="M11" s="134">
        <f ca="1">M7</f>
        <v>6209.67615178077</v>
      </c>
      <c r="N11" s="135">
        <f ca="1">N7</f>
        <v>6070.729167527869</v>
      </c>
      <c r="O11" s="59"/>
      <c r="P11" s="163" t="s">
        <v>56</v>
      </c>
      <c r="Q11" s="154" t="s">
        <v>305</v>
      </c>
      <c r="R11" s="159">
        <v>0</v>
      </c>
      <c r="S11" s="159">
        <v>0</v>
      </c>
      <c r="T11" s="159">
        <v>0</v>
      </c>
      <c r="U11" s="159">
        <v>0</v>
      </c>
      <c r="V11" s="181">
        <v>0</v>
      </c>
      <c r="W11" s="59"/>
      <c r="X11" s="59"/>
      <c r="Y11" s="59"/>
      <c r="Z11" s="59"/>
      <c r="AA11" s="59"/>
      <c r="AB11" s="59"/>
      <c r="AC11" s="59"/>
      <c r="AD11" s="59"/>
    </row>
    <row r="12" spans="2:30" ht="15.75" customHeight="1">
      <c r="B12" s="738" t="s">
        <v>480</v>
      </c>
      <c r="C12" s="716">
        <f>'SEEM Data'!$I$12</f>
        <v>5827.029217391605</v>
      </c>
      <c r="D12" s="716">
        <f>'SEEM Data'!$I$13</f>
        <v>8967.34559489269</v>
      </c>
      <c r="E12" s="716">
        <f>'SEEM Data'!$I$14</f>
        <v>10843.19952019437</v>
      </c>
      <c r="F12" s="737">
        <f>'SEEM Data'!$I$15</f>
        <v>7292.726621991201</v>
      </c>
      <c r="G12" s="59"/>
      <c r="H12" s="107" t="str">
        <f>'Conversions and Upgrades'!T16</f>
        <v>Electric Forced Air Furnace</v>
      </c>
      <c r="I12" s="108" t="str">
        <f>'Conversions and Upgrades'!U16</f>
        <v>Qty Converted to Gas FAF</v>
      </c>
      <c r="J12" s="130">
        <f ca="1">'Conversions and Upgrades'!V16</f>
        <v>9053.793443273047</v>
      </c>
      <c r="K12" s="130">
        <f ca="1">'Conversions and Upgrades'!W16</f>
        <v>8237.809751004574</v>
      </c>
      <c r="L12" s="130">
        <f ca="1">'Conversions and Upgrades'!X16</f>
        <v>8006.052533691164</v>
      </c>
      <c r="M12" s="130">
        <f ca="1">'Conversions and Upgrades'!Y16</f>
        <v>8311.19066656843</v>
      </c>
      <c r="N12" s="131">
        <f ca="1">'Conversions and Upgrades'!Z16</f>
        <v>8756.480042509374</v>
      </c>
      <c r="O12" s="59"/>
      <c r="P12" s="163" t="s">
        <v>56</v>
      </c>
      <c r="Q12" s="154" t="s">
        <v>306</v>
      </c>
      <c r="R12" s="159">
        <v>0</v>
      </c>
      <c r="S12" s="159">
        <v>0</v>
      </c>
      <c r="T12" s="159">
        <v>0</v>
      </c>
      <c r="U12" s="159">
        <v>0</v>
      </c>
      <c r="V12" s="181">
        <v>0</v>
      </c>
      <c r="W12" s="59"/>
      <c r="X12" s="59"/>
      <c r="Y12" s="59"/>
      <c r="Z12" s="59"/>
      <c r="AA12" s="59"/>
      <c r="AB12" s="59"/>
      <c r="AC12" s="59"/>
      <c r="AD12" s="59"/>
    </row>
    <row r="13" spans="2:30" ht="15.75" customHeight="1" thickBot="1">
      <c r="B13" s="738" t="s">
        <v>481</v>
      </c>
      <c r="C13" s="716">
        <f>'SEEM Data'!$J$12</f>
        <v>5672.644587446802</v>
      </c>
      <c r="D13" s="716">
        <f>'SEEM Data'!$J$13</f>
        <v>8841.464316958216</v>
      </c>
      <c r="E13" s="716">
        <f>'SEEM Data'!$J$14</f>
        <v>10730.409518593187</v>
      </c>
      <c r="F13" s="737">
        <f>'SEEM Data'!$J$15</f>
        <v>7151.246020916917</v>
      </c>
      <c r="G13" s="59"/>
      <c r="H13" s="114" t="str">
        <f>'Conversions and Upgrades'!T17</f>
        <v>Electric Forced Air Furnace</v>
      </c>
      <c r="I13" s="115" t="str">
        <f>'Conversions and Upgrades'!U17</f>
        <v>Qty Remaining Electric FAF</v>
      </c>
      <c r="J13" s="136">
        <f ca="1">J14-J11</f>
        <v>5539.487669420487</v>
      </c>
      <c r="K13" s="136">
        <f ca="1">K14-K11</f>
        <v>6689.651688605543</v>
      </c>
      <c r="L13" s="136">
        <f ca="1">L14-L11</f>
        <v>5972.044333324912</v>
      </c>
      <c r="M13" s="136">
        <f ca="1">M14-M11</f>
        <v>6640.471753673917</v>
      </c>
      <c r="N13" s="137">
        <f ca="1">N14-N11</f>
        <v>6641.5058602513445</v>
      </c>
      <c r="O13" s="59"/>
      <c r="P13" s="163" t="s">
        <v>56</v>
      </c>
      <c r="Q13" s="154" t="s">
        <v>307</v>
      </c>
      <c r="R13" s="159">
        <v>0</v>
      </c>
      <c r="S13" s="159">
        <v>0</v>
      </c>
      <c r="T13" s="159">
        <v>0</v>
      </c>
      <c r="U13" s="159">
        <v>0</v>
      </c>
      <c r="V13" s="181">
        <v>0</v>
      </c>
      <c r="W13" s="59"/>
      <c r="X13" s="59"/>
      <c r="Y13" s="59"/>
      <c r="Z13" s="59"/>
      <c r="AA13" s="59"/>
      <c r="AB13" s="59"/>
      <c r="AC13" s="59"/>
      <c r="AD13" s="59"/>
    </row>
    <row r="14" spans="2:30" ht="15.75" thickBot="1">
      <c r="B14" s="739" t="s">
        <v>482</v>
      </c>
      <c r="C14" s="397">
        <f>'SEEM Data'!$K$12</f>
        <v>5370.625805761276</v>
      </c>
      <c r="D14" s="397">
        <f>'SEEM Data'!$K$13</f>
        <v>8609.110604302092</v>
      </c>
      <c r="E14" s="397">
        <f>'SEEM Data'!$K$14</f>
        <v>10529.579155605054</v>
      </c>
      <c r="F14" s="170">
        <f>'SEEM Data'!$K$15</f>
        <v>6880.7179626614015</v>
      </c>
      <c r="G14" s="59"/>
      <c r="H14" s="112"/>
      <c r="I14" s="116" t="str">
        <f>'Conversions and Upgrades'!U18</f>
        <v>Total E-FAF natural replacement market size not converted to gas</v>
      </c>
      <c r="J14" s="138">
        <f ca="1">'Conversions and Upgrades'!V18</f>
        <v>8890.916504946275</v>
      </c>
      <c r="K14" s="138">
        <f ca="1">'Conversions and Upgrades'!W18</f>
        <v>11816.20210811491</v>
      </c>
      <c r="L14" s="138">
        <f ca="1">'Conversions and Upgrades'!X18</f>
        <v>12071.739120750102</v>
      </c>
      <c r="M14" s="138">
        <f ca="1">'Conversions and Upgrades'!Y18</f>
        <v>12850.147905454687</v>
      </c>
      <c r="N14" s="139">
        <f ca="1">'Conversions and Upgrades'!Z18</f>
        <v>12712.235027779214</v>
      </c>
      <c r="O14" s="59"/>
      <c r="P14" s="182" t="s">
        <v>56</v>
      </c>
      <c r="Q14" s="183" t="s">
        <v>308</v>
      </c>
      <c r="R14" s="184">
        <v>0</v>
      </c>
      <c r="S14" s="184">
        <v>0</v>
      </c>
      <c r="T14" s="184">
        <v>0</v>
      </c>
      <c r="U14" s="184">
        <v>0</v>
      </c>
      <c r="V14" s="185">
        <v>0</v>
      </c>
      <c r="W14" s="59"/>
      <c r="X14" s="59"/>
      <c r="Y14" s="59"/>
      <c r="Z14" s="59"/>
      <c r="AA14" s="59"/>
      <c r="AB14" s="59"/>
      <c r="AC14" s="59"/>
      <c r="AD14" s="59"/>
    </row>
    <row r="15" spans="2:30" ht="15.75" thickBot="1">
      <c r="B15" s="59"/>
      <c r="C15" s="59"/>
      <c r="D15" s="59"/>
      <c r="E15" s="59"/>
      <c r="F15" s="59"/>
      <c r="G15" s="59"/>
      <c r="H15" s="117"/>
      <c r="I15" s="118" t="str">
        <f>'Conversions and Upgrades'!U19</f>
        <v>Total E-FAF natural replacement market size</v>
      </c>
      <c r="J15" s="132">
        <f ca="1">'Conversions and Upgrades'!V19</f>
        <v>17944.709948219323</v>
      </c>
      <c r="K15" s="132">
        <f ca="1">'Conversions and Upgrades'!W19</f>
        <v>20054.011859119484</v>
      </c>
      <c r="L15" s="132">
        <f ca="1">'Conversions and Upgrades'!X19</f>
        <v>20077.791654441266</v>
      </c>
      <c r="M15" s="132">
        <f ca="1">'Conversions and Upgrades'!Y19</f>
        <v>21161.338572023116</v>
      </c>
      <c r="N15" s="133">
        <f ca="1">'Conversions and Upgrades'!Z19</f>
        <v>21468.71507028859</v>
      </c>
      <c r="O15" s="59"/>
      <c r="P15" s="59"/>
      <c r="Q15" s="59"/>
      <c r="R15" s="59"/>
      <c r="S15" s="59"/>
      <c r="T15" s="59"/>
      <c r="U15" s="59"/>
      <c r="V15" s="59"/>
      <c r="W15" s="59"/>
      <c r="X15" s="59"/>
      <c r="Y15" s="59"/>
      <c r="Z15" s="59"/>
      <c r="AA15" s="59"/>
      <c r="AB15" s="59"/>
      <c r="AC15" s="59"/>
      <c r="AD15" s="59"/>
    </row>
    <row r="16" spans="2:30" ht="15.75" thickBot="1">
      <c r="B16" s="440" t="s">
        <v>324</v>
      </c>
      <c r="C16" s="441"/>
      <c r="D16" s="441"/>
      <c r="E16" s="441"/>
      <c r="F16" s="442"/>
      <c r="G16" s="59"/>
      <c r="I16" s="62"/>
      <c r="O16" s="59"/>
      <c r="P16" s="443" t="s">
        <v>452</v>
      </c>
      <c r="Q16" s="444"/>
      <c r="R16" s="444"/>
      <c r="S16" s="444"/>
      <c r="T16" s="444"/>
      <c r="U16" s="444"/>
      <c r="V16" s="445"/>
      <c r="W16" s="59"/>
      <c r="X16" s="59"/>
      <c r="Y16" s="59"/>
      <c r="Z16" s="59"/>
      <c r="AA16" s="59"/>
      <c r="AB16" s="59"/>
      <c r="AC16" s="59"/>
      <c r="AD16" s="59"/>
    </row>
    <row r="17" spans="2:30" ht="15.75" thickBot="1">
      <c r="B17" s="119" t="s">
        <v>314</v>
      </c>
      <c r="C17" s="120">
        <v>1</v>
      </c>
      <c r="D17" s="120">
        <v>2</v>
      </c>
      <c r="E17" s="120">
        <v>3</v>
      </c>
      <c r="F17" s="121" t="s">
        <v>318</v>
      </c>
      <c r="G17" s="59"/>
      <c r="H17" s="102" t="str">
        <f>'Conversions and Upgrades'!T21</f>
        <v>Manufactured Homes</v>
      </c>
      <c r="I17" s="103"/>
      <c r="J17" s="103"/>
      <c r="K17" s="103"/>
      <c r="L17" s="103"/>
      <c r="M17" s="103"/>
      <c r="N17" s="104"/>
      <c r="O17" s="59"/>
      <c r="P17" s="179" t="s">
        <v>301</v>
      </c>
      <c r="Q17" s="152" t="s">
        <v>310</v>
      </c>
      <c r="R17" s="157">
        <v>2010</v>
      </c>
      <c r="S17" s="157">
        <v>2011</v>
      </c>
      <c r="T17" s="157">
        <v>2012</v>
      </c>
      <c r="U17" s="157">
        <v>2013</v>
      </c>
      <c r="V17" s="180">
        <v>2014</v>
      </c>
      <c r="W17" s="59"/>
      <c r="X17" s="59"/>
      <c r="Y17" s="59"/>
      <c r="Z17" s="59"/>
      <c r="AA17" s="59"/>
      <c r="AB17" s="59"/>
      <c r="AC17" s="59"/>
      <c r="AD17" s="59"/>
    </row>
    <row r="18" spans="2:30" ht="12.75">
      <c r="B18" s="122" t="s">
        <v>320</v>
      </c>
      <c r="C18" s="148"/>
      <c r="D18" s="148"/>
      <c r="E18" s="148"/>
      <c r="F18" s="149"/>
      <c r="G18" s="59"/>
      <c r="H18" s="105" t="str">
        <f>'Conversions and Upgrades'!T22</f>
        <v>ALL HEATING ZONES</v>
      </c>
      <c r="I18" s="106" t="str">
        <f>'Conversions and Upgrades'!U22</f>
        <v>SHIPMENTS</v>
      </c>
      <c r="J18" s="106">
        <f>'Conversions and Upgrades'!V22</f>
        <v>2010</v>
      </c>
      <c r="K18" s="106">
        <f>'Conversions and Upgrades'!W22</f>
        <v>2011</v>
      </c>
      <c r="L18" s="106">
        <f>'Conversions and Upgrades'!X22</f>
        <v>2012</v>
      </c>
      <c r="M18" s="106">
        <f>'Conversions and Upgrades'!Y22</f>
        <v>2013</v>
      </c>
      <c r="N18" s="111">
        <f>'Conversions and Upgrades'!Z22</f>
        <v>2014</v>
      </c>
      <c r="O18" s="59"/>
      <c r="P18" s="163" t="s">
        <v>130</v>
      </c>
      <c r="Q18" s="154" t="s">
        <v>129</v>
      </c>
      <c r="R18" s="159">
        <v>0</v>
      </c>
      <c r="S18" s="159">
        <v>0</v>
      </c>
      <c r="T18" s="159">
        <v>0</v>
      </c>
      <c r="U18" s="159">
        <v>0</v>
      </c>
      <c r="V18" s="181">
        <v>0</v>
      </c>
      <c r="W18" s="59"/>
      <c r="X18" s="59"/>
      <c r="Y18" s="59"/>
      <c r="Z18" s="59"/>
      <c r="AA18" s="59"/>
      <c r="AB18" s="59"/>
      <c r="AC18" s="59"/>
      <c r="AD18" s="59"/>
    </row>
    <row r="19" spans="2:30" ht="12.75">
      <c r="B19" s="738" t="s">
        <v>476</v>
      </c>
      <c r="C19" s="148">
        <f>'SEEM Data'!$D$5</f>
        <v>6200.367132151794</v>
      </c>
      <c r="D19" s="148">
        <f>'SEEM Data'!$D$6</f>
        <v>8998.262122749478</v>
      </c>
      <c r="E19" s="148">
        <f>'SEEM Data'!$D$7</f>
        <v>10479.557193096814</v>
      </c>
      <c r="F19" s="149">
        <f>'SEEM Data'!$D$8</f>
        <v>7486.9534298917</v>
      </c>
      <c r="G19" s="59"/>
      <c r="H19" s="107" t="str">
        <f>'Conversions and Upgrades'!T23</f>
        <v>Air Source Heat Pump</v>
      </c>
      <c r="I19" s="108" t="str">
        <f>'Conversions and Upgrades'!U23</f>
        <v>Total Shipments - Conversions</v>
      </c>
      <c r="J19" s="140">
        <f aca="true" t="shared" si="1" ref="J19:N20">J33*J$21</f>
        <v>3152.673903184047</v>
      </c>
      <c r="K19" s="140">
        <f ca="1" t="shared" si="1"/>
        <v>3096.6101365489203</v>
      </c>
      <c r="L19" s="140">
        <f ca="1" t="shared" si="1"/>
        <v>2997.6638806019687</v>
      </c>
      <c r="M19" s="140">
        <f ca="1" t="shared" si="1"/>
        <v>2879.2807059480183</v>
      </c>
      <c r="N19" s="141">
        <f ca="1" t="shared" si="1"/>
        <v>2734.180917624275</v>
      </c>
      <c r="O19" s="59"/>
      <c r="P19" s="163" t="s">
        <v>56</v>
      </c>
      <c r="Q19" s="154" t="s">
        <v>302</v>
      </c>
      <c r="R19" s="159">
        <v>0.85</v>
      </c>
      <c r="S19" s="159">
        <v>0.85</v>
      </c>
      <c r="T19" s="159">
        <v>0.85</v>
      </c>
      <c r="U19" s="159">
        <v>0.85</v>
      </c>
      <c r="V19" s="181">
        <v>0.85</v>
      </c>
      <c r="W19" s="59"/>
      <c r="X19" s="59"/>
      <c r="Y19" s="59"/>
      <c r="Z19" s="59"/>
      <c r="AA19" s="59"/>
      <c r="AB19" s="59"/>
      <c r="AC19" s="59"/>
      <c r="AD19" s="59"/>
    </row>
    <row r="20" spans="2:30" ht="12.75">
      <c r="B20" s="738" t="s">
        <v>477</v>
      </c>
      <c r="C20" s="148">
        <f>'SEEM Data'!$E$5</f>
        <v>5843.013131457863</v>
      </c>
      <c r="D20" s="148">
        <f>'SEEM Data'!$E$6</f>
        <v>8627.345700158989</v>
      </c>
      <c r="E20" s="148">
        <f>'SEEM Data'!$E$7</f>
        <v>10136.329446795435</v>
      </c>
      <c r="F20" s="149">
        <f>'SEEM Data'!$E$8</f>
        <v>7126.902879827503</v>
      </c>
      <c r="G20" s="59"/>
      <c r="H20" s="107" t="str">
        <f>'Conversions and Upgrades'!T24</f>
        <v>Air Source Heat Pump</v>
      </c>
      <c r="I20" s="108" t="str">
        <f>'Conversions and Upgrades'!U24</f>
        <v>Total Shipments - Upgrades</v>
      </c>
      <c r="J20" s="140">
        <f ca="1" t="shared" si="1"/>
        <v>2825.272219541211</v>
      </c>
      <c r="K20" s="140">
        <f ca="1" t="shared" si="1"/>
        <v>3049.5538933445946</v>
      </c>
      <c r="L20" s="140">
        <f ca="1" t="shared" si="1"/>
        <v>3290.598986047749</v>
      </c>
      <c r="M20" s="140">
        <f ca="1" t="shared" si="1"/>
        <v>3614.4176303164445</v>
      </c>
      <c r="N20" s="141">
        <f ca="1" t="shared" si="1"/>
        <v>3828.2665533557542</v>
      </c>
      <c r="O20" s="59"/>
      <c r="P20" s="163" t="s">
        <v>56</v>
      </c>
      <c r="Q20" s="154" t="s">
        <v>303</v>
      </c>
      <c r="R20" s="159">
        <v>0.1</v>
      </c>
      <c r="S20" s="159">
        <v>0.1</v>
      </c>
      <c r="T20" s="159">
        <v>0.1</v>
      </c>
      <c r="U20" s="159">
        <v>0.1</v>
      </c>
      <c r="V20" s="181">
        <v>0.1</v>
      </c>
      <c r="W20" s="59"/>
      <c r="X20" s="59"/>
      <c r="Y20" s="59"/>
      <c r="Z20" s="59"/>
      <c r="AA20" s="59"/>
      <c r="AB20" s="59"/>
      <c r="AC20" s="59"/>
      <c r="AD20" s="59"/>
    </row>
    <row r="21" spans="2:30" ht="15.75" thickBot="1">
      <c r="B21" s="738" t="s">
        <v>478</v>
      </c>
      <c r="C21" s="148">
        <f>'SEEM Data'!$F$5</f>
        <v>5705.630986112718</v>
      </c>
      <c r="D21" s="148">
        <f>'SEEM Data'!$F$6</f>
        <v>8515.209840924306</v>
      </c>
      <c r="E21" s="148">
        <f>'SEEM Data'!$F$7</f>
        <v>10043.78166085074</v>
      </c>
      <c r="F21" s="149">
        <f>'SEEM Data'!$F$8</f>
        <v>7001.761670292697</v>
      </c>
      <c r="G21" s="59"/>
      <c r="H21" s="109"/>
      <c r="I21" s="124" t="s">
        <v>1</v>
      </c>
      <c r="J21" s="142">
        <f ca="1">'Conversions and Upgrades'!V25</f>
        <v>5977.946122725258</v>
      </c>
      <c r="K21" s="142">
        <f ca="1">'Conversions and Upgrades'!W25</f>
        <v>6146.164029893514</v>
      </c>
      <c r="L21" s="142">
        <f ca="1">'Conversions and Upgrades'!X25</f>
        <v>6288.262866649718</v>
      </c>
      <c r="M21" s="142">
        <f ca="1">'Conversions and Upgrades'!Y25</f>
        <v>6493.698336264462</v>
      </c>
      <c r="N21" s="143">
        <f ca="1">'Conversions and Upgrades'!Z25</f>
        <v>6562.447470980029</v>
      </c>
      <c r="O21" s="59"/>
      <c r="P21" s="163" t="s">
        <v>56</v>
      </c>
      <c r="Q21" s="154" t="s">
        <v>304</v>
      </c>
      <c r="R21" s="159">
        <v>0.05</v>
      </c>
      <c r="S21" s="159">
        <v>0.05</v>
      </c>
      <c r="T21" s="159">
        <v>0.05</v>
      </c>
      <c r="U21" s="159">
        <v>0.05</v>
      </c>
      <c r="V21" s="181">
        <v>0.05</v>
      </c>
      <c r="W21" s="59"/>
      <c r="X21" s="59"/>
      <c r="Y21" s="59"/>
      <c r="Z21" s="59"/>
      <c r="AA21" s="59"/>
      <c r="AB21" s="59"/>
      <c r="AC21" s="59"/>
      <c r="AD21" s="59"/>
    </row>
    <row r="22" spans="2:30" ht="15.75" thickBot="1">
      <c r="B22" s="738" t="s">
        <v>479</v>
      </c>
      <c r="C22" s="148">
        <f>'SEEM Data'!$G$5</f>
        <v>5570.722234906453</v>
      </c>
      <c r="D22" s="148">
        <f>'SEEM Data'!$G$6</f>
        <v>8409.01485044885</v>
      </c>
      <c r="E22" s="148">
        <f>'SEEM Data'!$G$7</f>
        <v>9958.184479976993</v>
      </c>
      <c r="F22" s="149">
        <f>'SEEM Data'!$G$8</f>
        <v>6880.604477718405</v>
      </c>
      <c r="G22" s="59"/>
      <c r="H22" s="99"/>
      <c r="I22" s="100"/>
      <c r="J22" s="100"/>
      <c r="K22" s="100"/>
      <c r="L22" s="100"/>
      <c r="M22" s="100"/>
      <c r="N22" s="101"/>
      <c r="O22" s="59"/>
      <c r="P22" s="163" t="s">
        <v>56</v>
      </c>
      <c r="Q22" s="154" t="s">
        <v>305</v>
      </c>
      <c r="R22" s="159">
        <v>0</v>
      </c>
      <c r="S22" s="159">
        <v>0</v>
      </c>
      <c r="T22" s="159">
        <v>0</v>
      </c>
      <c r="U22" s="159">
        <v>0</v>
      </c>
      <c r="V22" s="181">
        <v>0</v>
      </c>
      <c r="W22" s="59"/>
      <c r="X22" s="59"/>
      <c r="Y22" s="59"/>
      <c r="Z22" s="59"/>
      <c r="AA22" s="59"/>
      <c r="AB22" s="59"/>
      <c r="AC22" s="59"/>
      <c r="AD22" s="59"/>
    </row>
    <row r="23" spans="2:30" ht="12.75">
      <c r="B23" s="738" t="s">
        <v>480</v>
      </c>
      <c r="C23" s="148">
        <f>'SEEM Data'!$H$5</f>
        <v>5438.103398324993</v>
      </c>
      <c r="D23" s="148">
        <f>'SEEM Data'!$H$6</f>
        <v>8309.01949662702</v>
      </c>
      <c r="E23" s="148">
        <f>'SEEM Data'!$H$7</f>
        <v>9880.204455520752</v>
      </c>
      <c r="F23" s="149">
        <f>'SEEM Data'!$H$8</f>
        <v>6763.468814782032</v>
      </c>
      <c r="G23" s="59"/>
      <c r="H23" s="112" t="str">
        <f>'Conversions and Upgrades'!T27</f>
        <v>Electric Forced Air Furnace</v>
      </c>
      <c r="I23" s="113" t="str">
        <f>'Conversions and Upgrades'!U27</f>
        <v>Qty Converted to ASHP</v>
      </c>
      <c r="J23" s="134">
        <f ca="1">J19</f>
        <v>3152.673903184047</v>
      </c>
      <c r="K23" s="134">
        <f ca="1">K19</f>
        <v>3096.6101365489203</v>
      </c>
      <c r="L23" s="134">
        <f ca="1">L19</f>
        <v>2997.6638806019687</v>
      </c>
      <c r="M23" s="134">
        <f ca="1">M19</f>
        <v>2879.2807059480183</v>
      </c>
      <c r="N23" s="135">
        <f ca="1">N19</f>
        <v>2734.180917624275</v>
      </c>
      <c r="O23" s="59"/>
      <c r="P23" s="163" t="s">
        <v>56</v>
      </c>
      <c r="Q23" s="154" t="s">
        <v>306</v>
      </c>
      <c r="R23" s="159">
        <v>0</v>
      </c>
      <c r="S23" s="159">
        <v>0</v>
      </c>
      <c r="T23" s="159">
        <v>0</v>
      </c>
      <c r="U23" s="159">
        <v>0</v>
      </c>
      <c r="V23" s="181">
        <v>0</v>
      </c>
      <c r="W23" s="59"/>
      <c r="X23" s="59"/>
      <c r="Y23" s="59"/>
      <c r="Z23" s="59"/>
      <c r="AA23" s="59"/>
      <c r="AB23" s="59"/>
      <c r="AC23" s="59"/>
      <c r="AD23" s="59"/>
    </row>
    <row r="24" spans="2:30" ht="15">
      <c r="B24" s="738" t="s">
        <v>481</v>
      </c>
      <c r="C24" s="148">
        <f>'SEEM Data'!$I$5</f>
        <v>5307.672639920205</v>
      </c>
      <c r="D24" s="148">
        <f>'SEEM Data'!$I$6</f>
        <v>8214.944609655531</v>
      </c>
      <c r="E24" s="148">
        <f>'SEEM Data'!$I$7</f>
        <v>9810.042259021986</v>
      </c>
      <c r="F24" s="149">
        <f>'SEEM Data'!$I$8</f>
        <v>6650.229546347389</v>
      </c>
      <c r="G24" s="59"/>
      <c r="H24" s="107" t="str">
        <f>'Conversions and Upgrades'!T28</f>
        <v>Electric Forced Air Furnace</v>
      </c>
      <c r="I24" s="108" t="str">
        <f>'Conversions and Upgrades'!U28</f>
        <v>Qty Converted to Gas FAF</v>
      </c>
      <c r="J24" s="130">
        <f ca="1">'Conversions and Upgrades'!V28</f>
        <v>386.2807142381597</v>
      </c>
      <c r="K24" s="130">
        <f ca="1">'Conversions and Upgrades'!W28</f>
        <v>393.70718455400385</v>
      </c>
      <c r="L24" s="130">
        <f ca="1">'Conversions and Upgrades'!X28</f>
        <v>398.94668805638713</v>
      </c>
      <c r="M24" s="130">
        <f ca="1">'Conversions and Upgrades'!Y28</f>
        <v>402.69266957849527</v>
      </c>
      <c r="N24" s="131">
        <f ca="1">'Conversions and Upgrades'!Z28</f>
        <v>404.3727161260504</v>
      </c>
      <c r="P24" s="163" t="s">
        <v>56</v>
      </c>
      <c r="Q24" s="154" t="s">
        <v>307</v>
      </c>
      <c r="R24" s="159">
        <v>0</v>
      </c>
      <c r="S24" s="159">
        <v>0</v>
      </c>
      <c r="T24" s="159">
        <v>0</v>
      </c>
      <c r="U24" s="159">
        <v>0</v>
      </c>
      <c r="V24" s="181">
        <v>0</v>
      </c>
      <c r="W24" s="59"/>
      <c r="X24" s="59"/>
      <c r="Y24" s="59"/>
      <c r="Z24" s="59"/>
      <c r="AA24" s="59"/>
      <c r="AB24" s="59"/>
      <c r="AC24" s="59"/>
      <c r="AD24" s="59"/>
    </row>
    <row r="25" spans="2:30" ht="15.75" thickBot="1">
      <c r="B25" s="739" t="s">
        <v>482</v>
      </c>
      <c r="C25" s="150">
        <f>'SEEM Data'!$J$5</f>
        <v>5053.4899922699615</v>
      </c>
      <c r="D25" s="150">
        <f>'SEEM Data'!$J$6</f>
        <v>8045.377063623466</v>
      </c>
      <c r="E25" s="150">
        <f>'SEEM Data'!$J$7</f>
        <v>9691.244217088422</v>
      </c>
      <c r="F25" s="151">
        <f>'SEEM Data'!$J$8</f>
        <v>6435.56262565869</v>
      </c>
      <c r="G25" s="59"/>
      <c r="H25" s="125" t="str">
        <f>'Conversions and Upgrades'!T29</f>
        <v>Electric Forced Air Furnace</v>
      </c>
      <c r="I25" s="126" t="str">
        <f>'Conversions and Upgrades'!U29</f>
        <v>Qty Remaining Electric FAF</v>
      </c>
      <c r="J25" s="136">
        <f ca="1">J26-J23</f>
        <v>13702.971253634012</v>
      </c>
      <c r="K25" s="136">
        <f ca="1">K26-K23</f>
        <v>14642.761255842132</v>
      </c>
      <c r="L25" s="136">
        <f ca="1">L26-L23</f>
        <v>14491.622890686722</v>
      </c>
      <c r="M25" s="136">
        <f ca="1">M26-M23</f>
        <v>15343.652447239372</v>
      </c>
      <c r="N25" s="137">
        <f ca="1">N26-N23</f>
        <v>17058.072165497717</v>
      </c>
      <c r="P25" s="182" t="s">
        <v>56</v>
      </c>
      <c r="Q25" s="183" t="s">
        <v>308</v>
      </c>
      <c r="R25" s="184">
        <v>0</v>
      </c>
      <c r="S25" s="184">
        <v>0</v>
      </c>
      <c r="T25" s="184">
        <v>0</v>
      </c>
      <c r="U25" s="184">
        <v>0</v>
      </c>
      <c r="V25" s="185">
        <v>0</v>
      </c>
      <c r="W25" s="59"/>
      <c r="X25" s="59"/>
      <c r="Y25" s="59"/>
      <c r="Z25" s="59"/>
      <c r="AA25" s="59"/>
      <c r="AB25" s="59"/>
      <c r="AC25" s="59"/>
      <c r="AD25" s="59"/>
    </row>
    <row r="26" spans="2:23" ht="15.75" thickBot="1">
      <c r="B26" s="59"/>
      <c r="C26" s="59"/>
      <c r="D26" s="59"/>
      <c r="E26" s="59"/>
      <c r="F26" s="59"/>
      <c r="G26" s="59"/>
      <c r="H26" s="112"/>
      <c r="I26" s="116" t="str">
        <f>'Conversions and Upgrades'!U30</f>
        <v>Total E-FAF natural replacement market size not converted to gas</v>
      </c>
      <c r="J26" s="138">
        <f ca="1">'Conversions and Upgrades'!V30</f>
        <v>16855.64515681806</v>
      </c>
      <c r="K26" s="138">
        <f ca="1">'Conversions and Upgrades'!W30</f>
        <v>17739.37139239105</v>
      </c>
      <c r="L26" s="138">
        <f ca="1">'Conversions and Upgrades'!X30</f>
        <v>17489.28677128869</v>
      </c>
      <c r="M26" s="138">
        <f ca="1">'Conversions and Upgrades'!Y30</f>
        <v>18222.93315318739</v>
      </c>
      <c r="N26" s="139">
        <f ca="1">'Conversions and Upgrades'!Z30</f>
        <v>19792.253083121992</v>
      </c>
      <c r="P26" s="59"/>
      <c r="Q26" s="59"/>
      <c r="R26" s="59"/>
      <c r="S26" s="59"/>
      <c r="T26" s="59"/>
      <c r="U26" s="59"/>
      <c r="V26" s="59"/>
      <c r="W26" s="59"/>
    </row>
    <row r="27" spans="2:22" ht="15.75" thickBot="1">
      <c r="B27" s="440" t="s">
        <v>327</v>
      </c>
      <c r="C27" s="441"/>
      <c r="D27" s="441"/>
      <c r="E27" s="441"/>
      <c r="F27" s="442"/>
      <c r="H27" s="117"/>
      <c r="I27" s="118" t="str">
        <f>'Conversions and Upgrades'!U31</f>
        <v>Total E-FAF natural replacement market size</v>
      </c>
      <c r="J27" s="132">
        <f ca="1">'Conversions and Upgrades'!V31</f>
        <v>17241.92587105622</v>
      </c>
      <c r="K27" s="132">
        <f ca="1">'Conversions and Upgrades'!W31</f>
        <v>18133.078576945056</v>
      </c>
      <c r="L27" s="132">
        <f ca="1">'Conversions and Upgrades'!X31</f>
        <v>17888.23345934508</v>
      </c>
      <c r="M27" s="132">
        <f ca="1">'Conversions and Upgrades'!Y31</f>
        <v>18625.625822765884</v>
      </c>
      <c r="N27" s="133">
        <f ca="1">'Conversions and Upgrades'!Z31</f>
        <v>20196.625799248042</v>
      </c>
      <c r="P27" s="443" t="s">
        <v>456</v>
      </c>
      <c r="Q27" s="444"/>
      <c r="R27" s="444"/>
      <c r="S27" s="444"/>
      <c r="T27" s="444"/>
      <c r="U27" s="444"/>
      <c r="V27" s="445"/>
    </row>
    <row r="28" spans="2:22" ht="15.75" thickBot="1">
      <c r="B28" s="119" t="s">
        <v>314</v>
      </c>
      <c r="C28" s="120">
        <v>1</v>
      </c>
      <c r="D28" s="120">
        <v>2</v>
      </c>
      <c r="E28" s="120">
        <v>3</v>
      </c>
      <c r="F28" s="121" t="s">
        <v>318</v>
      </c>
      <c r="I28" s="62"/>
      <c r="P28" s="179" t="s">
        <v>301</v>
      </c>
      <c r="Q28" s="152" t="s">
        <v>310</v>
      </c>
      <c r="R28" s="157">
        <v>2010</v>
      </c>
      <c r="S28" s="157">
        <v>2011</v>
      </c>
      <c r="T28" s="157">
        <v>2012</v>
      </c>
      <c r="U28" s="157">
        <v>2013</v>
      </c>
      <c r="V28" s="180">
        <v>2014</v>
      </c>
    </row>
    <row r="29" spans="2:22" ht="15">
      <c r="B29" s="122" t="s">
        <v>320</v>
      </c>
      <c r="C29" s="148">
        <f>IF($J$47='Analysis Overview'!$B$44,'Input and Scenario Summary'!C51,'Input and Scenario Summary'!C73)</f>
        <v>10460.183091674095</v>
      </c>
      <c r="D29" s="148">
        <f>IF($J$47='Analysis Overview'!$B$44,'Input and Scenario Summary'!D51,'Input and Scenario Summary'!D73)</f>
        <v>12838.941350824767</v>
      </c>
      <c r="E29" s="148">
        <f>IF($J$47='Analysis Overview'!$B$44,'Input and Scenario Summary'!E51,'Input and Scenario Summary'!E73)</f>
        <v>17361.73664980113</v>
      </c>
      <c r="F29" s="149">
        <f>IF($J$47='Analysis Overview'!$B$44,'Input and Scenario Summary'!F51,'Input and Scenario Summary'!F73)</f>
        <v>11885.34332878872</v>
      </c>
      <c r="H29" s="127" t="str">
        <f>'Conversions and Upgrades'!T33</f>
        <v>SF</v>
      </c>
      <c r="I29" s="412"/>
      <c r="J29" s="408">
        <f>'Conversions and Upgrades'!V33</f>
        <v>2010</v>
      </c>
      <c r="K29" s="128">
        <f>'Conversions and Upgrades'!W33</f>
        <v>2011</v>
      </c>
      <c r="L29" s="128">
        <f>'Conversions and Upgrades'!X33</f>
        <v>2012</v>
      </c>
      <c r="M29" s="128">
        <f>'Conversions and Upgrades'!Y33</f>
        <v>2013</v>
      </c>
      <c r="N29" s="129">
        <f>'Conversions and Upgrades'!Z33</f>
        <v>2014</v>
      </c>
      <c r="P29" s="163" t="s">
        <v>130</v>
      </c>
      <c r="Q29" s="154" t="s">
        <v>130</v>
      </c>
      <c r="R29" s="159">
        <f ca="1">J13/J$14</f>
        <v>0.6230502408091122</v>
      </c>
      <c r="S29" s="159">
        <f ca="1">K13/K$14</f>
        <v>0.5661422872930846</v>
      </c>
      <c r="T29" s="159">
        <f ca="1">L13/L$14</f>
        <v>0.4947128391019957</v>
      </c>
      <c r="U29" s="159">
        <f ca="1">M13/M$14</f>
        <v>0.5167622818454207</v>
      </c>
      <c r="V29" s="181">
        <f ca="1">N13/N$14</f>
        <v>0.5224498953754472</v>
      </c>
    </row>
    <row r="30" spans="2:22" ht="15">
      <c r="B30" s="738" t="s">
        <v>476</v>
      </c>
      <c r="C30" s="148">
        <f>IF($J$47='Analysis Overview'!$B$44,'Input and Scenario Summary'!C52,'Input and Scenario Summary'!C74)</f>
        <v>5711.600648418943</v>
      </c>
      <c r="D30" s="148">
        <f>IF($J$47='Analysis Overview'!$B$44,'Input and Scenario Summary'!D52,'Input and Scenario Summary'!D74)</f>
        <v>8372.938535159003</v>
      </c>
      <c r="E30" s="148">
        <f>IF($J$47='Analysis Overview'!$B$44,'Input and Scenario Summary'!E52,'Input and Scenario Summary'!E74)</f>
        <v>9952.790155599692</v>
      </c>
      <c r="F30" s="149">
        <f>IF($J$47='Analysis Overview'!$B$44,'Input and Scenario Summary'!F52,'Input and Scenario Summary'!F74)</f>
        <v>6952.738025820053</v>
      </c>
      <c r="H30" s="107" t="s">
        <v>56</v>
      </c>
      <c r="I30" s="108" t="str">
        <f>'Conversions and Upgrades'!U34</f>
        <v>% Conversions</v>
      </c>
      <c r="J30" s="409">
        <f ca="1">IF($J$42="No",'Conversions and Upgrades'!V34,J$44)</f>
        <v>0.09914200978092964</v>
      </c>
      <c r="K30" s="144">
        <f ca="1">IF($J$42="No",'Conversions and Upgrades'!W34,K$44)</f>
        <v>0.13985554829483524</v>
      </c>
      <c r="L30" s="144">
        <f ca="1">IF($J$42="No",'Conversions and Upgrades'!X34,L$44)</f>
        <v>0.15630333914898786</v>
      </c>
      <c r="M30" s="144">
        <f ca="1">IF($J$42="No",'Conversions and Upgrades'!Y34,M$44)</f>
        <v>0.15365644128227254</v>
      </c>
      <c r="N30" s="145">
        <f ca="1">IF($J$42="No",'Conversions and Upgrades'!Z34,N$44)</f>
        <v>0.14853514937942716</v>
      </c>
      <c r="P30" s="163" t="s">
        <v>56</v>
      </c>
      <c r="Q30" s="154" t="s">
        <v>476</v>
      </c>
      <c r="R30" s="159">
        <f ca="1">(J$11/J$14)*'Sales Data (Combined)'!Q68</f>
        <v>0.12572544287750284</v>
      </c>
      <c r="S30" s="159">
        <f ca="1">(K$11/K$14)*'Sales Data (Combined)'!R68</f>
        <v>0.1536387536395036</v>
      </c>
      <c r="T30" s="159">
        <f ca="1">(L$11/L$14)*'Sales Data (Combined)'!S68</f>
        <v>0.17542369631421167</v>
      </c>
      <c r="U30" s="159">
        <f ca="1">(M$11/M$14)*'Sales Data (Combined)'!T68</f>
        <v>0.16827880438844073</v>
      </c>
      <c r="V30" s="181">
        <f ca="1">(N$11/N$14)*'Sales Data (Combined)'!U68</f>
        <v>0.16436943565161066</v>
      </c>
    </row>
    <row r="31" spans="2:22" ht="15.75" thickBot="1">
      <c r="B31" s="738" t="s">
        <v>477</v>
      </c>
      <c r="C31" s="148">
        <f>IF($J$47='Analysis Overview'!$B$44,'Input and Scenario Summary'!C53,'Input and Scenario Summary'!C75)</f>
        <v>5360.685484040489</v>
      </c>
      <c r="D31" s="148">
        <f>IF($J$47='Analysis Overview'!$B$44,'Input and Scenario Summary'!D53,'Input and Scenario Summary'!D75)</f>
        <v>7982.519267489288</v>
      </c>
      <c r="E31" s="148">
        <f>IF($J$47='Analysis Overview'!$B$44,'Input and Scenario Summary'!E53,'Input and Scenario Summary'!E75)</f>
        <v>9557.567905357573</v>
      </c>
      <c r="F31" s="149">
        <f>IF($J$47='Analysis Overview'!$B$44,'Input and Scenario Summary'!F53,'Input and Scenario Summary'!F75)</f>
        <v>6585.292973549472</v>
      </c>
      <c r="H31" s="125" t="s">
        <v>56</v>
      </c>
      <c r="I31" s="126" t="str">
        <f>'Conversions and Upgrades'!U35</f>
        <v>% Upgrades</v>
      </c>
      <c r="J31" s="409">
        <f ca="1">IF($J$42="No",'Conversions and Upgrades'!V35,1-J$44)</f>
        <v>0.9008579902190704</v>
      </c>
      <c r="K31" s="144">
        <f ca="1">IF($J$42="No",'Conversions and Upgrades'!W35,1-K$44)</f>
        <v>0.8601444517051648</v>
      </c>
      <c r="L31" s="144">
        <f ca="1">IF($J$42="No",'Conversions and Upgrades'!X35,1-L$44)</f>
        <v>0.843696660851012</v>
      </c>
      <c r="M31" s="144">
        <f ca="1">IF($J$42="No",'Conversions and Upgrades'!Y35,1-M$44)</f>
        <v>0.8463435587177275</v>
      </c>
      <c r="N31" s="145">
        <f ca="1">IF($J$42="No",'Conversions and Upgrades'!Z35,1-N$44)</f>
        <v>0.8514648506205729</v>
      </c>
      <c r="P31" s="163" t="s">
        <v>56</v>
      </c>
      <c r="Q31" s="154" t="s">
        <v>477</v>
      </c>
      <c r="R31" s="159">
        <f ca="1">(J$11/J$14)*'Sales Data (Combined)'!Q69</f>
        <v>0.17532355337046265</v>
      </c>
      <c r="S31" s="159">
        <f ca="1">(K$11/K$14)*'Sales Data (Combined)'!R69</f>
        <v>0.20872550487268104</v>
      </c>
      <c r="T31" s="159">
        <f ca="1">(L$11/L$14)*'Sales Data (Combined)'!S69</f>
        <v>0.24574089510182887</v>
      </c>
      <c r="U31" s="159">
        <f ca="1">(M$11/M$14)*'Sales Data (Combined)'!T69</f>
        <v>0.22782193029845074</v>
      </c>
      <c r="V31" s="181">
        <f ca="1">(N$11/N$14)*'Sales Data (Combined)'!U69</f>
        <v>0.22625306327876815</v>
      </c>
    </row>
    <row r="32" spans="2:22" ht="15">
      <c r="B32" s="738" t="s">
        <v>478</v>
      </c>
      <c r="C32" s="148">
        <f>IF($J$47='Analysis Overview'!$B$44,'Input and Scenario Summary'!C54,'Input and Scenario Summary'!C76)</f>
        <v>5222.232515173673</v>
      </c>
      <c r="D32" s="148">
        <f>IF($J$47='Analysis Overview'!$B$44,'Input and Scenario Summary'!D54,'Input and Scenario Summary'!D76)</f>
        <v>7855.265725089348</v>
      </c>
      <c r="E32" s="148">
        <f>IF($J$47='Analysis Overview'!$B$44,'Input and Scenario Summary'!E54,'Input and Scenario Summary'!E76)</f>
        <v>9433.766087240414</v>
      </c>
      <c r="F32" s="149">
        <f>IF($J$47='Analysis Overview'!$B$44,'Input and Scenario Summary'!F54,'Input and Scenario Summary'!F76)</f>
        <v>6451.738423987254</v>
      </c>
      <c r="H32" s="127" t="str">
        <f>'Conversions and Upgrades'!T37</f>
        <v>MH</v>
      </c>
      <c r="I32" s="413"/>
      <c r="J32" s="408">
        <f>'Conversions and Upgrades'!V37</f>
        <v>2010</v>
      </c>
      <c r="K32" s="128">
        <f>'Conversions and Upgrades'!W37</f>
        <v>2011</v>
      </c>
      <c r="L32" s="128">
        <f>'Conversions and Upgrades'!X37</f>
        <v>2012</v>
      </c>
      <c r="M32" s="128">
        <f>'Conversions and Upgrades'!Y37</f>
        <v>2013</v>
      </c>
      <c r="N32" s="129">
        <f>'Conversions and Upgrades'!Z37</f>
        <v>2014</v>
      </c>
      <c r="P32" s="163" t="s">
        <v>56</v>
      </c>
      <c r="Q32" s="154" t="s">
        <v>478</v>
      </c>
      <c r="R32" s="159">
        <f ca="1">(J$11/J$14)*'Sales Data (Combined)'!Q70</f>
        <v>0.021503499731997538</v>
      </c>
      <c r="S32" s="159">
        <f ca="1">(K$11/K$14)*'Sales Data (Combined)'!R70</f>
        <v>0.023286329486234256</v>
      </c>
      <c r="T32" s="159">
        <f ca="1">(L$11/L$14)*'Sales Data (Combined)'!S70</f>
        <v>0.025269875484962432</v>
      </c>
      <c r="U32" s="159">
        <f ca="1">(M$11/M$14)*'Sales Data (Combined)'!T70</f>
        <v>0.0335573757725513</v>
      </c>
      <c r="V32" s="181">
        <f ca="1">(N$11/N$14)*'Sales Data (Combined)'!U70</f>
        <v>0.03436644270250633</v>
      </c>
    </row>
    <row r="33" spans="2:22" ht="15">
      <c r="B33" s="738" t="s">
        <v>479</v>
      </c>
      <c r="C33" s="148">
        <f>IF($J$47='Analysis Overview'!$B$44,'Input and Scenario Summary'!C55,'Input and Scenario Summary'!C77)</f>
        <v>5086.387323495339</v>
      </c>
      <c r="D33" s="148">
        <f>IF($J$47='Analysis Overview'!$B$44,'Input and Scenario Summary'!D55,'Input and Scenario Summary'!D77)</f>
        <v>7735.482841419963</v>
      </c>
      <c r="E33" s="148">
        <f>IF($J$47='Analysis Overview'!$B$44,'Input and Scenario Summary'!E55,'Input and Scenario Summary'!E77)</f>
        <v>9320.385232652407</v>
      </c>
      <c r="F33" s="149">
        <f>IF($J$47='Analysis Overview'!$B$44,'Input and Scenario Summary'!F55,'Input and Scenario Summary'!F77)</f>
        <v>6323.065949173608</v>
      </c>
      <c r="H33" s="107" t="s">
        <v>56</v>
      </c>
      <c r="I33" s="108" t="str">
        <f>'Conversions and Upgrades'!U38</f>
        <v>% Conversions</v>
      </c>
      <c r="J33" s="410">
        <f ca="1">IF($J$42="No",'Conversions and Upgrades'!V38,J$44)</f>
        <v>0.5273841280032797</v>
      </c>
      <c r="K33" s="144">
        <f ca="1">IF($J$42="No",'Conversions and Upgrades'!W38,K$44)</f>
        <v>0.5038280985485789</v>
      </c>
      <c r="L33" s="144">
        <f ca="1">IF($J$42="No",'Conversions and Upgrades'!X38,L$44)</f>
        <v>0.47670778785351164</v>
      </c>
      <c r="M33" s="144">
        <f ca="1">IF($J$42="No",'Conversions and Upgrades'!Y38,M$44)</f>
        <v>0.44339612911620735</v>
      </c>
      <c r="N33" s="145">
        <f ca="1">IF($J$42="No",'Conversions and Upgrades'!Z38,N$44)</f>
        <v>0.41664042717525257</v>
      </c>
      <c r="P33" s="163" t="s">
        <v>56</v>
      </c>
      <c r="Q33" s="154" t="s">
        <v>479</v>
      </c>
      <c r="R33" s="159">
        <f ca="1">(J$11/J$14)*'Sales Data (Combined)'!Q71</f>
        <v>0.021503499731997538</v>
      </c>
      <c r="S33" s="159">
        <f ca="1">(K$11/K$14)*'Sales Data (Combined)'!R71</f>
        <v>0.023286329486234256</v>
      </c>
      <c r="T33" s="159">
        <f ca="1">(L$11/L$14)*'Sales Data (Combined)'!S71</f>
        <v>0.025269875484962432</v>
      </c>
      <c r="U33" s="159">
        <f ca="1">(M$11/M$14)*'Sales Data (Combined)'!T71</f>
        <v>0.0335573757725513</v>
      </c>
      <c r="V33" s="181">
        <f ca="1">(N$11/N$14)*'Sales Data (Combined)'!U71</f>
        <v>0.03436644270250633</v>
      </c>
    </row>
    <row r="34" spans="2:22" ht="15.75" thickBot="1">
      <c r="B34" s="738" t="s">
        <v>480</v>
      </c>
      <c r="C34" s="148">
        <f>IF($J$47='Analysis Overview'!$B$44,'Input and Scenario Summary'!C56,'Input and Scenario Summary'!C78)</f>
        <v>4952.9748347828645</v>
      </c>
      <c r="D34" s="148">
        <f>IF($J$47='Analysis Overview'!$B$44,'Input and Scenario Summary'!D56,'Input and Scenario Summary'!D78)</f>
        <v>7622.243755658786</v>
      </c>
      <c r="E34" s="148">
        <f>IF($J$47='Analysis Overview'!$B$44,'Input and Scenario Summary'!E56,'Input and Scenario Summary'!E78)</f>
        <v>9216.719592165215</v>
      </c>
      <c r="F34" s="149">
        <f>IF($J$47='Analysis Overview'!$B$44,'Input and Scenario Summary'!F56,'Input and Scenario Summary'!F78)</f>
        <v>6198.817628692521</v>
      </c>
      <c r="H34" s="114" t="s">
        <v>56</v>
      </c>
      <c r="I34" s="115" t="str">
        <f>'Conversions and Upgrades'!U39</f>
        <v>% Upgrades</v>
      </c>
      <c r="J34" s="411">
        <f ca="1">IF($J$42="No",'Conversions and Upgrades'!V39,1-J$44)</f>
        <v>0.47261587199672034</v>
      </c>
      <c r="K34" s="146">
        <f ca="1">IF($J$42="No",'Conversions and Upgrades'!W39,1-K$44)</f>
        <v>0.4961719014514212</v>
      </c>
      <c r="L34" s="146">
        <f ca="1">IF($J$42="No",'Conversions and Upgrades'!X39,1-L$44)</f>
        <v>0.5232922121464884</v>
      </c>
      <c r="M34" s="146">
        <f ca="1">IF($J$42="No",'Conversions and Upgrades'!Y39,1-M$44)</f>
        <v>0.5566038708837927</v>
      </c>
      <c r="N34" s="147">
        <f ca="1">IF($J$42="No",'Conversions and Upgrades'!Z39,1-N$44)</f>
        <v>0.5833595728247475</v>
      </c>
      <c r="P34" s="163" t="s">
        <v>56</v>
      </c>
      <c r="Q34" s="154" t="s">
        <v>480</v>
      </c>
      <c r="R34" s="159">
        <f ca="1">(J$11/J$14)*'Sales Data (Combined)'!Q72</f>
        <v>0.00945412488217133</v>
      </c>
      <c r="S34" s="159">
        <f ca="1">(K$11/K$14)*'Sales Data (Combined)'!R72</f>
        <v>0.006422488892157095</v>
      </c>
      <c r="T34" s="159">
        <f ca="1">(L$11/L$14)*'Sales Data (Combined)'!S72</f>
        <v>0.007246237948380785</v>
      </c>
      <c r="U34" s="159">
        <f ca="1">(M$11/M$14)*'Sales Data (Combined)'!T72</f>
        <v>0.0013520760062665335</v>
      </c>
      <c r="V34" s="181">
        <f ca="1">(N$11/N$14)*'Sales Data (Combined)'!U72</f>
        <v>0.003359402533174005</v>
      </c>
    </row>
    <row r="35" spans="2:22" ht="15.75" thickBot="1">
      <c r="B35" s="738" t="s">
        <v>481</v>
      </c>
      <c r="C35" s="148">
        <f>IF($J$47='Analysis Overview'!$B$44,'Input and Scenario Summary'!C57,'Input and Scenario Summary'!C79)</f>
        <v>4821.747899329782</v>
      </c>
      <c r="D35" s="148">
        <f>IF($J$47='Analysis Overview'!$B$44,'Input and Scenario Summary'!D57,'Input and Scenario Summary'!D79)</f>
        <v>7515.244669414484</v>
      </c>
      <c r="E35" s="148">
        <f>IF($J$47='Analysis Overview'!$B$44,'Input and Scenario Summary'!E57,'Input and Scenario Summary'!E79)</f>
        <v>9120.84809080421</v>
      </c>
      <c r="F35" s="149">
        <f>IF($J$47='Analysis Overview'!$B$44,'Input and Scenario Summary'!F57,'Input and Scenario Summary'!F79)</f>
        <v>6078.559117779379</v>
      </c>
      <c r="P35" s="163" t="s">
        <v>56</v>
      </c>
      <c r="Q35" s="154" t="s">
        <v>481</v>
      </c>
      <c r="R35" s="159">
        <f ca="1">(J$11/J$14)*'Sales Data (Combined)'!Q73</f>
        <v>0.00945412488217133</v>
      </c>
      <c r="S35" s="159">
        <f ca="1">(K$11/K$14)*'Sales Data (Combined)'!R73</f>
        <v>0.006422488892157095</v>
      </c>
      <c r="T35" s="159">
        <f ca="1">(L$11/L$14)*'Sales Data (Combined)'!S73</f>
        <v>0.007246237948380785</v>
      </c>
      <c r="U35" s="159">
        <f ca="1">(M$11/M$14)*'Sales Data (Combined)'!T73</f>
        <v>0.0013520760062665335</v>
      </c>
      <c r="V35" s="181">
        <f ca="1">(N$11/N$14)*'Sales Data (Combined)'!U73</f>
        <v>0.003359402533174005</v>
      </c>
    </row>
    <row r="36" spans="2:22" ht="15.75" thickBot="1">
      <c r="B36" s="739" t="s">
        <v>482</v>
      </c>
      <c r="C36" s="150">
        <f>IF($J$47='Analysis Overview'!$B$44,'Input and Scenario Summary'!C58,'Input and Scenario Summary'!C80)</f>
        <v>4565.031934897084</v>
      </c>
      <c r="D36" s="150">
        <f>IF($J$47='Analysis Overview'!$B$44,'Input and Scenario Summary'!D58,'Input and Scenario Summary'!D80)</f>
        <v>7317.7440136567775</v>
      </c>
      <c r="E36" s="150">
        <f>IF($J$47='Analysis Overview'!$B$44,'Input and Scenario Summary'!E58,'Input and Scenario Summary'!E80)</f>
        <v>8950.142282264294</v>
      </c>
      <c r="F36" s="151">
        <f>IF($J$47='Analysis Overview'!$B$44,'Input and Scenario Summary'!F58,'Input and Scenario Summary'!F80)</f>
        <v>5848.610268262191</v>
      </c>
      <c r="H36" s="102" t="s">
        <v>325</v>
      </c>
      <c r="I36" s="103"/>
      <c r="J36" s="103"/>
      <c r="K36" s="103"/>
      <c r="L36" s="103"/>
      <c r="M36" s="103"/>
      <c r="N36" s="104"/>
      <c r="P36" s="182" t="s">
        <v>56</v>
      </c>
      <c r="Q36" s="183" t="s">
        <v>482</v>
      </c>
      <c r="R36" s="184">
        <f ca="1">(J$11/J$14)*'Sales Data (Combined)'!Q74</f>
        <v>0.013985513714584603</v>
      </c>
      <c r="S36" s="184">
        <f ca="1">(K$11/K$14)*'Sales Data (Combined)'!R74</f>
        <v>0.012075817437948071</v>
      </c>
      <c r="T36" s="184">
        <f ca="1">(L$11/L$14)*'Sales Data (Combined)'!S74</f>
        <v>0.019090342615277298</v>
      </c>
      <c r="U36" s="184">
        <f ca="1">(M$11/M$14)*'Sales Data (Combined)'!T74</f>
        <v>0.017318079910052193</v>
      </c>
      <c r="V36" s="185">
        <f ca="1">(N$11/N$14)*'Sales Data (Combined)'!U74</f>
        <v>0.011475915222813389</v>
      </c>
    </row>
    <row r="37" spans="8:14" ht="15.75" thickBot="1">
      <c r="H37" s="102" t="s">
        <v>242</v>
      </c>
      <c r="I37" s="103"/>
      <c r="J37" s="103"/>
      <c r="K37" s="103"/>
      <c r="L37" s="103"/>
      <c r="M37" s="103"/>
      <c r="N37" s="104"/>
    </row>
    <row r="38" spans="2:22" ht="15">
      <c r="B38" s="440" t="s">
        <v>335</v>
      </c>
      <c r="C38" s="441"/>
      <c r="D38" s="441"/>
      <c r="E38" s="441"/>
      <c r="F38" s="442"/>
      <c r="H38" s="851" t="s">
        <v>326</v>
      </c>
      <c r="I38" s="852"/>
      <c r="J38" s="174">
        <v>23</v>
      </c>
      <c r="K38" s="67"/>
      <c r="L38" s="68"/>
      <c r="M38" s="68"/>
      <c r="N38" s="69"/>
      <c r="P38" s="443" t="s">
        <v>454</v>
      </c>
      <c r="Q38" s="444"/>
      <c r="R38" s="444"/>
      <c r="S38" s="444"/>
      <c r="T38" s="444"/>
      <c r="U38" s="444"/>
      <c r="V38" s="445"/>
    </row>
    <row r="39" spans="2:22" ht="15">
      <c r="B39" s="119" t="s">
        <v>314</v>
      </c>
      <c r="C39" s="120">
        <v>1</v>
      </c>
      <c r="D39" s="120">
        <v>2</v>
      </c>
      <c r="E39" s="120">
        <v>3</v>
      </c>
      <c r="F39" s="121" t="s">
        <v>318</v>
      </c>
      <c r="H39" s="835" t="s">
        <v>328</v>
      </c>
      <c r="I39" s="836"/>
      <c r="J39" s="157">
        <v>2010</v>
      </c>
      <c r="K39" s="157">
        <v>2011</v>
      </c>
      <c r="L39" s="157">
        <v>2012</v>
      </c>
      <c r="M39" s="157">
        <v>2013</v>
      </c>
      <c r="N39" s="158">
        <v>2014</v>
      </c>
      <c r="P39" s="179" t="s">
        <v>301</v>
      </c>
      <c r="Q39" s="152" t="s">
        <v>310</v>
      </c>
      <c r="R39" s="157">
        <v>2010</v>
      </c>
      <c r="S39" s="157">
        <v>2011</v>
      </c>
      <c r="T39" s="157">
        <v>2012</v>
      </c>
      <c r="U39" s="157">
        <v>2013</v>
      </c>
      <c r="V39" s="180">
        <v>2014</v>
      </c>
    </row>
    <row r="40" spans="2:22" ht="15.75" thickBot="1">
      <c r="B40" s="122" t="s">
        <v>320</v>
      </c>
      <c r="C40" s="148">
        <f>IF($J$47='Analysis Overview'!$B$44,'Input and Scenario Summary'!C62,'Input and Scenario Summary'!C84)</f>
        <v>0</v>
      </c>
      <c r="D40" s="148">
        <f>IF($J$47='Analysis Overview'!$B$44,'Input and Scenario Summary'!D62,'Input and Scenario Summary'!D84)</f>
        <v>0</v>
      </c>
      <c r="E40" s="148">
        <f>IF($J$47='Analysis Overview'!$B$44,'Input and Scenario Summary'!E62,'Input and Scenario Summary'!E84)</f>
        <v>0</v>
      </c>
      <c r="F40" s="149">
        <f>IF($J$47='Analysis Overview'!$B$44,'Input and Scenario Summary'!F62,'Input and Scenario Summary'!F84)</f>
        <v>0</v>
      </c>
      <c r="H40" s="849" t="s">
        <v>429</v>
      </c>
      <c r="I40" s="853"/>
      <c r="J40" s="402">
        <f ca="1">'Air Source Heat Pump'!$BZ$76</f>
        <v>1.0142452322920392</v>
      </c>
      <c r="K40" s="402">
        <f ca="1">'Air Source Heat Pump'!$BZ$77</f>
        <v>0.8755673173216708</v>
      </c>
      <c r="L40" s="402">
        <f ca="1">'Air Source Heat Pump'!$BZ$78</f>
        <v>0.8748935368698596</v>
      </c>
      <c r="M40" s="402">
        <f ca="1">'Air Source Heat Pump'!$BZ$79</f>
        <v>0.9734516652783912</v>
      </c>
      <c r="N40" s="403">
        <f ca="1">'Air Source Heat Pump'!$BZ$80</f>
        <v>1.312169010970304</v>
      </c>
      <c r="P40" s="163" t="s">
        <v>130</v>
      </c>
      <c r="Q40" s="154" t="s">
        <v>130</v>
      </c>
      <c r="R40" s="159">
        <f ca="1">J25/J$26</f>
        <v>0.8129603540028961</v>
      </c>
      <c r="S40" s="159">
        <f ca="1">K25/K$26</f>
        <v>0.8254385644196418</v>
      </c>
      <c r="T40" s="159">
        <f ca="1">L25/L$26</f>
        <v>0.8285999926810573</v>
      </c>
      <c r="U40" s="159">
        <f ca="1">M25/M$26</f>
        <v>0.8419968573805364</v>
      </c>
      <c r="V40" s="181">
        <f ca="1">N25/N$26</f>
        <v>0.8618560046629623</v>
      </c>
    </row>
    <row r="41" spans="2:22" ht="15.75" thickBot="1">
      <c r="B41" s="738" t="s">
        <v>476</v>
      </c>
      <c r="C41" s="148">
        <f>IF($J$47='Analysis Overview'!$B$44,'Input and Scenario Summary'!C63,'Input and Scenario Summary'!C85)</f>
        <v>5270.312062329025</v>
      </c>
      <c r="D41" s="148">
        <f>IF($J$47='Analysis Overview'!$B$44,'Input and Scenario Summary'!D63,'Input and Scenario Summary'!D85)</f>
        <v>7648.522804337056</v>
      </c>
      <c r="E41" s="148">
        <f>IF($J$47='Analysis Overview'!$B$44,'Input and Scenario Summary'!E63,'Input and Scenario Summary'!E85)</f>
        <v>8907.623614132292</v>
      </c>
      <c r="F41" s="149">
        <f>IF($J$47='Analysis Overview'!$B$44,'Input and Scenario Summary'!F63,'Input and Scenario Summary'!F85)</f>
        <v>6363.910415407944</v>
      </c>
      <c r="H41" s="844" t="s">
        <v>329</v>
      </c>
      <c r="I41" s="845"/>
      <c r="J41" s="845"/>
      <c r="K41" s="845"/>
      <c r="L41" s="845"/>
      <c r="M41" s="845"/>
      <c r="N41" s="846"/>
      <c r="P41" s="163" t="s">
        <v>56</v>
      </c>
      <c r="Q41" s="154" t="s">
        <v>302</v>
      </c>
      <c r="R41" s="159">
        <f ca="1">(J$23/J$26)*'Sales Data (Combined)'!Q68</f>
        <v>0.062384022685444594</v>
      </c>
      <c r="S41" s="159">
        <f ca="1">(K$23/K$26)*'Sales Data (Combined)'!R68</f>
        <v>0.06181612222301575</v>
      </c>
      <c r="T41" s="159">
        <f ca="1">(L$23/L$26)*'Sales Data (Combined)'!S68</f>
        <v>0.059506009966164994</v>
      </c>
      <c r="U41" s="159">
        <f ca="1">(M$23/M$26)*'Sales Data (Combined)'!T68</f>
        <v>0.055021739675366964</v>
      </c>
      <c r="V41" s="181">
        <f ca="1">(N$23/N$26)*'Sales Data (Combined)'!U68</f>
        <v>0.04754820558579809</v>
      </c>
    </row>
    <row r="42" spans="2:22" ht="15">
      <c r="B42" s="738" t="s">
        <v>477</v>
      </c>
      <c r="C42" s="148">
        <f>IF($J$47='Analysis Overview'!$B$44,'Input and Scenario Summary'!C64,'Input and Scenario Summary'!C86)</f>
        <v>4966.561161739183</v>
      </c>
      <c r="D42" s="148">
        <f>IF($J$47='Analysis Overview'!$B$44,'Input and Scenario Summary'!D64,'Input and Scenario Summary'!D86)</f>
        <v>7333.24384513514</v>
      </c>
      <c r="E42" s="148">
        <f>IF($J$47='Analysis Overview'!$B$44,'Input and Scenario Summary'!E64,'Input and Scenario Summary'!E86)</f>
        <v>8615.880029776119</v>
      </c>
      <c r="F42" s="149">
        <f>IF($J$47='Analysis Overview'!$B$44,'Input and Scenario Summary'!F64,'Input and Scenario Summary'!F86)</f>
        <v>6057.867447853378</v>
      </c>
      <c r="H42" s="851" t="s">
        <v>455</v>
      </c>
      <c r="I42" s="852"/>
      <c r="J42" s="174" t="s">
        <v>76</v>
      </c>
      <c r="K42" s="854" t="s">
        <v>330</v>
      </c>
      <c r="L42" s="855"/>
      <c r="M42" s="855"/>
      <c r="N42" s="856"/>
      <c r="P42" s="163" t="s">
        <v>56</v>
      </c>
      <c r="Q42" s="154" t="s">
        <v>303</v>
      </c>
      <c r="R42" s="159">
        <f ca="1">(J$23/J$26)*'Sales Data (Combined)'!Q69</f>
        <v>0.08699423346961081</v>
      </c>
      <c r="S42" s="159">
        <f ca="1">(K$23/K$26)*'Sales Data (Combined)'!R69</f>
        <v>0.0839801222974306</v>
      </c>
      <c r="T42" s="159">
        <f ca="1">(L$23/L$26)*'Sales Data (Combined)'!S69</f>
        <v>0.08335852259566753</v>
      </c>
      <c r="U42" s="159">
        <f ca="1">(M$23/M$26)*'Sales Data (Combined)'!T69</f>
        <v>0.07449042074417073</v>
      </c>
      <c r="V42" s="181">
        <f ca="1">(N$23/N$26)*'Sales Data (Combined)'!U69</f>
        <v>0.06544968122904202</v>
      </c>
    </row>
    <row r="43" spans="2:22" ht="15">
      <c r="B43" s="738" t="s">
        <v>478</v>
      </c>
      <c r="C43" s="148">
        <f>IF($J$47='Analysis Overview'!$B$44,'Input and Scenario Summary'!C65,'Input and Scenario Summary'!C87)</f>
        <v>4849.7863381958105</v>
      </c>
      <c r="D43" s="148">
        <f>IF($J$47='Analysis Overview'!$B$44,'Input and Scenario Summary'!D65,'Input and Scenario Summary'!D87)</f>
        <v>7237.92836478566</v>
      </c>
      <c r="E43" s="148">
        <f>IF($J$47='Analysis Overview'!$B$44,'Input and Scenario Summary'!E65,'Input and Scenario Summary'!E87)</f>
        <v>8537.21441172313</v>
      </c>
      <c r="F43" s="149">
        <f>IF($J$47='Analysis Overview'!$B$44,'Input and Scenario Summary'!F65,'Input and Scenario Summary'!F87)</f>
        <v>5951.497419748793</v>
      </c>
      <c r="H43" s="835" t="s">
        <v>328</v>
      </c>
      <c r="I43" s="836"/>
      <c r="J43" s="157">
        <v>2010</v>
      </c>
      <c r="K43" s="157">
        <v>2011</v>
      </c>
      <c r="L43" s="157">
        <v>2012</v>
      </c>
      <c r="M43" s="157">
        <v>2013</v>
      </c>
      <c r="N43" s="158">
        <v>2014</v>
      </c>
      <c r="P43" s="163" t="s">
        <v>56</v>
      </c>
      <c r="Q43" s="154" t="s">
        <v>304</v>
      </c>
      <c r="R43" s="159">
        <f ca="1">(J$23/J$26)*'Sales Data (Combined)'!Q70</f>
        <v>0.010669875439646814</v>
      </c>
      <c r="S43" s="159">
        <f ca="1">(K$23/K$26)*'Sales Data (Combined)'!R70</f>
        <v>0.009369189449584</v>
      </c>
      <c r="T43" s="159">
        <f ca="1">(L$23/L$26)*'Sales Data (Combined)'!S70</f>
        <v>0.008571871953709953</v>
      </c>
      <c r="U43" s="159">
        <f ca="1">(M$23/M$26)*'Sales Data (Combined)'!T70</f>
        <v>0.010972179179997873</v>
      </c>
      <c r="V43" s="181">
        <f ca="1">(N$23/N$26)*'Sales Data (Combined)'!U70</f>
        <v>0.009941402283176295</v>
      </c>
    </row>
    <row r="44" spans="2:22" ht="15.75" thickBot="1">
      <c r="B44" s="738" t="s">
        <v>479</v>
      </c>
      <c r="C44" s="148">
        <f>IF($J$47='Analysis Overview'!$B$44,'Input and Scenario Summary'!C66,'Input and Scenario Summary'!C88)</f>
        <v>4735.113899670485</v>
      </c>
      <c r="D44" s="148">
        <f>IF($J$47='Analysis Overview'!$B$44,'Input and Scenario Summary'!D66,'Input and Scenario Summary'!D88)</f>
        <v>7147.662622881522</v>
      </c>
      <c r="E44" s="148">
        <f>IF($J$47='Analysis Overview'!$B$44,'Input and Scenario Summary'!E66,'Input and Scenario Summary'!E88)</f>
        <v>8464.456807980445</v>
      </c>
      <c r="F44" s="149">
        <f>IF($J$47='Analysis Overview'!$B$44,'Input and Scenario Summary'!F66,'Input and Scenario Summary'!F88)</f>
        <v>5848.513806060644</v>
      </c>
      <c r="H44" s="849" t="s">
        <v>331</v>
      </c>
      <c r="I44" s="850"/>
      <c r="J44" s="175">
        <v>0.15</v>
      </c>
      <c r="K44" s="175">
        <v>0.15</v>
      </c>
      <c r="L44" s="175">
        <v>0.15</v>
      </c>
      <c r="M44" s="175">
        <v>0.15</v>
      </c>
      <c r="N44" s="175">
        <v>0.15</v>
      </c>
      <c r="P44" s="163" t="s">
        <v>56</v>
      </c>
      <c r="Q44" s="154" t="s">
        <v>305</v>
      </c>
      <c r="R44" s="159">
        <f ca="1">(J$23/J$26)*'Sales Data (Combined)'!Q71</f>
        <v>0.010669875439646814</v>
      </c>
      <c r="S44" s="159">
        <f ca="1">(K$23/K$26)*'Sales Data (Combined)'!R71</f>
        <v>0.009369189449584</v>
      </c>
      <c r="T44" s="159">
        <f ca="1">(L$23/L$26)*'Sales Data (Combined)'!S71</f>
        <v>0.008571871953709953</v>
      </c>
      <c r="U44" s="159">
        <f ca="1">(M$23/M$26)*'Sales Data (Combined)'!T71</f>
        <v>0.010972179179997873</v>
      </c>
      <c r="V44" s="181">
        <f ca="1">(N$23/N$26)*'Sales Data (Combined)'!U71</f>
        <v>0.009941402283176295</v>
      </c>
    </row>
    <row r="45" spans="2:22" ht="15.75" thickBot="1">
      <c r="B45" s="738" t="s">
        <v>480</v>
      </c>
      <c r="C45" s="148">
        <f>IF($J$47='Analysis Overview'!$B$44,'Input and Scenario Summary'!C67,'Input and Scenario Summary'!C89)</f>
        <v>4622.387888576243</v>
      </c>
      <c r="D45" s="148">
        <f>IF($J$47='Analysis Overview'!$B$44,'Input and Scenario Summary'!D67,'Input and Scenario Summary'!D89)</f>
        <v>7062.666572132966</v>
      </c>
      <c r="E45" s="148">
        <f>IF($J$47='Analysis Overview'!$B$44,'Input and Scenario Summary'!E67,'Input and Scenario Summary'!E89)</f>
        <v>8398.17378719264</v>
      </c>
      <c r="F45" s="149">
        <f>IF($J$47='Analysis Overview'!$B$44,'Input and Scenario Summary'!F67,'Input and Scenario Summary'!F89)</f>
        <v>5748.948492564727</v>
      </c>
      <c r="H45" s="844" t="s">
        <v>332</v>
      </c>
      <c r="I45" s="845"/>
      <c r="J45" s="845"/>
      <c r="K45" s="845"/>
      <c r="L45" s="845"/>
      <c r="M45" s="845"/>
      <c r="N45" s="846"/>
      <c r="P45" s="163" t="s">
        <v>56</v>
      </c>
      <c r="Q45" s="154" t="s">
        <v>306</v>
      </c>
      <c r="R45" s="159">
        <f ca="1">(J$23/J$26)*'Sales Data (Combined)'!Q72</f>
        <v>0.004691065926051617</v>
      </c>
      <c r="S45" s="159">
        <f ca="1">(K$23/K$26)*'Sales Data (Combined)'!R72</f>
        <v>0.002584070417969493</v>
      </c>
      <c r="T45" s="159">
        <f ca="1">(L$23/L$26)*'Sales Data (Combined)'!S72</f>
        <v>0.002458018595168647</v>
      </c>
      <c r="U45" s="159">
        <f ca="1">(M$23/M$26)*'Sales Data (Combined)'!T72</f>
        <v>0.00044208523056999576</v>
      </c>
      <c r="V45" s="181">
        <f ca="1">(N$23/N$26)*'Sales Data (Combined)'!U72</f>
        <v>0.0009717960134107403</v>
      </c>
    </row>
    <row r="46" spans="2:22" ht="15.75" thickBot="1">
      <c r="B46" s="738" t="s">
        <v>481</v>
      </c>
      <c r="C46" s="148">
        <f>IF($J$47='Analysis Overview'!$B$44,'Input and Scenario Summary'!C68,'Input and Scenario Summary'!C90)</f>
        <v>4511.521743932174</v>
      </c>
      <c r="D46" s="148">
        <f>IF($J$47='Analysis Overview'!$B$44,'Input and Scenario Summary'!D68,'Input and Scenario Summary'!D90)</f>
        <v>6982.702918207201</v>
      </c>
      <c r="E46" s="148">
        <f>IF($J$47='Analysis Overview'!$B$44,'Input and Scenario Summary'!E68,'Input and Scenario Summary'!E90)</f>
        <v>8338.535920168688</v>
      </c>
      <c r="F46" s="149">
        <f>IF($J$47='Analysis Overview'!$B$44,'Input and Scenario Summary'!F68,'Input and Scenario Summary'!F90)</f>
        <v>5652.695114395281</v>
      </c>
      <c r="H46" s="847" t="s">
        <v>333</v>
      </c>
      <c r="I46" s="848"/>
      <c r="J46" s="176" t="s">
        <v>291</v>
      </c>
      <c r="K46" s="70"/>
      <c r="L46" s="71"/>
      <c r="M46" s="71"/>
      <c r="N46" s="72"/>
      <c r="P46" s="163" t="s">
        <v>56</v>
      </c>
      <c r="Q46" s="154" t="s">
        <v>307</v>
      </c>
      <c r="R46" s="159">
        <f ca="1">(J$23/J$26)*'Sales Data (Combined)'!Q73</f>
        <v>0.004691065926051617</v>
      </c>
      <c r="S46" s="159">
        <f ca="1">(K$23/K$26)*'Sales Data (Combined)'!R73</f>
        <v>0.002584070417969493</v>
      </c>
      <c r="T46" s="159">
        <f ca="1">(L$23/L$26)*'Sales Data (Combined)'!S73</f>
        <v>0.002458018595168647</v>
      </c>
      <c r="U46" s="159">
        <f ca="1">(M$23/M$26)*'Sales Data (Combined)'!T73</f>
        <v>0.00044208523056999576</v>
      </c>
      <c r="V46" s="181">
        <f ca="1">(N$23/N$26)*'Sales Data (Combined)'!U73</f>
        <v>0.0009717960134107403</v>
      </c>
    </row>
    <row r="47" spans="2:22" ht="15.75" thickBot="1">
      <c r="B47" s="739" t="s">
        <v>482</v>
      </c>
      <c r="C47" s="150">
        <f>IF($J$47='Analysis Overview'!$B$44,'Input and Scenario Summary'!C69,'Input and Scenario Summary'!C91)</f>
        <v>4295.466493429467</v>
      </c>
      <c r="D47" s="150">
        <f>IF($J$47='Analysis Overview'!$B$44,'Input and Scenario Summary'!D69,'Input and Scenario Summary'!D91)</f>
        <v>6838.570504079946</v>
      </c>
      <c r="E47" s="150">
        <f>IF($J$47='Analysis Overview'!$B$44,'Input and Scenario Summary'!E69,'Input and Scenario Summary'!E91)</f>
        <v>8237.557584525159</v>
      </c>
      <c r="F47" s="151">
        <f>IF($J$47='Analysis Overview'!$B$44,'Input and Scenario Summary'!F69,'Input and Scenario Summary'!F91)</f>
        <v>5470.228231809887</v>
      </c>
      <c r="H47" s="847" t="s">
        <v>334</v>
      </c>
      <c r="I47" s="848"/>
      <c r="J47" s="177" t="s">
        <v>431</v>
      </c>
      <c r="K47" s="178">
        <v>0.85</v>
      </c>
      <c r="L47" s="89"/>
      <c r="M47" s="89"/>
      <c r="N47" s="90"/>
      <c r="P47" s="182" t="s">
        <v>56</v>
      </c>
      <c r="Q47" s="183" t="s">
        <v>308</v>
      </c>
      <c r="R47" s="184">
        <f ca="1">(J$23/J$26)*'Sales Data (Combined)'!Q74</f>
        <v>0.00693950711065152</v>
      </c>
      <c r="S47" s="184">
        <f ca="1">(K$23/K$26)*'Sales Data (Combined)'!R74</f>
        <v>0.004858671324804915</v>
      </c>
      <c r="T47" s="184">
        <f ca="1">(L$23/L$26)*'Sales Data (Combined)'!S74</f>
        <v>0.006475693659352934</v>
      </c>
      <c r="U47" s="184">
        <f ca="1">(M$23/M$26)*'Sales Data (Combined)'!T74</f>
        <v>0.005662453378790158</v>
      </c>
      <c r="V47" s="185">
        <f ca="1">(N$23/N$26)*'Sales Data (Combined)'!U74</f>
        <v>0.0033197119290235507</v>
      </c>
    </row>
    <row r="48" ht="15.75" thickBot="1">
      <c r="Q48" s="73"/>
    </row>
    <row r="49" spans="2:22" ht="15">
      <c r="B49" s="440" t="s">
        <v>339</v>
      </c>
      <c r="C49" s="441"/>
      <c r="D49" s="441"/>
      <c r="E49" s="441"/>
      <c r="F49" s="442"/>
      <c r="H49"/>
      <c r="J49" s="837" t="s">
        <v>271</v>
      </c>
      <c r="K49" s="837"/>
      <c r="L49" s="837"/>
      <c r="M49" s="837"/>
      <c r="N49" s="837"/>
      <c r="P49" s="443" t="s">
        <v>336</v>
      </c>
      <c r="Q49" s="444"/>
      <c r="R49" s="444"/>
      <c r="S49" s="444"/>
      <c r="T49" s="444"/>
      <c r="U49" s="444"/>
      <c r="V49" s="445"/>
    </row>
    <row r="50" spans="2:22" ht="15">
      <c r="B50" s="119" t="s">
        <v>314</v>
      </c>
      <c r="C50" s="120">
        <v>1</v>
      </c>
      <c r="D50" s="120">
        <v>2</v>
      </c>
      <c r="E50" s="120">
        <v>3</v>
      </c>
      <c r="F50" s="121" t="s">
        <v>318</v>
      </c>
      <c r="H50" s="44" t="s">
        <v>384</v>
      </c>
      <c r="J50" s="837"/>
      <c r="K50" s="837"/>
      <c r="L50" s="837"/>
      <c r="M50" s="837"/>
      <c r="N50" s="837"/>
      <c r="P50" s="179" t="s">
        <v>301</v>
      </c>
      <c r="Q50" s="152" t="s">
        <v>310</v>
      </c>
      <c r="R50" s="157">
        <v>2010</v>
      </c>
      <c r="S50" s="157">
        <v>2011</v>
      </c>
      <c r="T50" s="157">
        <v>2012</v>
      </c>
      <c r="U50" s="157">
        <v>2013</v>
      </c>
      <c r="V50" s="180">
        <v>2014</v>
      </c>
    </row>
    <row r="51" spans="2:22" ht="15.75" thickBot="1">
      <c r="B51" s="122" t="s">
        <v>320</v>
      </c>
      <c r="C51" s="148">
        <f>'SEEM Data'!$D$19</f>
        <v>14080.517662083852</v>
      </c>
      <c r="D51" s="148">
        <f>'SEEM Data'!$D$20</f>
        <v>17922.001730793727</v>
      </c>
      <c r="E51" s="148">
        <f>'SEEM Data'!$D$21</f>
        <v>21958.793996067252</v>
      </c>
      <c r="F51" s="149">
        <f>'SEEM Data'!$D$22</f>
        <v>16050.337818440505</v>
      </c>
      <c r="H51" s="44" t="s">
        <v>385</v>
      </c>
      <c r="J51" s="838" t="str">
        <f>'Analysis Overview'!$C$24</f>
        <v>Momentum savings in the residential ASHP HVAC market by year</v>
      </c>
      <c r="K51" s="838"/>
      <c r="L51" s="838"/>
      <c r="M51" s="838"/>
      <c r="N51" s="838"/>
      <c r="P51" s="163" t="s">
        <v>130</v>
      </c>
      <c r="Q51" s="154" t="s">
        <v>130</v>
      </c>
      <c r="R51" s="159">
        <v>0</v>
      </c>
      <c r="S51" s="159">
        <v>0</v>
      </c>
      <c r="T51" s="159">
        <v>0</v>
      </c>
      <c r="U51" s="159">
        <v>0</v>
      </c>
      <c r="V51" s="181">
        <v>0</v>
      </c>
    </row>
    <row r="52" spans="2:22" ht="15">
      <c r="B52" s="738" t="s">
        <v>476</v>
      </c>
      <c r="C52" s="148">
        <f>'SEEM Data'!$E$19</f>
        <v>7570.140011758354</v>
      </c>
      <c r="D52" s="148">
        <f>'SEEM Data'!$E$20</f>
        <v>11432.907696896658</v>
      </c>
      <c r="E52" s="148">
        <f>'SEEM Data'!$E$21</f>
        <v>15561.457282407451</v>
      </c>
      <c r="F52" s="149">
        <f>'SEEM Data'!$E$22</f>
        <v>9557.918725064344</v>
      </c>
      <c r="H52"/>
      <c r="J52" s="827" t="s">
        <v>337</v>
      </c>
      <c r="K52" s="828"/>
      <c r="L52" s="828"/>
      <c r="M52" s="828"/>
      <c r="N52" s="829"/>
      <c r="P52" s="163" t="s">
        <v>56</v>
      </c>
      <c r="Q52" s="154" t="s">
        <v>476</v>
      </c>
      <c r="R52" s="159">
        <f>'Sales Data (Combined)'!Q68</f>
        <v>0.33353368668378774</v>
      </c>
      <c r="S52" s="159">
        <f>'Sales Data (Combined)'!R68</f>
        <v>0.35412244415553684</v>
      </c>
      <c r="T52" s="159">
        <f>'Sales Data (Combined)'!S68</f>
        <v>0.3471762393535706</v>
      </c>
      <c r="U52" s="159">
        <f>'Sales Data (Combined)'!T68</f>
        <v>0.34823193237290156</v>
      </c>
      <c r="V52" s="181">
        <f>'Sales Data (Combined)'!U68</f>
        <v>0.3441930680359435</v>
      </c>
    </row>
    <row r="53" spans="2:22" ht="15">
      <c r="B53" s="738" t="s">
        <v>477</v>
      </c>
      <c r="C53" s="148">
        <f>'SEEM Data'!$F$19</f>
        <v>6868.310129160836</v>
      </c>
      <c r="D53" s="148">
        <f>'SEEM Data'!$F$20</f>
        <v>10607.288995230037</v>
      </c>
      <c r="E53" s="148">
        <f>'SEEM Data'!$F$21</f>
        <v>14478.604448322998</v>
      </c>
      <c r="F53" s="149">
        <f>'SEEM Data'!$F$22</f>
        <v>8779.704130924265</v>
      </c>
      <c r="H53"/>
      <c r="J53" s="404">
        <v>2010</v>
      </c>
      <c r="K53" s="405">
        <v>2011</v>
      </c>
      <c r="L53" s="406">
        <v>2012</v>
      </c>
      <c r="M53" s="406">
        <v>2013</v>
      </c>
      <c r="N53" s="414">
        <v>2014</v>
      </c>
      <c r="P53" s="163" t="s">
        <v>56</v>
      </c>
      <c r="Q53" s="154" t="s">
        <v>477</v>
      </c>
      <c r="R53" s="159">
        <f>'Sales Data (Combined)'!Q69</f>
        <v>0.4651111961095022</v>
      </c>
      <c r="S53" s="159">
        <f>'Sales Data (Combined)'!R69</f>
        <v>0.4810920694953318</v>
      </c>
      <c r="T53" s="159">
        <f>'Sales Data (Combined)'!S69</f>
        <v>0.48633908422508554</v>
      </c>
      <c r="U53" s="159">
        <f>'Sales Data (Combined)'!T69</f>
        <v>0.47144898202166924</v>
      </c>
      <c r="V53" s="181">
        <f>'Sales Data (Combined)'!U69</f>
        <v>0.47377869062901157</v>
      </c>
    </row>
    <row r="54" spans="2:22" ht="15.75" thickBot="1">
      <c r="B54" s="738" t="s">
        <v>478</v>
      </c>
      <c r="C54" s="148">
        <f>'SEEM Data'!$G$19</f>
        <v>6467.349790203593</v>
      </c>
      <c r="D54" s="148">
        <f>'SEEM Data'!$G$20</f>
        <v>10136.60201793873</v>
      </c>
      <c r="E54" s="148">
        <f>'SEEM Data'!$G$21</f>
        <v>13845.73261375291</v>
      </c>
      <c r="F54" s="149">
        <f>'SEEM Data'!$G$22</f>
        <v>8333.962938097475</v>
      </c>
      <c r="J54" s="395">
        <f ca="1">'Momentum Savings'!P7</f>
        <v>12489.441472001286</v>
      </c>
      <c r="K54" s="422">
        <f ca="1">'Momentum Savings'!Q7</f>
        <v>15888.622942091628</v>
      </c>
      <c r="L54" s="422">
        <f ca="1">'Momentum Savings'!R7</f>
        <v>23959.427116329083</v>
      </c>
      <c r="M54" s="422">
        <f ca="1">'Momentum Savings'!S7</f>
        <v>22108.03424035209</v>
      </c>
      <c r="N54" s="423">
        <f ca="1">'Momentum Savings'!T7</f>
        <v>27904.810292211227</v>
      </c>
      <c r="P54" s="163" t="s">
        <v>56</v>
      </c>
      <c r="Q54" s="154" t="s">
        <v>478</v>
      </c>
      <c r="R54" s="159">
        <f>'Sales Data (Combined)'!Q70</f>
        <v>0.05704606305666357</v>
      </c>
      <c r="S54" s="159">
        <f>'Sales Data (Combined)'!R70</f>
        <v>0.05367273371941853</v>
      </c>
      <c r="T54" s="159">
        <f>'Sales Data (Combined)'!S70</f>
        <v>0.05001091941471937</v>
      </c>
      <c r="U54" s="159">
        <f>'Sales Data (Combined)'!T70</f>
        <v>0.06944279080842958</v>
      </c>
      <c r="V54" s="181">
        <f>'Sales Data (Combined)'!U70</f>
        <v>0.07196405648267008</v>
      </c>
    </row>
    <row r="55" spans="2:22" ht="15.75" thickBot="1">
      <c r="B55" s="738" t="s">
        <v>479</v>
      </c>
      <c r="C55" s="148">
        <f>'SEEM Data'!$H$19</f>
        <v>6066.389451234167</v>
      </c>
      <c r="D55" s="148">
        <f>'SEEM Data'!$H$20</f>
        <v>9665.915040530686</v>
      </c>
      <c r="E55" s="148">
        <f>'SEEM Data'!$H$21</f>
        <v>13212.86077899923</v>
      </c>
      <c r="F55" s="149">
        <f>'SEEM Data'!$H$22</f>
        <v>7888.2217452092555</v>
      </c>
      <c r="P55" s="163" t="s">
        <v>56</v>
      </c>
      <c r="Q55" s="154" t="s">
        <v>479</v>
      </c>
      <c r="R55" s="159">
        <f>'Sales Data (Combined)'!Q71</f>
        <v>0.05704606305666357</v>
      </c>
      <c r="S55" s="159">
        <f>'Sales Data (Combined)'!R71</f>
        <v>0.05367273371941853</v>
      </c>
      <c r="T55" s="159">
        <f>'Sales Data (Combined)'!S71</f>
        <v>0.05001091941471937</v>
      </c>
      <c r="U55" s="159">
        <f>'Sales Data (Combined)'!T71</f>
        <v>0.06944279080842958</v>
      </c>
      <c r="V55" s="181">
        <f>'Sales Data (Combined)'!U71</f>
        <v>0.07196405648267008</v>
      </c>
    </row>
    <row r="56" spans="2:22" ht="15">
      <c r="B56" s="738" t="s">
        <v>480</v>
      </c>
      <c r="C56" s="148">
        <f>'SEEM Data'!$I$19</f>
        <v>5665.429112250922</v>
      </c>
      <c r="D56" s="148">
        <f>'SEEM Data'!$I$20</f>
        <v>9195.228063215049</v>
      </c>
      <c r="E56" s="148">
        <f>'SEEM Data'!$I$21</f>
        <v>12579.988944442723</v>
      </c>
      <c r="F56" s="149">
        <f>'SEEM Data'!$I$22</f>
        <v>7442.480552360992</v>
      </c>
      <c r="J56" s="827" t="s">
        <v>338</v>
      </c>
      <c r="K56" s="828"/>
      <c r="L56" s="828"/>
      <c r="M56" s="828"/>
      <c r="N56" s="829"/>
      <c r="P56" s="163" t="s">
        <v>56</v>
      </c>
      <c r="Q56" s="154" t="s">
        <v>480</v>
      </c>
      <c r="R56" s="159">
        <f>'Sales Data (Combined)'!Q72</f>
        <v>0.025080596688705534</v>
      </c>
      <c r="S56" s="159">
        <f>'Sales Data (Combined)'!R72</f>
        <v>0.014803214750029554</v>
      </c>
      <c r="T56" s="159">
        <f>'Sales Data (Combined)'!S72</f>
        <v>0.014340831331440635</v>
      </c>
      <c r="U56" s="159">
        <f>'Sales Data (Combined)'!T72</f>
        <v>0.0027979521371591857</v>
      </c>
      <c r="V56" s="181">
        <f>'Sales Data (Combined)'!U72</f>
        <v>0.007034659820282414</v>
      </c>
    </row>
    <row r="57" spans="2:22" ht="15">
      <c r="B57" s="738" t="s">
        <v>481</v>
      </c>
      <c r="C57" s="148">
        <f>'SEEM Data'!$J$19</f>
        <v>5264.46877327675</v>
      </c>
      <c r="D57" s="148">
        <f>'SEEM Data'!$J$20</f>
        <v>8724.54108587401</v>
      </c>
      <c r="E57" s="148">
        <f>'SEEM Data'!$J$21</f>
        <v>11947.117109931078</v>
      </c>
      <c r="F57" s="149">
        <f>'SEEM Data'!$J$22</f>
        <v>6996.739359514933</v>
      </c>
      <c r="J57" s="404">
        <v>2010</v>
      </c>
      <c r="K57" s="405">
        <v>2011</v>
      </c>
      <c r="L57" s="406">
        <v>2012</v>
      </c>
      <c r="M57" s="406">
        <v>2013</v>
      </c>
      <c r="N57" s="414">
        <v>2014</v>
      </c>
      <c r="P57" s="163" t="s">
        <v>56</v>
      </c>
      <c r="Q57" s="154" t="s">
        <v>481</v>
      </c>
      <c r="R57" s="159">
        <f>'Sales Data (Combined)'!Q73</f>
        <v>0.025080596688705534</v>
      </c>
      <c r="S57" s="159">
        <f>'Sales Data (Combined)'!R73</f>
        <v>0.014803214750029554</v>
      </c>
      <c r="T57" s="159">
        <f>'Sales Data (Combined)'!S73</f>
        <v>0.014340831331440635</v>
      </c>
      <c r="U57" s="159">
        <f>'Sales Data (Combined)'!T73</f>
        <v>0.0027979521371591857</v>
      </c>
      <c r="V57" s="181">
        <f>'Sales Data (Combined)'!U73</f>
        <v>0.007034659820282414</v>
      </c>
    </row>
    <row r="58" spans="2:22" ht="15.75" thickBot="1">
      <c r="B58" s="739" t="s">
        <v>482</v>
      </c>
      <c r="C58" s="150">
        <f>'SEEM Data'!$K$19</f>
        <v>4462.548095383174</v>
      </c>
      <c r="D58" s="150">
        <f>'SEEM Data'!$K$20</f>
        <v>7783.167131020156</v>
      </c>
      <c r="E58" s="150">
        <f>'SEEM Data'!$K$21</f>
        <v>10681.373440652182</v>
      </c>
      <c r="F58" s="151">
        <f>'SEEM Data'!$K$22</f>
        <v>6105.256973777078</v>
      </c>
      <c r="J58" s="436">
        <f ca="1">J54/8760</f>
        <v>1.4257353278540281</v>
      </c>
      <c r="K58" s="437">
        <f ca="1">K54/8760</f>
        <v>1.8137697422479027</v>
      </c>
      <c r="L58" s="437">
        <f ca="1">L54/8760</f>
        <v>2.73509441967227</v>
      </c>
      <c r="M58" s="437">
        <f ca="1">M54/8760</f>
        <v>2.523748200953435</v>
      </c>
      <c r="N58" s="438">
        <f ca="1">N54/8760</f>
        <v>3.1854806269647518</v>
      </c>
      <c r="P58" s="182" t="s">
        <v>56</v>
      </c>
      <c r="Q58" s="183" t="s">
        <v>482</v>
      </c>
      <c r="R58" s="184">
        <f>'Sales Data (Combined)'!Q74</f>
        <v>0.0371017977159718</v>
      </c>
      <c r="S58" s="184">
        <f>'Sales Data (Combined)'!R74</f>
        <v>0.02783358941023521</v>
      </c>
      <c r="T58" s="184">
        <f>'Sales Data (Combined)'!S74</f>
        <v>0.0377811749290238</v>
      </c>
      <c r="U58" s="184">
        <f>'Sales Data (Combined)'!T74</f>
        <v>0.0358375997142517</v>
      </c>
      <c r="V58" s="185">
        <f>'Sales Data (Combined)'!U74</f>
        <v>0.024030808729139923</v>
      </c>
    </row>
    <row r="59" spans="10:14" ht="15.75" thickBot="1">
      <c r="J59" s="713"/>
      <c r="K59" s="713"/>
      <c r="L59" s="713"/>
      <c r="M59" s="713"/>
      <c r="N59" s="713"/>
    </row>
    <row r="60" spans="2:18" ht="15">
      <c r="B60" s="440" t="s">
        <v>340</v>
      </c>
      <c r="C60" s="441"/>
      <c r="D60" s="441"/>
      <c r="E60" s="441"/>
      <c r="F60" s="442"/>
      <c r="J60" s="713"/>
      <c r="K60" s="713"/>
      <c r="L60" s="713"/>
      <c r="M60" s="713"/>
      <c r="N60" s="713"/>
      <c r="R60" s="73"/>
    </row>
    <row r="61" spans="2:18" ht="15">
      <c r="B61" s="119" t="s">
        <v>314</v>
      </c>
      <c r="C61" s="120">
        <v>1</v>
      </c>
      <c r="D61" s="120">
        <v>2</v>
      </c>
      <c r="E61" s="120">
        <v>3</v>
      </c>
      <c r="F61" s="121" t="s">
        <v>318</v>
      </c>
      <c r="R61" s="73"/>
    </row>
    <row r="62" spans="2:18" ht="15">
      <c r="B62" s="122" t="s">
        <v>320</v>
      </c>
      <c r="C62" s="148"/>
      <c r="D62" s="148"/>
      <c r="E62" s="148"/>
      <c r="F62" s="149"/>
      <c r="R62" s="73"/>
    </row>
    <row r="63" spans="2:18" ht="15">
      <c r="B63" s="738" t="s">
        <v>476</v>
      </c>
      <c r="C63" s="148">
        <f>'SEEM Data'!$E$19</f>
        <v>7570.140011758354</v>
      </c>
      <c r="D63" s="148">
        <f>'SEEM Data'!$E$20</f>
        <v>11432.907696896658</v>
      </c>
      <c r="E63" s="148">
        <f>'SEEM Data'!$E$21</f>
        <v>15561.457282407451</v>
      </c>
      <c r="F63" s="149">
        <f>'SEEM Data'!$E$22</f>
        <v>9557.918725064344</v>
      </c>
      <c r="R63" s="73"/>
    </row>
    <row r="64" spans="2:18" ht="12.75">
      <c r="B64" s="738" t="s">
        <v>477</v>
      </c>
      <c r="C64" s="148">
        <f>'SEEM Data'!$F$19</f>
        <v>6868.310129160836</v>
      </c>
      <c r="D64" s="148">
        <f>'SEEM Data'!$F$20</f>
        <v>10607.288995230037</v>
      </c>
      <c r="E64" s="148">
        <f>'SEEM Data'!$F$21</f>
        <v>14478.604448322998</v>
      </c>
      <c r="F64" s="149">
        <f>'SEEM Data'!$F$22</f>
        <v>8779.704130924265</v>
      </c>
      <c r="R64" s="73"/>
    </row>
    <row r="65" spans="2:6" ht="12.75">
      <c r="B65" s="738" t="s">
        <v>478</v>
      </c>
      <c r="C65" s="148">
        <f>'SEEM Data'!$G$19</f>
        <v>6467.349790203593</v>
      </c>
      <c r="D65" s="148">
        <f>'SEEM Data'!$G$20</f>
        <v>10136.60201793873</v>
      </c>
      <c r="E65" s="148">
        <f>'SEEM Data'!$G$21</f>
        <v>13845.73261375291</v>
      </c>
      <c r="F65" s="149">
        <f>'SEEM Data'!$G$22</f>
        <v>8333.962938097475</v>
      </c>
    </row>
    <row r="66" spans="2:6" ht="12.75">
      <c r="B66" s="738" t="s">
        <v>479</v>
      </c>
      <c r="C66" s="148">
        <f>'SEEM Data'!$H$19</f>
        <v>6066.389451234167</v>
      </c>
      <c r="D66" s="148">
        <f>'SEEM Data'!$H$20</f>
        <v>9665.915040530686</v>
      </c>
      <c r="E66" s="148">
        <f>'SEEM Data'!$H$21</f>
        <v>13212.86077899923</v>
      </c>
      <c r="F66" s="149">
        <f>'SEEM Data'!$H$22</f>
        <v>7888.2217452092555</v>
      </c>
    </row>
    <row r="67" spans="2:6" ht="12.75">
      <c r="B67" s="738" t="s">
        <v>480</v>
      </c>
      <c r="C67" s="148">
        <f>'SEEM Data'!$I$19</f>
        <v>5665.429112250922</v>
      </c>
      <c r="D67" s="148">
        <f>'SEEM Data'!$I$20</f>
        <v>9195.228063215049</v>
      </c>
      <c r="E67" s="148">
        <f>'SEEM Data'!$I$21</f>
        <v>12579.988944442723</v>
      </c>
      <c r="F67" s="149">
        <f>'SEEM Data'!$I$22</f>
        <v>7442.480552360992</v>
      </c>
    </row>
    <row r="68" spans="2:6" ht="12.75">
      <c r="B68" s="738" t="s">
        <v>481</v>
      </c>
      <c r="C68" s="148">
        <f>'SEEM Data'!$J$19</f>
        <v>5264.46877327675</v>
      </c>
      <c r="D68" s="148">
        <f>'SEEM Data'!$J$20</f>
        <v>8724.54108587401</v>
      </c>
      <c r="E68" s="148">
        <f>'SEEM Data'!$J$21</f>
        <v>11947.117109931078</v>
      </c>
      <c r="F68" s="149">
        <f>'SEEM Data'!$J$22</f>
        <v>6996.739359514933</v>
      </c>
    </row>
    <row r="69" spans="2:6" ht="15.75" thickBot="1">
      <c r="B69" s="739" t="s">
        <v>482</v>
      </c>
      <c r="C69" s="150">
        <f>'SEEM Data'!$K$19</f>
        <v>4462.548095383174</v>
      </c>
      <c r="D69" s="150">
        <f>'SEEM Data'!$K$20</f>
        <v>7783.167131020156</v>
      </c>
      <c r="E69" s="150">
        <f>'SEEM Data'!$K$21</f>
        <v>10681.373440652182</v>
      </c>
      <c r="F69" s="151">
        <f>'SEEM Data'!$K$22</f>
        <v>6105.256973777078</v>
      </c>
    </row>
    <row r="70" ht="15.75" thickBot="1"/>
    <row r="71" spans="2:6" ht="12.75">
      <c r="B71" s="440" t="s">
        <v>343</v>
      </c>
      <c r="C71" s="441"/>
      <c r="D71" s="441"/>
      <c r="E71" s="441"/>
      <c r="F71" s="442"/>
    </row>
    <row r="72" spans="2:6" ht="12.75">
      <c r="B72" s="119" t="s">
        <v>314</v>
      </c>
      <c r="C72" s="120">
        <v>1</v>
      </c>
      <c r="D72" s="120">
        <v>2</v>
      </c>
      <c r="E72" s="120">
        <v>3</v>
      </c>
      <c r="F72" s="121" t="s">
        <v>318</v>
      </c>
    </row>
    <row r="73" spans="2:6" ht="12.75">
      <c r="B73" s="122" t="s">
        <v>320</v>
      </c>
      <c r="C73" s="148">
        <f aca="true" t="shared" si="2" ref="C73:F80">C7*$K$47</f>
        <v>10460.183091674095</v>
      </c>
      <c r="D73" s="148">
        <f t="shared" si="2"/>
        <v>12838.941350824767</v>
      </c>
      <c r="E73" s="148">
        <f t="shared" si="2"/>
        <v>17361.73664980113</v>
      </c>
      <c r="F73" s="149">
        <f t="shared" si="2"/>
        <v>11885.34332878872</v>
      </c>
    </row>
    <row r="74" spans="2:6" ht="12.75">
      <c r="B74" s="738" t="s">
        <v>476</v>
      </c>
      <c r="C74" s="148">
        <f t="shared" si="2"/>
        <v>5711.600648418943</v>
      </c>
      <c r="D74" s="148">
        <f t="shared" si="2"/>
        <v>8372.938535159003</v>
      </c>
      <c r="E74" s="148">
        <f t="shared" si="2"/>
        <v>9952.790155599692</v>
      </c>
      <c r="F74" s="149">
        <f t="shared" si="2"/>
        <v>6952.738025820053</v>
      </c>
    </row>
    <row r="75" spans="2:6" ht="12.75">
      <c r="B75" s="738" t="s">
        <v>477</v>
      </c>
      <c r="C75" s="148">
        <f t="shared" si="2"/>
        <v>5360.685484040489</v>
      </c>
      <c r="D75" s="148">
        <f t="shared" si="2"/>
        <v>7982.519267489288</v>
      </c>
      <c r="E75" s="148">
        <f t="shared" si="2"/>
        <v>9557.567905357573</v>
      </c>
      <c r="F75" s="149">
        <f t="shared" si="2"/>
        <v>6585.292973549472</v>
      </c>
    </row>
    <row r="76" spans="2:6" ht="12.75">
      <c r="B76" s="738" t="s">
        <v>478</v>
      </c>
      <c r="C76" s="148">
        <f t="shared" si="2"/>
        <v>5222.232515173673</v>
      </c>
      <c r="D76" s="148">
        <f t="shared" si="2"/>
        <v>7855.265725089348</v>
      </c>
      <c r="E76" s="148">
        <f t="shared" si="2"/>
        <v>9433.766087240414</v>
      </c>
      <c r="F76" s="149">
        <f t="shared" si="2"/>
        <v>6451.738423987254</v>
      </c>
    </row>
    <row r="77" spans="2:6" ht="12.75">
      <c r="B77" s="738" t="s">
        <v>479</v>
      </c>
      <c r="C77" s="148">
        <f t="shared" si="2"/>
        <v>5086.387323495339</v>
      </c>
      <c r="D77" s="148">
        <f t="shared" si="2"/>
        <v>7735.482841419963</v>
      </c>
      <c r="E77" s="148">
        <f t="shared" si="2"/>
        <v>9320.385232652407</v>
      </c>
      <c r="F77" s="149">
        <f t="shared" si="2"/>
        <v>6323.065949173608</v>
      </c>
    </row>
    <row r="78" spans="2:6" ht="12.75">
      <c r="B78" s="738" t="s">
        <v>480</v>
      </c>
      <c r="C78" s="148">
        <f t="shared" si="2"/>
        <v>4952.9748347828645</v>
      </c>
      <c r="D78" s="148">
        <f t="shared" si="2"/>
        <v>7622.243755658786</v>
      </c>
      <c r="E78" s="148">
        <f t="shared" si="2"/>
        <v>9216.719592165215</v>
      </c>
      <c r="F78" s="149">
        <f t="shared" si="2"/>
        <v>6198.817628692521</v>
      </c>
    </row>
    <row r="79" spans="2:6" ht="12.75">
      <c r="B79" s="738" t="s">
        <v>481</v>
      </c>
      <c r="C79" s="148">
        <f t="shared" si="2"/>
        <v>4821.747899329782</v>
      </c>
      <c r="D79" s="148">
        <f t="shared" si="2"/>
        <v>7515.244669414484</v>
      </c>
      <c r="E79" s="148">
        <f t="shared" si="2"/>
        <v>9120.84809080421</v>
      </c>
      <c r="F79" s="149">
        <f t="shared" si="2"/>
        <v>6078.559117779379</v>
      </c>
    </row>
    <row r="80" spans="2:6" ht="15.75" thickBot="1">
      <c r="B80" s="739" t="s">
        <v>482</v>
      </c>
      <c r="C80" s="150">
        <f t="shared" si="2"/>
        <v>4565.031934897084</v>
      </c>
      <c r="D80" s="150">
        <f t="shared" si="2"/>
        <v>7317.7440136567775</v>
      </c>
      <c r="E80" s="150">
        <f t="shared" si="2"/>
        <v>8950.142282264294</v>
      </c>
      <c r="F80" s="151">
        <f t="shared" si="2"/>
        <v>5848.610268262191</v>
      </c>
    </row>
    <row r="81" ht="15.75" thickBot="1"/>
    <row r="82" spans="2:6" ht="12.75">
      <c r="B82" s="440" t="s">
        <v>344</v>
      </c>
      <c r="C82" s="441"/>
      <c r="D82" s="441"/>
      <c r="E82" s="441"/>
      <c r="F82" s="442"/>
    </row>
    <row r="83" spans="2:6" ht="12.75">
      <c r="B83" s="119" t="s">
        <v>314</v>
      </c>
      <c r="C83" s="120">
        <v>1</v>
      </c>
      <c r="D83" s="120">
        <v>2</v>
      </c>
      <c r="E83" s="120">
        <v>3</v>
      </c>
      <c r="F83" s="121" t="s">
        <v>318</v>
      </c>
    </row>
    <row r="84" spans="2:6" ht="12.75">
      <c r="B84" s="122" t="s">
        <v>320</v>
      </c>
      <c r="C84" s="148">
        <f aca="true" t="shared" si="3" ref="C84:F91">C18*$K$47</f>
        <v>0</v>
      </c>
      <c r="D84" s="148">
        <f t="shared" si="3"/>
        <v>0</v>
      </c>
      <c r="E84" s="148">
        <f t="shared" si="3"/>
        <v>0</v>
      </c>
      <c r="F84" s="149">
        <f t="shared" si="3"/>
        <v>0</v>
      </c>
    </row>
    <row r="85" spans="2:6" ht="12.75">
      <c r="B85" s="738" t="s">
        <v>476</v>
      </c>
      <c r="C85" s="148">
        <f t="shared" si="3"/>
        <v>5270.312062329025</v>
      </c>
      <c r="D85" s="148">
        <f t="shared" si="3"/>
        <v>7648.522804337056</v>
      </c>
      <c r="E85" s="148">
        <f t="shared" si="3"/>
        <v>8907.623614132292</v>
      </c>
      <c r="F85" s="149">
        <f t="shared" si="3"/>
        <v>6363.910415407944</v>
      </c>
    </row>
    <row r="86" spans="2:6" ht="12.75">
      <c r="B86" s="738" t="s">
        <v>477</v>
      </c>
      <c r="C86" s="148">
        <f t="shared" si="3"/>
        <v>4966.561161739183</v>
      </c>
      <c r="D86" s="148">
        <f t="shared" si="3"/>
        <v>7333.24384513514</v>
      </c>
      <c r="E86" s="148">
        <f t="shared" si="3"/>
        <v>8615.880029776119</v>
      </c>
      <c r="F86" s="149">
        <f t="shared" si="3"/>
        <v>6057.867447853378</v>
      </c>
    </row>
    <row r="87" spans="2:6" ht="12.75">
      <c r="B87" s="738" t="s">
        <v>478</v>
      </c>
      <c r="C87" s="148">
        <f t="shared" si="3"/>
        <v>4849.7863381958105</v>
      </c>
      <c r="D87" s="148">
        <f t="shared" si="3"/>
        <v>7237.92836478566</v>
      </c>
      <c r="E87" s="148">
        <f t="shared" si="3"/>
        <v>8537.21441172313</v>
      </c>
      <c r="F87" s="149">
        <f t="shared" si="3"/>
        <v>5951.497419748793</v>
      </c>
    </row>
    <row r="88" spans="2:6" ht="12.75">
      <c r="B88" s="738" t="s">
        <v>479</v>
      </c>
      <c r="C88" s="148">
        <f t="shared" si="3"/>
        <v>4735.113899670485</v>
      </c>
      <c r="D88" s="148">
        <f t="shared" si="3"/>
        <v>7147.662622881522</v>
      </c>
      <c r="E88" s="148">
        <f t="shared" si="3"/>
        <v>8464.456807980445</v>
      </c>
      <c r="F88" s="149">
        <f t="shared" si="3"/>
        <v>5848.513806060644</v>
      </c>
    </row>
    <row r="89" spans="2:6" ht="12.75">
      <c r="B89" s="738" t="s">
        <v>480</v>
      </c>
      <c r="C89" s="148">
        <f t="shared" si="3"/>
        <v>4622.387888576243</v>
      </c>
      <c r="D89" s="148">
        <f t="shared" si="3"/>
        <v>7062.666572132966</v>
      </c>
      <c r="E89" s="148">
        <f t="shared" si="3"/>
        <v>8398.17378719264</v>
      </c>
      <c r="F89" s="149">
        <f t="shared" si="3"/>
        <v>5748.948492564727</v>
      </c>
    </row>
    <row r="90" spans="2:6" ht="12.75">
      <c r="B90" s="738" t="s">
        <v>481</v>
      </c>
      <c r="C90" s="148">
        <f t="shared" si="3"/>
        <v>4511.521743932174</v>
      </c>
      <c r="D90" s="148">
        <f t="shared" si="3"/>
        <v>6982.702918207201</v>
      </c>
      <c r="E90" s="148">
        <f t="shared" si="3"/>
        <v>8338.535920168688</v>
      </c>
      <c r="F90" s="149">
        <f t="shared" si="3"/>
        <v>5652.695114395281</v>
      </c>
    </row>
    <row r="91" spans="2:6" ht="15.75" thickBot="1">
      <c r="B91" s="739" t="s">
        <v>482</v>
      </c>
      <c r="C91" s="150">
        <f t="shared" si="3"/>
        <v>4295.466493429467</v>
      </c>
      <c r="D91" s="150">
        <f t="shared" si="3"/>
        <v>6838.570504079946</v>
      </c>
      <c r="E91" s="150">
        <f t="shared" si="3"/>
        <v>8237.557584525159</v>
      </c>
      <c r="F91" s="151">
        <f t="shared" si="3"/>
        <v>5470.228231809887</v>
      </c>
    </row>
  </sheetData>
  <mergeCells count="25">
    <mergeCell ref="J52:N52"/>
    <mergeCell ref="J56:N56"/>
    <mergeCell ref="X6:Y6"/>
    <mergeCell ref="X7:Y7"/>
    <mergeCell ref="H45:N45"/>
    <mergeCell ref="H46:I46"/>
    <mergeCell ref="H47:I47"/>
    <mergeCell ref="J49:N50"/>
    <mergeCell ref="J51:N51"/>
    <mergeCell ref="H44:I44"/>
    <mergeCell ref="H38:I38"/>
    <mergeCell ref="H39:I39"/>
    <mergeCell ref="H40:I40"/>
    <mergeCell ref="H41:N41"/>
    <mergeCell ref="H42:I42"/>
    <mergeCell ref="K42:N42"/>
    <mergeCell ref="H43:I43"/>
    <mergeCell ref="X2:AD3"/>
    <mergeCell ref="B4:F4"/>
    <mergeCell ref="H4:N4"/>
    <mergeCell ref="P4:V4"/>
    <mergeCell ref="X4:AD4"/>
    <mergeCell ref="B2:F3"/>
    <mergeCell ref="H2:N3"/>
    <mergeCell ref="P2:V3"/>
  </mergeCells>
  <dataValidations count="3">
    <dataValidation type="list" allowBlank="1" showInputMessage="1" showErrorMessage="1" sqref="J47">
      <formula1>'Analysis Overview'!$B$44:$B$45</formula1>
    </dataValidation>
    <dataValidation type="list" allowBlank="1" showInputMessage="1" showErrorMessage="1" sqref="J46">
      <formula1>'Analysis Overview'!$B$38:$B$40</formula1>
    </dataValidation>
    <dataValidation type="list" allowBlank="1" showInputMessage="1" showErrorMessage="1" sqref="J42">
      <formula1>'Analysis Overview'!$B$35:$B$36</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AF64"/>
  <sheetViews>
    <sheetView showGridLines="0" zoomScale="70" zoomScaleNormal="70" workbookViewId="0" topLeftCell="A1"/>
  </sheetViews>
  <sheetFormatPr defaultColWidth="9.140625" defaultRowHeight="12.75"/>
  <cols>
    <col min="1" max="1" width="2.421875" style="44" customWidth="1"/>
    <col min="2" max="2" width="30.00390625" style="44" customWidth="1"/>
    <col min="3" max="3" width="41.28125" style="44" customWidth="1"/>
    <col min="4" max="8" width="10.00390625" style="44" bestFit="1" customWidth="1"/>
    <col min="9" max="9" width="9.140625" style="44" customWidth="1"/>
    <col min="10" max="10" width="45.421875" style="44" customWidth="1"/>
    <col min="11" max="11" width="27.421875" style="44" customWidth="1"/>
    <col min="12" max="17" width="9.140625" style="44" customWidth="1"/>
    <col min="18" max="18" width="25.57421875" style="44" customWidth="1"/>
    <col min="19" max="19" width="18.140625" style="44" customWidth="1"/>
    <col min="20" max="24" width="10.00390625" style="44" customWidth="1"/>
    <col min="25" max="25" width="9.140625" style="44" customWidth="1"/>
    <col min="26" max="26" width="26.00390625" style="44" customWidth="1"/>
    <col min="27" max="27" width="19.140625" style="44" bestFit="1" customWidth="1"/>
    <col min="28" max="28" width="10.00390625" style="44" bestFit="1" customWidth="1"/>
    <col min="29" max="16384" width="9.140625" style="44" customWidth="1"/>
  </cols>
  <sheetData>
    <row r="2" spans="2:32" ht="15" customHeight="1">
      <c r="B2" s="837" t="s">
        <v>242</v>
      </c>
      <c r="C2" s="837"/>
      <c r="D2" s="837"/>
      <c r="E2" s="837"/>
      <c r="F2" s="837"/>
      <c r="G2" s="837"/>
      <c r="H2" s="837"/>
      <c r="I2" s="858" t="s">
        <v>345</v>
      </c>
      <c r="J2" s="837" t="s">
        <v>246</v>
      </c>
      <c r="K2" s="837"/>
      <c r="L2" s="837"/>
      <c r="M2" s="837"/>
      <c r="N2" s="837"/>
      <c r="O2" s="837"/>
      <c r="P2" s="837"/>
      <c r="Q2" s="858" t="s">
        <v>216</v>
      </c>
      <c r="R2" s="837" t="s">
        <v>255</v>
      </c>
      <c r="S2" s="837"/>
      <c r="T2" s="837"/>
      <c r="U2" s="837"/>
      <c r="V2" s="837"/>
      <c r="W2" s="837"/>
      <c r="X2" s="837"/>
      <c r="Y2" s="837"/>
      <c r="Z2" s="837"/>
      <c r="AA2" s="837"/>
      <c r="AB2" s="837"/>
      <c r="AC2" s="837"/>
      <c r="AD2" s="837"/>
      <c r="AE2" s="837"/>
      <c r="AF2" s="837"/>
    </row>
    <row r="3" spans="2:32" ht="15.75" customHeight="1">
      <c r="B3" s="837"/>
      <c r="C3" s="837"/>
      <c r="D3" s="837"/>
      <c r="E3" s="837"/>
      <c r="F3" s="837"/>
      <c r="G3" s="837"/>
      <c r="H3" s="837"/>
      <c r="I3" s="858"/>
      <c r="J3" s="837"/>
      <c r="K3" s="837"/>
      <c r="L3" s="837"/>
      <c r="M3" s="837"/>
      <c r="N3" s="837"/>
      <c r="O3" s="837"/>
      <c r="P3" s="837"/>
      <c r="Q3" s="858"/>
      <c r="R3" s="837"/>
      <c r="S3" s="837"/>
      <c r="T3" s="837"/>
      <c r="U3" s="837"/>
      <c r="V3" s="837"/>
      <c r="W3" s="837"/>
      <c r="X3" s="837"/>
      <c r="Y3" s="837"/>
      <c r="Z3" s="837"/>
      <c r="AA3" s="837"/>
      <c r="AB3" s="837"/>
      <c r="AC3" s="837"/>
      <c r="AD3" s="837"/>
      <c r="AE3" s="837"/>
      <c r="AF3" s="837"/>
    </row>
    <row r="4" spans="2:32" ht="25.5" customHeight="1">
      <c r="B4" s="839" t="str">
        <f>'Analysis Overview'!$C$4</f>
        <v>The size of the HVAC market (number of shipments) by year, housing type, and installation type</v>
      </c>
      <c r="C4" s="839"/>
      <c r="D4" s="839"/>
      <c r="E4" s="839"/>
      <c r="F4" s="839"/>
      <c r="G4" s="839"/>
      <c r="H4" s="839"/>
      <c r="I4" s="74"/>
      <c r="J4" s="857" t="str">
        <f>'Analysis Overview'!$C$5</f>
        <v>The percent of each unit efficiency in the market, by year, under the Sixth Plan Baseline and in the actual market</v>
      </c>
      <c r="K4" s="857"/>
      <c r="L4" s="857"/>
      <c r="M4" s="857"/>
      <c r="N4" s="857"/>
      <c r="O4" s="857"/>
      <c r="P4" s="857"/>
      <c r="Q4" s="74"/>
      <c r="R4" s="839" t="str">
        <f>'Analysis Overview'!$C$10</f>
        <v>The number of units sold into the market by year, efficiency level, base/actual market,  installation type, and housing type</v>
      </c>
      <c r="S4" s="839"/>
      <c r="T4" s="839"/>
      <c r="U4" s="839"/>
      <c r="V4" s="839"/>
      <c r="W4" s="839"/>
      <c r="X4" s="839"/>
      <c r="Y4" s="839"/>
      <c r="Z4" s="839"/>
      <c r="AA4" s="839"/>
      <c r="AB4" s="839"/>
      <c r="AC4" s="839"/>
      <c r="AD4" s="839"/>
      <c r="AE4" s="839"/>
      <c r="AF4" s="839"/>
    </row>
    <row r="5" spans="2:32" ht="15.75" customHeight="1">
      <c r="B5" s="74"/>
      <c r="C5" s="74"/>
      <c r="D5" s="74"/>
      <c r="E5" s="74"/>
      <c r="F5" s="74"/>
      <c r="G5" s="74"/>
      <c r="H5" s="74"/>
      <c r="I5" s="74"/>
      <c r="J5" s="74"/>
      <c r="K5" s="74"/>
      <c r="L5" s="74"/>
      <c r="M5" s="74"/>
      <c r="N5" s="74"/>
      <c r="O5" s="74"/>
      <c r="P5" s="74"/>
      <c r="Q5" s="74"/>
      <c r="R5" s="49" t="s">
        <v>346</v>
      </c>
      <c r="S5" s="49"/>
      <c r="T5" s="49"/>
      <c r="U5" s="49"/>
      <c r="V5" s="49"/>
      <c r="W5" s="49"/>
      <c r="X5" s="49"/>
      <c r="Y5" s="74"/>
      <c r="Z5" s="49" t="s">
        <v>347</v>
      </c>
      <c r="AA5" s="49"/>
      <c r="AB5" s="49"/>
      <c r="AC5" s="49"/>
      <c r="AD5" s="49"/>
      <c r="AE5" s="49"/>
      <c r="AF5" s="49"/>
    </row>
    <row r="6" spans="9:32" ht="15" customHeight="1" thickBot="1">
      <c r="I6" s="75"/>
      <c r="R6" s="50" t="s">
        <v>348</v>
      </c>
      <c r="S6" s="50"/>
      <c r="T6" s="50"/>
      <c r="U6" s="50"/>
      <c r="V6" s="50"/>
      <c r="W6" s="50"/>
      <c r="X6" s="50"/>
      <c r="Z6" s="50" t="s">
        <v>348</v>
      </c>
      <c r="AA6" s="50"/>
      <c r="AB6" s="50"/>
      <c r="AC6" s="50"/>
      <c r="AD6" s="50"/>
      <c r="AE6" s="50"/>
      <c r="AF6" s="50"/>
    </row>
    <row r="7" spans="2:32" ht="15.75" thickBot="1">
      <c r="B7" s="102" t="str">
        <f>'Input and Scenario Summary'!H5</f>
        <v>Single Family Homes</v>
      </c>
      <c r="C7" s="103"/>
      <c r="D7" s="103"/>
      <c r="E7" s="103"/>
      <c r="F7" s="103"/>
      <c r="G7" s="103"/>
      <c r="H7" s="104"/>
      <c r="J7" s="443" t="str">
        <f>'Input and Scenario Summary'!P5</f>
        <v>Base Case - Conversions - % of Total E-FAF natural replacement market not converted to gas</v>
      </c>
      <c r="K7" s="444"/>
      <c r="L7" s="444"/>
      <c r="M7" s="444"/>
      <c r="N7" s="444"/>
      <c r="O7" s="444"/>
      <c r="P7" s="445"/>
      <c r="R7" s="830" t="s">
        <v>349</v>
      </c>
      <c r="S7" s="831"/>
      <c r="T7" s="831"/>
      <c r="U7" s="831"/>
      <c r="V7" s="831"/>
      <c r="W7" s="831"/>
      <c r="X7" s="832"/>
      <c r="Z7" s="830" t="s">
        <v>350</v>
      </c>
      <c r="AA7" s="831"/>
      <c r="AB7" s="831"/>
      <c r="AC7" s="831"/>
      <c r="AD7" s="831"/>
      <c r="AE7" s="831"/>
      <c r="AF7" s="832"/>
    </row>
    <row r="8" spans="2:32" ht="12.75">
      <c r="B8" s="105" t="str">
        <f>'Input and Scenario Summary'!H6</f>
        <v>ALL HEATING ZONES</v>
      </c>
      <c r="C8" s="106" t="str">
        <f>'Input and Scenario Summary'!I6</f>
        <v>SHIPMENTS</v>
      </c>
      <c r="D8" s="106">
        <f>'Input and Scenario Summary'!J6</f>
        <v>2010</v>
      </c>
      <c r="E8" s="106">
        <f>'Input and Scenario Summary'!K6</f>
        <v>2011</v>
      </c>
      <c r="F8" s="106">
        <f>'Input and Scenario Summary'!L6</f>
        <v>2012</v>
      </c>
      <c r="G8" s="106">
        <f>'Input and Scenario Summary'!M6</f>
        <v>2013</v>
      </c>
      <c r="H8" s="111">
        <f>'Input and Scenario Summary'!N6</f>
        <v>2014</v>
      </c>
      <c r="J8" s="122" t="str">
        <f>'Input and Scenario Summary'!P6</f>
        <v>Unit Type</v>
      </c>
      <c r="K8" s="152" t="str">
        <f>'Input and Scenario Summary'!Q6</f>
        <v>Efficiency Level</v>
      </c>
      <c r="L8" s="157">
        <f>'Input and Scenario Summary'!R6</f>
        <v>2010</v>
      </c>
      <c r="M8" s="157">
        <f>'Input and Scenario Summary'!S6</f>
        <v>2011</v>
      </c>
      <c r="N8" s="157">
        <f>'Input and Scenario Summary'!T6</f>
        <v>2012</v>
      </c>
      <c r="O8" s="157">
        <f>'Input and Scenario Summary'!U6</f>
        <v>2013</v>
      </c>
      <c r="P8" s="158">
        <f>'Input and Scenario Summary'!V6</f>
        <v>2014</v>
      </c>
      <c r="R8" s="119" t="s">
        <v>301</v>
      </c>
      <c r="S8" s="120" t="s">
        <v>310</v>
      </c>
      <c r="T8" s="120">
        <v>2010</v>
      </c>
      <c r="U8" s="120">
        <v>2011</v>
      </c>
      <c r="V8" s="120">
        <v>2012</v>
      </c>
      <c r="W8" s="120">
        <v>2013</v>
      </c>
      <c r="X8" s="384">
        <v>2014</v>
      </c>
      <c r="Z8" s="388" t="s">
        <v>301</v>
      </c>
      <c r="AA8" s="389" t="s">
        <v>310</v>
      </c>
      <c r="AB8" s="157">
        <v>2010</v>
      </c>
      <c r="AC8" s="157">
        <v>2011</v>
      </c>
      <c r="AD8" s="157">
        <v>2012</v>
      </c>
      <c r="AE8" s="157">
        <v>2013</v>
      </c>
      <c r="AF8" s="158">
        <v>2014</v>
      </c>
    </row>
    <row r="9" spans="2:32" ht="12.75">
      <c r="B9" s="107" t="str">
        <f>'Input and Scenario Summary'!H7</f>
        <v>Air Source Heat Pump</v>
      </c>
      <c r="C9" s="108" t="str">
        <f>'Input and Scenario Summary'!I7</f>
        <v>Total Shipments - Conversions</v>
      </c>
      <c r="D9" s="130">
        <f ca="1">'Input and Scenario Summary'!J7</f>
        <v>3351.4288355257886</v>
      </c>
      <c r="E9" s="130">
        <f ca="1">'Input and Scenario Summary'!K7</f>
        <v>5126.550419509367</v>
      </c>
      <c r="F9" s="130">
        <f ca="1">'Input and Scenario Summary'!L7</f>
        <v>6099.69478742519</v>
      </c>
      <c r="G9" s="130">
        <f ca="1">'Input and Scenario Summary'!M7</f>
        <v>6209.67615178077</v>
      </c>
      <c r="H9" s="131">
        <f ca="1">'Input and Scenario Summary'!N7</f>
        <v>6070.729167527869</v>
      </c>
      <c r="J9" s="153" t="str">
        <f>'Input and Scenario Summary'!P7</f>
        <v>Forced Air Furnace</v>
      </c>
      <c r="K9" s="154" t="str">
        <f>'Input and Scenario Summary'!Q7</f>
        <v>n/a</v>
      </c>
      <c r="L9" s="159">
        <f>'Input and Scenario Summary'!R7</f>
        <v>0.85</v>
      </c>
      <c r="M9" s="159">
        <f>'Input and Scenario Summary'!S7</f>
        <v>0.85</v>
      </c>
      <c r="N9" s="159">
        <f>'Input and Scenario Summary'!T7</f>
        <v>0.85</v>
      </c>
      <c r="O9" s="159">
        <f>'Input and Scenario Summary'!U7</f>
        <v>0.85</v>
      </c>
      <c r="P9" s="160">
        <f>'Input and Scenario Summary'!V7</f>
        <v>0.85</v>
      </c>
      <c r="R9" s="122" t="s">
        <v>130</v>
      </c>
      <c r="S9" s="148" t="s">
        <v>129</v>
      </c>
      <c r="T9" s="148">
        <f ca="1">L9*D$16</f>
        <v>7557.279029204334</v>
      </c>
      <c r="U9" s="148">
        <f aca="true" t="shared" si="0" ref="U9:U16">M9*E$16</f>
        <v>10043.771791897674</v>
      </c>
      <c r="V9" s="148">
        <f aca="true" t="shared" si="1" ref="V9:V16">N9*F$16</f>
        <v>10260.978252637588</v>
      </c>
      <c r="W9" s="148">
        <f aca="true" t="shared" si="2" ref="W9:W16">O9*G$16</f>
        <v>10922.625719636484</v>
      </c>
      <c r="X9" s="167">
        <f aca="true" t="shared" si="3" ref="X9:X16">P9*H$16</f>
        <v>10805.399773612331</v>
      </c>
      <c r="Z9" s="153" t="s">
        <v>130</v>
      </c>
      <c r="AA9" s="154" t="s">
        <v>129</v>
      </c>
      <c r="AB9" s="148">
        <f aca="true" t="shared" si="4" ref="AB9:AF16">L31*D$16</f>
        <v>5539.487669420487</v>
      </c>
      <c r="AC9" s="148">
        <f ca="1" t="shared" si="4"/>
        <v>6689.651688605543</v>
      </c>
      <c r="AD9" s="148">
        <f ca="1" t="shared" si="4"/>
        <v>5972.044333324912</v>
      </c>
      <c r="AE9" s="148">
        <f ca="1" t="shared" si="4"/>
        <v>6640.471753673918</v>
      </c>
      <c r="AF9" s="386">
        <f ca="1" t="shared" si="4"/>
        <v>6641.505860251345</v>
      </c>
    </row>
    <row r="10" spans="2:32" ht="12.75">
      <c r="B10" s="107" t="str">
        <f>'Input and Scenario Summary'!H8</f>
        <v>Air Source Heat Pump</v>
      </c>
      <c r="C10" s="108" t="str">
        <f>'Input and Scenario Summary'!I8</f>
        <v>Total Shipments - Upgrades</v>
      </c>
      <c r="D10" s="130">
        <f ca="1">'Input and Scenario Summary'!J8</f>
        <v>30452.89733187101</v>
      </c>
      <c r="E10" s="130">
        <f ca="1">'Input and Scenario Summary'!K8</f>
        <v>31529.4884864472</v>
      </c>
      <c r="F10" s="130">
        <f ca="1">'Input and Scenario Summary'!L8</f>
        <v>32925.02996020787</v>
      </c>
      <c r="G10" s="130">
        <f ca="1">'Input and Scenario Summary'!M8</f>
        <v>34203.05305085231</v>
      </c>
      <c r="H10" s="131">
        <f ca="1">'Input and Scenario Summary'!N8</f>
        <v>34799.92799941941</v>
      </c>
      <c r="J10" s="153" t="str">
        <f>'Input and Scenario Summary'!P8</f>
        <v>Air Source Heat Pump</v>
      </c>
      <c r="K10" s="154" t="str">
        <f>'Input and Scenario Summary'!Q8</f>
        <v>HSPF_7.7</v>
      </c>
      <c r="L10" s="159">
        <f>'Input and Scenario Summary'!R8</f>
        <v>0</v>
      </c>
      <c r="M10" s="159">
        <f>'Input and Scenario Summary'!S8</f>
        <v>0</v>
      </c>
      <c r="N10" s="159">
        <f>'Input and Scenario Summary'!T8</f>
        <v>0</v>
      </c>
      <c r="O10" s="159">
        <f>'Input and Scenario Summary'!U8</f>
        <v>0</v>
      </c>
      <c r="P10" s="160">
        <f>'Input and Scenario Summary'!V8</f>
        <v>0</v>
      </c>
      <c r="R10" s="122" t="s">
        <v>56</v>
      </c>
      <c r="S10" s="148" t="s">
        <v>302</v>
      </c>
      <c r="T10" s="148">
        <f aca="true" t="shared" si="5" ref="T10:T16">L10*D$16</f>
        <v>0</v>
      </c>
      <c r="U10" s="148">
        <f ca="1" t="shared" si="0"/>
        <v>0</v>
      </c>
      <c r="V10" s="148">
        <f ca="1" t="shared" si="1"/>
        <v>0</v>
      </c>
      <c r="W10" s="148">
        <f ca="1" t="shared" si="2"/>
        <v>0</v>
      </c>
      <c r="X10" s="167">
        <f ca="1" t="shared" si="3"/>
        <v>0</v>
      </c>
      <c r="Y10" s="76"/>
      <c r="Z10" s="390" t="s">
        <v>56</v>
      </c>
      <c r="AA10" s="391" t="s">
        <v>302</v>
      </c>
      <c r="AB10" s="148">
        <f ca="1" t="shared" si="4"/>
        <v>1117.8144151712702</v>
      </c>
      <c r="AC10" s="148">
        <f ca="1" t="shared" si="4"/>
        <v>1815.4265646432498</v>
      </c>
      <c r="AD10" s="148">
        <f ca="1" t="shared" si="4"/>
        <v>2117.6690975028546</v>
      </c>
      <c r="AE10" s="148">
        <f ca="1" t="shared" si="4"/>
        <v>2162.4075257445406</v>
      </c>
      <c r="AF10" s="386">
        <f ca="1" t="shared" si="4"/>
        <v>2089.5028973867065</v>
      </c>
    </row>
    <row r="11" spans="2:32" ht="15.75" thickBot="1">
      <c r="B11" s="109"/>
      <c r="C11" s="110" t="str">
        <f>'Input and Scenario Summary'!I9</f>
        <v>Total</v>
      </c>
      <c r="D11" s="132">
        <f ca="1">'Input and Scenario Summary'!J9</f>
        <v>33804.32616739679</v>
      </c>
      <c r="E11" s="132">
        <f ca="1">'Input and Scenario Summary'!K9</f>
        <v>36656.038905956564</v>
      </c>
      <c r="F11" s="132">
        <f ca="1">'Input and Scenario Summary'!L9</f>
        <v>39024.72474763306</v>
      </c>
      <c r="G11" s="132">
        <f ca="1">'Input and Scenario Summary'!M9</f>
        <v>40412.729202633076</v>
      </c>
      <c r="H11" s="133">
        <f ca="1">'Input and Scenario Summary'!N9</f>
        <v>40870.657166947276</v>
      </c>
      <c r="J11" s="153" t="str">
        <f>'Input and Scenario Summary'!P9</f>
        <v>Air Source Heat Pump</v>
      </c>
      <c r="K11" s="154" t="str">
        <f>'Input and Scenario Summary'!Q9</f>
        <v>HSPF_8.5</v>
      </c>
      <c r="L11" s="159">
        <f>'Input and Scenario Summary'!R9</f>
        <v>0.1</v>
      </c>
      <c r="M11" s="159">
        <f>'Input and Scenario Summary'!S9</f>
        <v>0.1</v>
      </c>
      <c r="N11" s="159">
        <f>'Input and Scenario Summary'!T9</f>
        <v>0.1</v>
      </c>
      <c r="O11" s="159">
        <f>'Input and Scenario Summary'!U9</f>
        <v>0.1</v>
      </c>
      <c r="P11" s="160">
        <f>'Input and Scenario Summary'!V9</f>
        <v>0.1</v>
      </c>
      <c r="R11" s="122" t="s">
        <v>56</v>
      </c>
      <c r="S11" s="148" t="s">
        <v>303</v>
      </c>
      <c r="T11" s="148">
        <f ca="1" t="shared" si="5"/>
        <v>889.0916504946276</v>
      </c>
      <c r="U11" s="148">
        <f ca="1" t="shared" si="0"/>
        <v>1181.620210811491</v>
      </c>
      <c r="V11" s="148">
        <f ca="1" t="shared" si="1"/>
        <v>1207.1739120750103</v>
      </c>
      <c r="W11" s="148">
        <f ca="1" t="shared" si="2"/>
        <v>1285.0147905454687</v>
      </c>
      <c r="X11" s="167">
        <f ca="1" t="shared" si="3"/>
        <v>1271.2235027779216</v>
      </c>
      <c r="Y11" s="76"/>
      <c r="Z11" s="390" t="s">
        <v>56</v>
      </c>
      <c r="AA11" s="391" t="s">
        <v>303</v>
      </c>
      <c r="AB11" s="148">
        <f ca="1" t="shared" si="4"/>
        <v>1558.7870743672756</v>
      </c>
      <c r="AC11" s="148">
        <f ca="1" t="shared" si="4"/>
        <v>2466.342750693923</v>
      </c>
      <c r="AD11" s="148">
        <f ca="1" t="shared" si="4"/>
        <v>2966.5199769688948</v>
      </c>
      <c r="AE11" s="148">
        <f ca="1" t="shared" si="4"/>
        <v>2927.5455004412806</v>
      </c>
      <c r="AF11" s="386">
        <f ca="1" t="shared" si="4"/>
        <v>2876.1821161547036</v>
      </c>
    </row>
    <row r="12" spans="2:32" ht="15.75" thickBot="1">
      <c r="B12" s="99"/>
      <c r="C12" s="100"/>
      <c r="D12" s="100"/>
      <c r="E12" s="100"/>
      <c r="F12" s="100"/>
      <c r="G12" s="100"/>
      <c r="H12" s="101"/>
      <c r="J12" s="153" t="str">
        <f>'Input and Scenario Summary'!P10</f>
        <v>Air Source Heat Pump</v>
      </c>
      <c r="K12" s="154" t="str">
        <f>'Input and Scenario Summary'!Q10</f>
        <v>HSPF_9.0</v>
      </c>
      <c r="L12" s="159">
        <f>'Input and Scenario Summary'!R10</f>
        <v>0.05</v>
      </c>
      <c r="M12" s="159">
        <f>'Input and Scenario Summary'!S10</f>
        <v>0.05</v>
      </c>
      <c r="N12" s="159">
        <f>'Input and Scenario Summary'!T10</f>
        <v>0.05</v>
      </c>
      <c r="O12" s="159">
        <f>'Input and Scenario Summary'!U10</f>
        <v>0.05</v>
      </c>
      <c r="P12" s="160">
        <f>'Input and Scenario Summary'!V10</f>
        <v>0.05</v>
      </c>
      <c r="R12" s="122" t="s">
        <v>56</v>
      </c>
      <c r="S12" s="148" t="s">
        <v>304</v>
      </c>
      <c r="T12" s="148">
        <f ca="1" t="shared" si="5"/>
        <v>444.5458252473138</v>
      </c>
      <c r="U12" s="148">
        <f ca="1" t="shared" si="0"/>
        <v>590.8101054057455</v>
      </c>
      <c r="V12" s="148">
        <f ca="1" t="shared" si="1"/>
        <v>603.5869560375052</v>
      </c>
      <c r="W12" s="148">
        <f ca="1" t="shared" si="2"/>
        <v>642.5073952727344</v>
      </c>
      <c r="X12" s="167">
        <f ca="1" t="shared" si="3"/>
        <v>635.6117513889608</v>
      </c>
      <c r="Y12" s="76"/>
      <c r="Z12" s="390" t="s">
        <v>56</v>
      </c>
      <c r="AA12" s="391" t="s">
        <v>304</v>
      </c>
      <c r="AB12" s="148">
        <f ca="1" t="shared" si="4"/>
        <v>191.1858206813247</v>
      </c>
      <c r="AC12" s="148">
        <f ca="1" t="shared" si="4"/>
        <v>275.1559755654996</v>
      </c>
      <c r="AD12" s="148">
        <f ca="1" t="shared" si="4"/>
        <v>305.05134446830493</v>
      </c>
      <c r="AE12" s="148">
        <f ca="1" t="shared" si="4"/>
        <v>431.217241996206</v>
      </c>
      <c r="AF12" s="386">
        <f ca="1" t="shared" si="4"/>
        <v>436.8742967029683</v>
      </c>
    </row>
    <row r="13" spans="2:32" ht="12.75">
      <c r="B13" s="112" t="str">
        <f>'Input and Scenario Summary'!H11</f>
        <v>Electric Forced Air Furnace</v>
      </c>
      <c r="C13" s="113" t="str">
        <f>'Input and Scenario Summary'!I11</f>
        <v>Qty Converted to ASHP</v>
      </c>
      <c r="D13" s="134">
        <f ca="1">'Input and Scenario Summary'!J11</f>
        <v>3351.4288355257886</v>
      </c>
      <c r="E13" s="134">
        <f ca="1">'Input and Scenario Summary'!K11</f>
        <v>5126.550419509367</v>
      </c>
      <c r="F13" s="134">
        <f ca="1">'Input and Scenario Summary'!L11</f>
        <v>6099.69478742519</v>
      </c>
      <c r="G13" s="134">
        <f ca="1">'Input and Scenario Summary'!M11</f>
        <v>6209.67615178077</v>
      </c>
      <c r="H13" s="135">
        <f ca="1">'Input and Scenario Summary'!N11</f>
        <v>6070.729167527869</v>
      </c>
      <c r="J13" s="153" t="str">
        <f>'Input and Scenario Summary'!P11</f>
        <v>Air Source Heat Pump</v>
      </c>
      <c r="K13" s="154" t="str">
        <f>'Input and Scenario Summary'!Q11</f>
        <v>HSPF_9.5</v>
      </c>
      <c r="L13" s="159">
        <f>'Input and Scenario Summary'!R11</f>
        <v>0</v>
      </c>
      <c r="M13" s="159">
        <f>'Input and Scenario Summary'!S11</f>
        <v>0</v>
      </c>
      <c r="N13" s="159">
        <f>'Input and Scenario Summary'!T11</f>
        <v>0</v>
      </c>
      <c r="O13" s="159">
        <f>'Input and Scenario Summary'!U11</f>
        <v>0</v>
      </c>
      <c r="P13" s="160">
        <f>'Input and Scenario Summary'!V11</f>
        <v>0</v>
      </c>
      <c r="R13" s="122" t="s">
        <v>56</v>
      </c>
      <c r="S13" s="148" t="s">
        <v>305</v>
      </c>
      <c r="T13" s="148">
        <f ca="1" t="shared" si="5"/>
        <v>0</v>
      </c>
      <c r="U13" s="148">
        <f ca="1" t="shared" si="0"/>
        <v>0</v>
      </c>
      <c r="V13" s="148">
        <f ca="1" t="shared" si="1"/>
        <v>0</v>
      </c>
      <c r="W13" s="148">
        <f ca="1" t="shared" si="2"/>
        <v>0</v>
      </c>
      <c r="X13" s="167">
        <f ca="1" t="shared" si="3"/>
        <v>0</v>
      </c>
      <c r="Y13" s="76"/>
      <c r="Z13" s="390" t="s">
        <v>56</v>
      </c>
      <c r="AA13" s="391" t="s">
        <v>305</v>
      </c>
      <c r="AB13" s="148">
        <f ca="1" t="shared" si="4"/>
        <v>191.1858206813247</v>
      </c>
      <c r="AC13" s="148">
        <f ca="1" t="shared" si="4"/>
        <v>275.1559755654996</v>
      </c>
      <c r="AD13" s="148">
        <f ca="1" t="shared" si="4"/>
        <v>305.05134446830493</v>
      </c>
      <c r="AE13" s="148">
        <f ca="1" t="shared" si="4"/>
        <v>431.217241996206</v>
      </c>
      <c r="AF13" s="386">
        <f ca="1" t="shared" si="4"/>
        <v>436.8742967029683</v>
      </c>
    </row>
    <row r="14" spans="2:32" ht="12.75">
      <c r="B14" s="107" t="str">
        <f>'Input and Scenario Summary'!H12</f>
        <v>Electric Forced Air Furnace</v>
      </c>
      <c r="C14" s="108" t="str">
        <f>'Input and Scenario Summary'!I12</f>
        <v>Qty Converted to Gas FAF</v>
      </c>
      <c r="D14" s="130">
        <f ca="1">'Input and Scenario Summary'!J12</f>
        <v>9053.793443273047</v>
      </c>
      <c r="E14" s="130">
        <f ca="1">'Input and Scenario Summary'!K12</f>
        <v>8237.809751004574</v>
      </c>
      <c r="F14" s="130">
        <f ca="1">'Input and Scenario Summary'!L12</f>
        <v>8006.052533691164</v>
      </c>
      <c r="G14" s="130">
        <f ca="1">'Input and Scenario Summary'!M12</f>
        <v>8311.19066656843</v>
      </c>
      <c r="H14" s="131">
        <f ca="1">'Input and Scenario Summary'!N12</f>
        <v>8756.480042509374</v>
      </c>
      <c r="J14" s="153" t="str">
        <f>'Input and Scenario Summary'!P12</f>
        <v>Air Source Heat Pump</v>
      </c>
      <c r="K14" s="154" t="str">
        <f>'Input and Scenario Summary'!Q12</f>
        <v>HSPF_10.0</v>
      </c>
      <c r="L14" s="159">
        <f>'Input and Scenario Summary'!R12</f>
        <v>0</v>
      </c>
      <c r="M14" s="159">
        <f>'Input and Scenario Summary'!S12</f>
        <v>0</v>
      </c>
      <c r="N14" s="159">
        <f>'Input and Scenario Summary'!T12</f>
        <v>0</v>
      </c>
      <c r="O14" s="159">
        <f>'Input and Scenario Summary'!U12</f>
        <v>0</v>
      </c>
      <c r="P14" s="160">
        <f>'Input and Scenario Summary'!V12</f>
        <v>0</v>
      </c>
      <c r="R14" s="122" t="s">
        <v>56</v>
      </c>
      <c r="S14" s="148" t="s">
        <v>306</v>
      </c>
      <c r="T14" s="148">
        <f ca="1" t="shared" si="5"/>
        <v>0</v>
      </c>
      <c r="U14" s="148">
        <f ca="1" t="shared" si="0"/>
        <v>0</v>
      </c>
      <c r="V14" s="148">
        <f ca="1" t="shared" si="1"/>
        <v>0</v>
      </c>
      <c r="W14" s="148">
        <f ca="1" t="shared" si="2"/>
        <v>0</v>
      </c>
      <c r="X14" s="167">
        <f ca="1" t="shared" si="3"/>
        <v>0</v>
      </c>
      <c r="Y14" s="76"/>
      <c r="Z14" s="390" t="s">
        <v>56</v>
      </c>
      <c r="AA14" s="391" t="s">
        <v>306</v>
      </c>
      <c r="AB14" s="148">
        <f ca="1" t="shared" si="4"/>
        <v>84.05583495472034</v>
      </c>
      <c r="AC14" s="148">
        <f ca="1" t="shared" si="4"/>
        <v>75.88942678685126</v>
      </c>
      <c r="AD14" s="148">
        <f ca="1" t="shared" si="4"/>
        <v>87.47469411973229</v>
      </c>
      <c r="AE14" s="148">
        <f ca="1" t="shared" si="4"/>
        <v>17.374376659941433</v>
      </c>
      <c r="AF14" s="386">
        <f ca="1" t="shared" si="4"/>
        <v>42.705514554624806</v>
      </c>
    </row>
    <row r="15" spans="2:32" ht="15.75" thickBot="1">
      <c r="B15" s="114" t="str">
        <f>'Input and Scenario Summary'!H13</f>
        <v>Electric Forced Air Furnace</v>
      </c>
      <c r="C15" s="115" t="str">
        <f>'Input and Scenario Summary'!I13</f>
        <v>Qty Remaining Electric FAF</v>
      </c>
      <c r="D15" s="136">
        <f ca="1">'Input and Scenario Summary'!J13</f>
        <v>5539.487669420487</v>
      </c>
      <c r="E15" s="136">
        <f ca="1">'Input and Scenario Summary'!K13</f>
        <v>6689.651688605543</v>
      </c>
      <c r="F15" s="136">
        <f ca="1">'Input and Scenario Summary'!L13</f>
        <v>5972.044333324912</v>
      </c>
      <c r="G15" s="136">
        <f ca="1">'Input and Scenario Summary'!M13</f>
        <v>6640.471753673917</v>
      </c>
      <c r="H15" s="137">
        <f ca="1">'Input and Scenario Summary'!N13</f>
        <v>6641.5058602513445</v>
      </c>
      <c r="J15" s="153" t="str">
        <f>'Input and Scenario Summary'!P13</f>
        <v>Air Source Heat Pump</v>
      </c>
      <c r="K15" s="154" t="str">
        <f>'Input and Scenario Summary'!Q13</f>
        <v>HSPF_10.5</v>
      </c>
      <c r="L15" s="159">
        <f>'Input and Scenario Summary'!R13</f>
        <v>0</v>
      </c>
      <c r="M15" s="159">
        <f>'Input and Scenario Summary'!S13</f>
        <v>0</v>
      </c>
      <c r="N15" s="159">
        <f>'Input and Scenario Summary'!T13</f>
        <v>0</v>
      </c>
      <c r="O15" s="159">
        <f>'Input and Scenario Summary'!U13</f>
        <v>0</v>
      </c>
      <c r="P15" s="160">
        <f>'Input and Scenario Summary'!V13</f>
        <v>0</v>
      </c>
      <c r="R15" s="122" t="s">
        <v>56</v>
      </c>
      <c r="S15" s="148" t="s">
        <v>307</v>
      </c>
      <c r="T15" s="148">
        <f ca="1" t="shared" si="5"/>
        <v>0</v>
      </c>
      <c r="U15" s="148">
        <f ca="1" t="shared" si="0"/>
        <v>0</v>
      </c>
      <c r="V15" s="148">
        <f ca="1" t="shared" si="1"/>
        <v>0</v>
      </c>
      <c r="W15" s="148">
        <f ca="1" t="shared" si="2"/>
        <v>0</v>
      </c>
      <c r="X15" s="167">
        <f ca="1" t="shared" si="3"/>
        <v>0</v>
      </c>
      <c r="Y15" s="76"/>
      <c r="Z15" s="390" t="s">
        <v>56</v>
      </c>
      <c r="AA15" s="391" t="s">
        <v>307</v>
      </c>
      <c r="AB15" s="148">
        <f ca="1" t="shared" si="4"/>
        <v>84.05583495472034</v>
      </c>
      <c r="AC15" s="148">
        <f ca="1" t="shared" si="4"/>
        <v>75.88942678685126</v>
      </c>
      <c r="AD15" s="148">
        <f ca="1" t="shared" si="4"/>
        <v>87.47469411973229</v>
      </c>
      <c r="AE15" s="148">
        <f ca="1" t="shared" si="4"/>
        <v>17.374376659941433</v>
      </c>
      <c r="AF15" s="386">
        <f ca="1" t="shared" si="4"/>
        <v>42.705514554624806</v>
      </c>
    </row>
    <row r="16" spans="2:32" ht="15.75" thickBot="1">
      <c r="B16" s="112"/>
      <c r="C16" s="116" t="str">
        <f>'Input and Scenario Summary'!I14</f>
        <v>Total E-FAF natural replacement market size not converted to gas</v>
      </c>
      <c r="D16" s="138">
        <f ca="1">'Input and Scenario Summary'!J14</f>
        <v>8890.916504946275</v>
      </c>
      <c r="E16" s="138">
        <f ca="1">'Input and Scenario Summary'!K14</f>
        <v>11816.20210811491</v>
      </c>
      <c r="F16" s="138">
        <f ca="1">'Input and Scenario Summary'!L14</f>
        <v>12071.739120750102</v>
      </c>
      <c r="G16" s="138">
        <f ca="1">'Input and Scenario Summary'!M14</f>
        <v>12850.147905454687</v>
      </c>
      <c r="H16" s="139">
        <f ca="1">'Input and Scenario Summary'!N14</f>
        <v>12712.235027779214</v>
      </c>
      <c r="J16" s="155" t="str">
        <f>'Input and Scenario Summary'!P14</f>
        <v>Air Source Heat Pump</v>
      </c>
      <c r="K16" s="156" t="str">
        <f>'Input and Scenario Summary'!Q14</f>
        <v>HSPF_11.5</v>
      </c>
      <c r="L16" s="161">
        <f>'Input and Scenario Summary'!R14</f>
        <v>0</v>
      </c>
      <c r="M16" s="161">
        <f>'Input and Scenario Summary'!S14</f>
        <v>0</v>
      </c>
      <c r="N16" s="161">
        <f>'Input and Scenario Summary'!T14</f>
        <v>0</v>
      </c>
      <c r="O16" s="161">
        <f>'Input and Scenario Summary'!U14</f>
        <v>0</v>
      </c>
      <c r="P16" s="162">
        <f>'Input and Scenario Summary'!V14</f>
        <v>0</v>
      </c>
      <c r="R16" s="123" t="s">
        <v>56</v>
      </c>
      <c r="S16" s="150" t="s">
        <v>308</v>
      </c>
      <c r="T16" s="150">
        <f ca="1" t="shared" si="5"/>
        <v>0</v>
      </c>
      <c r="U16" s="150">
        <f ca="1" t="shared" si="0"/>
        <v>0</v>
      </c>
      <c r="V16" s="150">
        <f ca="1" t="shared" si="1"/>
        <v>0</v>
      </c>
      <c r="W16" s="150">
        <f ca="1" t="shared" si="2"/>
        <v>0</v>
      </c>
      <c r="X16" s="385">
        <f ca="1" t="shared" si="3"/>
        <v>0</v>
      </c>
      <c r="Y16" s="76"/>
      <c r="Z16" s="392" t="s">
        <v>56</v>
      </c>
      <c r="AA16" s="393" t="s">
        <v>308</v>
      </c>
      <c r="AB16" s="150">
        <f ca="1" t="shared" si="4"/>
        <v>124.34403471515274</v>
      </c>
      <c r="AC16" s="150">
        <f ca="1" t="shared" si="4"/>
        <v>142.6902994674928</v>
      </c>
      <c r="AD16" s="150">
        <f ca="1" t="shared" si="4"/>
        <v>230.45363577736578</v>
      </c>
      <c r="AE16" s="150">
        <f ca="1" t="shared" si="4"/>
        <v>222.5398882826541</v>
      </c>
      <c r="AF16" s="387">
        <f ca="1" t="shared" si="4"/>
        <v>145.88453147127308</v>
      </c>
    </row>
    <row r="17" spans="2:32" ht="15.75" thickBot="1">
      <c r="B17" s="117"/>
      <c r="C17" s="118" t="str">
        <f>'Input and Scenario Summary'!I15</f>
        <v>Total E-FAF natural replacement market size</v>
      </c>
      <c r="D17" s="132">
        <f ca="1">'Input and Scenario Summary'!J15</f>
        <v>17944.709948219323</v>
      </c>
      <c r="E17" s="132">
        <f ca="1">'Input and Scenario Summary'!K15</f>
        <v>20054.011859119484</v>
      </c>
      <c r="F17" s="132">
        <f ca="1">'Input and Scenario Summary'!L15</f>
        <v>20077.791654441266</v>
      </c>
      <c r="G17" s="132">
        <f ca="1">'Input and Scenario Summary'!M15</f>
        <v>21161.338572023116</v>
      </c>
      <c r="H17" s="133">
        <f ca="1">'Input and Scenario Summary'!N15</f>
        <v>21468.71507028859</v>
      </c>
      <c r="J17" s="59"/>
      <c r="K17" s="59"/>
      <c r="L17" s="59"/>
      <c r="M17" s="59"/>
      <c r="N17" s="59"/>
      <c r="O17" s="59"/>
      <c r="P17" s="59"/>
      <c r="R17" s="50" t="s">
        <v>351</v>
      </c>
      <c r="S17" s="50"/>
      <c r="T17" s="50"/>
      <c r="U17" s="50"/>
      <c r="V17" s="50"/>
      <c r="W17" s="50"/>
      <c r="X17" s="50"/>
      <c r="Y17" s="76"/>
      <c r="Z17" s="50" t="s">
        <v>351</v>
      </c>
      <c r="AA17" s="50"/>
      <c r="AB17" s="50"/>
      <c r="AC17" s="50"/>
      <c r="AD17" s="50"/>
      <c r="AE17" s="50"/>
      <c r="AF17" s="50"/>
    </row>
    <row r="18" spans="3:32" ht="15.75" thickBot="1">
      <c r="C18" s="62"/>
      <c r="J18" s="443" t="str">
        <f>'Input and Scenario Summary'!P16</f>
        <v>Base Case - Upgrades - Single Family &amp; Manufactured Homes</v>
      </c>
      <c r="K18" s="444"/>
      <c r="L18" s="444"/>
      <c r="M18" s="444"/>
      <c r="N18" s="444"/>
      <c r="O18" s="444"/>
      <c r="P18" s="445"/>
      <c r="R18" s="830" t="s">
        <v>349</v>
      </c>
      <c r="S18" s="831"/>
      <c r="T18" s="831"/>
      <c r="U18" s="831"/>
      <c r="V18" s="831"/>
      <c r="W18" s="831"/>
      <c r="X18" s="832"/>
      <c r="Y18" s="76"/>
      <c r="Z18" s="830" t="s">
        <v>350</v>
      </c>
      <c r="AA18" s="831"/>
      <c r="AB18" s="831"/>
      <c r="AC18" s="831"/>
      <c r="AD18" s="831"/>
      <c r="AE18" s="831"/>
      <c r="AF18" s="832"/>
    </row>
    <row r="19" spans="2:32" ht="15.75" thickBot="1">
      <c r="B19" s="102" t="str">
        <f>'Input and Scenario Summary'!H17</f>
        <v>Manufactured Homes</v>
      </c>
      <c r="C19" s="103"/>
      <c r="D19" s="103"/>
      <c r="E19" s="103"/>
      <c r="F19" s="103"/>
      <c r="G19" s="103"/>
      <c r="H19" s="104"/>
      <c r="J19" s="122" t="str">
        <f>'Input and Scenario Summary'!P17</f>
        <v>Unit Type</v>
      </c>
      <c r="K19" s="152" t="str">
        <f>'Input and Scenario Summary'!Q17</f>
        <v>Efficiency Level</v>
      </c>
      <c r="L19" s="157">
        <f>'Input and Scenario Summary'!R17</f>
        <v>2010</v>
      </c>
      <c r="M19" s="157">
        <f>'Input and Scenario Summary'!S17</f>
        <v>2011</v>
      </c>
      <c r="N19" s="157">
        <f>'Input and Scenario Summary'!T17</f>
        <v>2012</v>
      </c>
      <c r="O19" s="157">
        <f>'Input and Scenario Summary'!U17</f>
        <v>2013</v>
      </c>
      <c r="P19" s="158">
        <f>'Input and Scenario Summary'!V17</f>
        <v>2014</v>
      </c>
      <c r="R19" s="388" t="s">
        <v>301</v>
      </c>
      <c r="S19" s="389" t="s">
        <v>310</v>
      </c>
      <c r="T19" s="157">
        <v>2010</v>
      </c>
      <c r="U19" s="157">
        <v>2011</v>
      </c>
      <c r="V19" s="157">
        <v>2012</v>
      </c>
      <c r="W19" s="157">
        <v>2013</v>
      </c>
      <c r="X19" s="158">
        <v>2014</v>
      </c>
      <c r="Y19" s="76"/>
      <c r="Z19" s="388" t="s">
        <v>301</v>
      </c>
      <c r="AA19" s="389" t="s">
        <v>310</v>
      </c>
      <c r="AB19" s="157">
        <v>2010</v>
      </c>
      <c r="AC19" s="157">
        <v>2011</v>
      </c>
      <c r="AD19" s="157">
        <v>2012</v>
      </c>
      <c r="AE19" s="157">
        <v>2013</v>
      </c>
      <c r="AF19" s="158">
        <v>2014</v>
      </c>
    </row>
    <row r="20" spans="2:32" ht="12.75">
      <c r="B20" s="105" t="str">
        <f>'Input and Scenario Summary'!H18</f>
        <v>ALL HEATING ZONES</v>
      </c>
      <c r="C20" s="106" t="str">
        <f>'Input and Scenario Summary'!I18</f>
        <v>SHIPMENTS</v>
      </c>
      <c r="D20" s="106">
        <f>'Input and Scenario Summary'!J18</f>
        <v>2010</v>
      </c>
      <c r="E20" s="106">
        <f>'Input and Scenario Summary'!K18</f>
        <v>2011</v>
      </c>
      <c r="F20" s="106">
        <f>'Input and Scenario Summary'!L18</f>
        <v>2012</v>
      </c>
      <c r="G20" s="106">
        <f>'Input and Scenario Summary'!M18</f>
        <v>2013</v>
      </c>
      <c r="H20" s="111">
        <f>'Input and Scenario Summary'!N18</f>
        <v>2014</v>
      </c>
      <c r="J20" s="153" t="str">
        <f>'Input and Scenario Summary'!P18</f>
        <v>Forced Air Furnace</v>
      </c>
      <c r="K20" s="154" t="str">
        <f>'Input and Scenario Summary'!Q18</f>
        <v>n/a</v>
      </c>
      <c r="L20" s="159">
        <f>'Input and Scenario Summary'!R18</f>
        <v>0</v>
      </c>
      <c r="M20" s="159">
        <f>'Input and Scenario Summary'!S18</f>
        <v>0</v>
      </c>
      <c r="N20" s="159">
        <f>'Input and Scenario Summary'!T18</f>
        <v>0</v>
      </c>
      <c r="O20" s="159">
        <f>'Input and Scenario Summary'!U18</f>
        <v>0</v>
      </c>
      <c r="P20" s="160">
        <f>'Input and Scenario Summary'!V18</f>
        <v>0</v>
      </c>
      <c r="R20" s="153" t="s">
        <v>130</v>
      </c>
      <c r="S20" s="154" t="s">
        <v>129</v>
      </c>
      <c r="T20" s="148">
        <f aca="true" t="shared" si="6" ref="T20:X27">L20*D$10</f>
        <v>0</v>
      </c>
      <c r="U20" s="148">
        <f ca="1" t="shared" si="6"/>
        <v>0</v>
      </c>
      <c r="V20" s="148">
        <f ca="1" t="shared" si="6"/>
        <v>0</v>
      </c>
      <c r="W20" s="148">
        <f ca="1" t="shared" si="6"/>
        <v>0</v>
      </c>
      <c r="X20" s="386">
        <f ca="1" t="shared" si="6"/>
        <v>0</v>
      </c>
      <c r="Y20" s="76"/>
      <c r="Z20" s="153" t="s">
        <v>130</v>
      </c>
      <c r="AA20" s="154" t="s">
        <v>129</v>
      </c>
      <c r="AB20" s="148">
        <f aca="true" t="shared" si="7" ref="AB20:AF27">L53*D$10</f>
        <v>0</v>
      </c>
      <c r="AC20" s="148">
        <f ca="1" t="shared" si="7"/>
        <v>0</v>
      </c>
      <c r="AD20" s="148">
        <f ca="1" t="shared" si="7"/>
        <v>0</v>
      </c>
      <c r="AE20" s="148">
        <f ca="1" t="shared" si="7"/>
        <v>0</v>
      </c>
      <c r="AF20" s="386">
        <f ca="1" t="shared" si="7"/>
        <v>0</v>
      </c>
    </row>
    <row r="21" spans="2:32" ht="12.75">
      <c r="B21" s="107" t="str">
        <f>'Input and Scenario Summary'!H19</f>
        <v>Air Source Heat Pump</v>
      </c>
      <c r="C21" s="108" t="str">
        <f>'Input and Scenario Summary'!I19</f>
        <v>Total Shipments - Conversions</v>
      </c>
      <c r="D21" s="130">
        <f ca="1">'Input and Scenario Summary'!J19</f>
        <v>3152.673903184047</v>
      </c>
      <c r="E21" s="130">
        <f ca="1">'Input and Scenario Summary'!K19</f>
        <v>3096.6101365489203</v>
      </c>
      <c r="F21" s="130">
        <f ca="1">'Input and Scenario Summary'!L19</f>
        <v>2997.6638806019687</v>
      </c>
      <c r="G21" s="130">
        <f ca="1">'Input and Scenario Summary'!M19</f>
        <v>2879.2807059480183</v>
      </c>
      <c r="H21" s="131">
        <f ca="1">'Input and Scenario Summary'!N19</f>
        <v>2734.180917624275</v>
      </c>
      <c r="J21" s="153" t="str">
        <f>'Input and Scenario Summary'!P19</f>
        <v>Air Source Heat Pump</v>
      </c>
      <c r="K21" s="154" t="str">
        <f>'Input and Scenario Summary'!Q19</f>
        <v>HSPF_7.7</v>
      </c>
      <c r="L21" s="159">
        <f>'Input and Scenario Summary'!R19</f>
        <v>0.85</v>
      </c>
      <c r="M21" s="159">
        <f>'Input and Scenario Summary'!S19</f>
        <v>0.85</v>
      </c>
      <c r="N21" s="159">
        <f>'Input and Scenario Summary'!T19</f>
        <v>0.85</v>
      </c>
      <c r="O21" s="159">
        <f>'Input and Scenario Summary'!U19</f>
        <v>0.85</v>
      </c>
      <c r="P21" s="160">
        <f>'Input and Scenario Summary'!V19</f>
        <v>0.85</v>
      </c>
      <c r="R21" s="390" t="s">
        <v>56</v>
      </c>
      <c r="S21" s="391" t="s">
        <v>302</v>
      </c>
      <c r="T21" s="148">
        <f ca="1" t="shared" si="6"/>
        <v>25884.962732090356</v>
      </c>
      <c r="U21" s="148">
        <f ca="1" t="shared" si="6"/>
        <v>26800.06521348012</v>
      </c>
      <c r="V21" s="148">
        <f ca="1" t="shared" si="6"/>
        <v>27986.275466176685</v>
      </c>
      <c r="W21" s="148">
        <f ca="1" t="shared" si="6"/>
        <v>29072.59509322446</v>
      </c>
      <c r="X21" s="386">
        <f ca="1" t="shared" si="6"/>
        <v>29579.938799506497</v>
      </c>
      <c r="Y21" s="76"/>
      <c r="Z21" s="390" t="s">
        <v>56</v>
      </c>
      <c r="AA21" s="391" t="s">
        <v>302</v>
      </c>
      <c r="AB21" s="148">
        <f ca="1" t="shared" si="7"/>
        <v>10157.06711730182</v>
      </c>
      <c r="AC21" s="148">
        <f ca="1" t="shared" si="7"/>
        <v>11165.29952579454</v>
      </c>
      <c r="AD21" s="148">
        <f ca="1" t="shared" si="7"/>
        <v>11430.78808218861</v>
      </c>
      <c r="AE21" s="148">
        <f ca="1" t="shared" si="7"/>
        <v>11910.595256951165</v>
      </c>
      <c r="AF21" s="386">
        <f ca="1" t="shared" si="7"/>
        <v>11977.8939855501</v>
      </c>
    </row>
    <row r="22" spans="2:32" ht="12.75">
      <c r="B22" s="107" t="str">
        <f>'Input and Scenario Summary'!H20</f>
        <v>Air Source Heat Pump</v>
      </c>
      <c r="C22" s="108" t="str">
        <f>'Input and Scenario Summary'!I20</f>
        <v>Total Shipments - Upgrades</v>
      </c>
      <c r="D22" s="130">
        <f ca="1">'Input and Scenario Summary'!J20</f>
        <v>2825.272219541211</v>
      </c>
      <c r="E22" s="130">
        <f ca="1">'Input and Scenario Summary'!K20</f>
        <v>3049.5538933445946</v>
      </c>
      <c r="F22" s="130">
        <f ca="1">'Input and Scenario Summary'!L20</f>
        <v>3290.598986047749</v>
      </c>
      <c r="G22" s="130">
        <f ca="1">'Input and Scenario Summary'!M20</f>
        <v>3614.4176303164445</v>
      </c>
      <c r="H22" s="131">
        <f ca="1">'Input and Scenario Summary'!N20</f>
        <v>3828.2665533557542</v>
      </c>
      <c r="J22" s="153" t="str">
        <f>'Input and Scenario Summary'!P20</f>
        <v>Air Source Heat Pump</v>
      </c>
      <c r="K22" s="154" t="str">
        <f>'Input and Scenario Summary'!Q20</f>
        <v>HSPF_8.5</v>
      </c>
      <c r="L22" s="159">
        <f>'Input and Scenario Summary'!R20</f>
        <v>0.1</v>
      </c>
      <c r="M22" s="159">
        <f>'Input and Scenario Summary'!S20</f>
        <v>0.1</v>
      </c>
      <c r="N22" s="159">
        <f>'Input and Scenario Summary'!T20</f>
        <v>0.1</v>
      </c>
      <c r="O22" s="159">
        <f>'Input and Scenario Summary'!U20</f>
        <v>0.1</v>
      </c>
      <c r="P22" s="160">
        <f>'Input and Scenario Summary'!V20</f>
        <v>0.1</v>
      </c>
      <c r="R22" s="390" t="s">
        <v>56</v>
      </c>
      <c r="S22" s="391" t="s">
        <v>303</v>
      </c>
      <c r="T22" s="148">
        <f ca="1" t="shared" si="6"/>
        <v>3045.289733187101</v>
      </c>
      <c r="U22" s="148">
        <f ca="1" t="shared" si="6"/>
        <v>3152.9488486447203</v>
      </c>
      <c r="V22" s="148">
        <f ca="1" t="shared" si="6"/>
        <v>3292.5029960207867</v>
      </c>
      <c r="W22" s="148">
        <f ca="1" t="shared" si="6"/>
        <v>3420.305305085231</v>
      </c>
      <c r="X22" s="386">
        <f ca="1" t="shared" si="6"/>
        <v>3479.992799941941</v>
      </c>
      <c r="Y22" s="76"/>
      <c r="Z22" s="390" t="s">
        <v>56</v>
      </c>
      <c r="AA22" s="391" t="s">
        <v>303</v>
      </c>
      <c r="AB22" s="148">
        <f ca="1" t="shared" si="7"/>
        <v>14163.983503026393</v>
      </c>
      <c r="AC22" s="148">
        <f ca="1" t="shared" si="7"/>
        <v>15168.58686607412</v>
      </c>
      <c r="AD22" s="148">
        <f ca="1" t="shared" si="7"/>
        <v>16012.728918930998</v>
      </c>
      <c r="AE22" s="148">
        <f ca="1" t="shared" si="7"/>
        <v>16124.994542857468</v>
      </c>
      <c r="AF22" s="386">
        <f ca="1" t="shared" si="7"/>
        <v>16487.464321548803</v>
      </c>
    </row>
    <row r="23" spans="2:32" ht="15.75" thickBot="1">
      <c r="B23" s="109"/>
      <c r="C23" s="110" t="str">
        <f>'Input and Scenario Summary'!I21</f>
        <v>Total</v>
      </c>
      <c r="D23" s="132">
        <f ca="1">'Input and Scenario Summary'!J21</f>
        <v>5977.946122725258</v>
      </c>
      <c r="E23" s="132">
        <f ca="1">'Input and Scenario Summary'!K21</f>
        <v>6146.164029893514</v>
      </c>
      <c r="F23" s="132">
        <f ca="1">'Input and Scenario Summary'!L21</f>
        <v>6288.262866649718</v>
      </c>
      <c r="G23" s="132">
        <f ca="1">'Input and Scenario Summary'!M21</f>
        <v>6493.698336264462</v>
      </c>
      <c r="H23" s="133">
        <f ca="1">'Input and Scenario Summary'!N21</f>
        <v>6562.447470980029</v>
      </c>
      <c r="J23" s="153" t="str">
        <f>'Input and Scenario Summary'!P21</f>
        <v>Air Source Heat Pump</v>
      </c>
      <c r="K23" s="154" t="str">
        <f>'Input and Scenario Summary'!Q21</f>
        <v>HSPF_9.0</v>
      </c>
      <c r="L23" s="159">
        <f>'Input and Scenario Summary'!R21</f>
        <v>0.05</v>
      </c>
      <c r="M23" s="159">
        <f>'Input and Scenario Summary'!S21</f>
        <v>0.05</v>
      </c>
      <c r="N23" s="159">
        <f>'Input and Scenario Summary'!T21</f>
        <v>0.05</v>
      </c>
      <c r="O23" s="159">
        <f>'Input and Scenario Summary'!U21</f>
        <v>0.05</v>
      </c>
      <c r="P23" s="160">
        <f>'Input and Scenario Summary'!V21</f>
        <v>0.05</v>
      </c>
      <c r="R23" s="390" t="s">
        <v>56</v>
      </c>
      <c r="S23" s="391" t="s">
        <v>304</v>
      </c>
      <c r="T23" s="148">
        <f ca="1" t="shared" si="6"/>
        <v>1522.6448665935504</v>
      </c>
      <c r="U23" s="148">
        <f ca="1" t="shared" si="6"/>
        <v>1576.4744243223602</v>
      </c>
      <c r="V23" s="148">
        <f ca="1" t="shared" si="6"/>
        <v>1646.2514980103933</v>
      </c>
      <c r="W23" s="148">
        <f ca="1" t="shared" si="6"/>
        <v>1710.1526525426154</v>
      </c>
      <c r="X23" s="386">
        <f ca="1" t="shared" si="6"/>
        <v>1739.9963999709705</v>
      </c>
      <c r="Y23" s="76"/>
      <c r="Z23" s="390" t="s">
        <v>56</v>
      </c>
      <c r="AA23" s="391" t="s">
        <v>304</v>
      </c>
      <c r="AB23" s="148">
        <f ca="1" t="shared" si="7"/>
        <v>1737.2179014520154</v>
      </c>
      <c r="AC23" s="148">
        <f ca="1" t="shared" si="7"/>
        <v>1692.2738398425531</v>
      </c>
      <c r="AD23" s="148">
        <f ca="1" t="shared" si="7"/>
        <v>1646.6110200671765</v>
      </c>
      <c r="AE23" s="148">
        <f ca="1" t="shared" si="7"/>
        <v>2375.155458019956</v>
      </c>
      <c r="AF23" s="386">
        <f ca="1" t="shared" si="7"/>
        <v>2504.3439841430704</v>
      </c>
    </row>
    <row r="24" spans="2:32" ht="15.75" thickBot="1">
      <c r="B24" s="99"/>
      <c r="C24" s="100"/>
      <c r="D24" s="100"/>
      <c r="E24" s="100"/>
      <c r="F24" s="100"/>
      <c r="G24" s="100"/>
      <c r="H24" s="101"/>
      <c r="J24" s="153" t="str">
        <f>'Input and Scenario Summary'!P22</f>
        <v>Air Source Heat Pump</v>
      </c>
      <c r="K24" s="154" t="str">
        <f>'Input and Scenario Summary'!Q22</f>
        <v>HSPF_9.5</v>
      </c>
      <c r="L24" s="159">
        <f>'Input and Scenario Summary'!R22</f>
        <v>0</v>
      </c>
      <c r="M24" s="159">
        <f>'Input and Scenario Summary'!S22</f>
        <v>0</v>
      </c>
      <c r="N24" s="159">
        <f>'Input and Scenario Summary'!T22</f>
        <v>0</v>
      </c>
      <c r="O24" s="159">
        <f>'Input and Scenario Summary'!U22</f>
        <v>0</v>
      </c>
      <c r="P24" s="160">
        <f>'Input and Scenario Summary'!V22</f>
        <v>0</v>
      </c>
      <c r="R24" s="390" t="s">
        <v>56</v>
      </c>
      <c r="S24" s="391" t="s">
        <v>305</v>
      </c>
      <c r="T24" s="148">
        <f ca="1" t="shared" si="6"/>
        <v>0</v>
      </c>
      <c r="U24" s="148">
        <f ca="1" t="shared" si="6"/>
        <v>0</v>
      </c>
      <c r="V24" s="148">
        <f ca="1" t="shared" si="6"/>
        <v>0</v>
      </c>
      <c r="W24" s="148">
        <f ca="1" t="shared" si="6"/>
        <v>0</v>
      </c>
      <c r="X24" s="386">
        <f ca="1" t="shared" si="6"/>
        <v>0</v>
      </c>
      <c r="Y24" s="76"/>
      <c r="Z24" s="390" t="s">
        <v>56</v>
      </c>
      <c r="AA24" s="391" t="s">
        <v>305</v>
      </c>
      <c r="AB24" s="148">
        <f ca="1" t="shared" si="7"/>
        <v>1737.2179014520154</v>
      </c>
      <c r="AC24" s="148">
        <f ca="1" t="shared" si="7"/>
        <v>1692.2738398425531</v>
      </c>
      <c r="AD24" s="148">
        <f ca="1" t="shared" si="7"/>
        <v>1646.6110200671765</v>
      </c>
      <c r="AE24" s="148">
        <f ca="1" t="shared" si="7"/>
        <v>2375.155458019956</v>
      </c>
      <c r="AF24" s="386">
        <f ca="1" t="shared" si="7"/>
        <v>2504.3439841430704</v>
      </c>
    </row>
    <row r="25" spans="2:32" ht="12.75">
      <c r="B25" s="112" t="str">
        <f>'Input and Scenario Summary'!H23</f>
        <v>Electric Forced Air Furnace</v>
      </c>
      <c r="C25" s="113" t="str">
        <f>'Input and Scenario Summary'!I23</f>
        <v>Qty Converted to ASHP</v>
      </c>
      <c r="D25" s="134">
        <f ca="1">'Input and Scenario Summary'!J23</f>
        <v>3152.673903184047</v>
      </c>
      <c r="E25" s="134">
        <f ca="1">'Input and Scenario Summary'!K23</f>
        <v>3096.6101365489203</v>
      </c>
      <c r="F25" s="134">
        <f ca="1">'Input and Scenario Summary'!L23</f>
        <v>2997.6638806019687</v>
      </c>
      <c r="G25" s="134">
        <f ca="1">'Input and Scenario Summary'!M23</f>
        <v>2879.2807059480183</v>
      </c>
      <c r="H25" s="135">
        <f ca="1">'Input and Scenario Summary'!N23</f>
        <v>2734.180917624275</v>
      </c>
      <c r="J25" s="153" t="str">
        <f>'Input and Scenario Summary'!P23</f>
        <v>Air Source Heat Pump</v>
      </c>
      <c r="K25" s="154" t="str">
        <f>'Input and Scenario Summary'!Q23</f>
        <v>HSPF_10.0</v>
      </c>
      <c r="L25" s="159">
        <f>'Input and Scenario Summary'!R23</f>
        <v>0</v>
      </c>
      <c r="M25" s="159">
        <f>'Input and Scenario Summary'!S23</f>
        <v>0</v>
      </c>
      <c r="N25" s="159">
        <f>'Input and Scenario Summary'!T23</f>
        <v>0</v>
      </c>
      <c r="O25" s="159">
        <f>'Input and Scenario Summary'!U23</f>
        <v>0</v>
      </c>
      <c r="P25" s="160">
        <f>'Input and Scenario Summary'!V23</f>
        <v>0</v>
      </c>
      <c r="R25" s="390" t="s">
        <v>56</v>
      </c>
      <c r="S25" s="391" t="s">
        <v>306</v>
      </c>
      <c r="T25" s="148">
        <f ca="1" t="shared" si="6"/>
        <v>0</v>
      </c>
      <c r="U25" s="148">
        <f ca="1" t="shared" si="6"/>
        <v>0</v>
      </c>
      <c r="V25" s="148">
        <f ca="1" t="shared" si="6"/>
        <v>0</v>
      </c>
      <c r="W25" s="148">
        <f ca="1" t="shared" si="6"/>
        <v>0</v>
      </c>
      <c r="X25" s="386">
        <f ca="1" t="shared" si="6"/>
        <v>0</v>
      </c>
      <c r="Y25" s="76"/>
      <c r="Z25" s="390" t="s">
        <v>56</v>
      </c>
      <c r="AA25" s="391" t="s">
        <v>306</v>
      </c>
      <c r="AB25" s="148">
        <f ca="1" t="shared" si="7"/>
        <v>763.7768359832136</v>
      </c>
      <c r="AC25" s="148">
        <f ca="1" t="shared" si="7"/>
        <v>466.7377890234622</v>
      </c>
      <c r="AD25" s="148">
        <f ca="1" t="shared" si="7"/>
        <v>472.1723012419706</v>
      </c>
      <c r="AE25" s="148">
        <f ca="1" t="shared" si="7"/>
        <v>95.69850538100123</v>
      </c>
      <c r="AF25" s="386">
        <f ca="1" t="shared" si="7"/>
        <v>244.80565524623665</v>
      </c>
    </row>
    <row r="26" spans="2:32" ht="12.75">
      <c r="B26" s="107" t="str">
        <f>'Input and Scenario Summary'!H24</f>
        <v>Electric Forced Air Furnace</v>
      </c>
      <c r="C26" s="108" t="str">
        <f>'Input and Scenario Summary'!I24</f>
        <v>Qty Converted to Gas FAF</v>
      </c>
      <c r="D26" s="130">
        <f ca="1">'Input and Scenario Summary'!J24</f>
        <v>386.2807142381597</v>
      </c>
      <c r="E26" s="130">
        <f ca="1">'Input and Scenario Summary'!K24</f>
        <v>393.70718455400385</v>
      </c>
      <c r="F26" s="130">
        <f ca="1">'Input and Scenario Summary'!L24</f>
        <v>398.94668805638713</v>
      </c>
      <c r="G26" s="130">
        <f ca="1">'Input and Scenario Summary'!M24</f>
        <v>402.69266957849527</v>
      </c>
      <c r="H26" s="131">
        <f ca="1">'Input and Scenario Summary'!N24</f>
        <v>404.3727161260504</v>
      </c>
      <c r="J26" s="153" t="str">
        <f>'Input and Scenario Summary'!P24</f>
        <v>Air Source Heat Pump</v>
      </c>
      <c r="K26" s="154" t="str">
        <f>'Input and Scenario Summary'!Q24</f>
        <v>HSPF_10.5</v>
      </c>
      <c r="L26" s="159">
        <f>'Input and Scenario Summary'!R24</f>
        <v>0</v>
      </c>
      <c r="M26" s="159">
        <f>'Input and Scenario Summary'!S24</f>
        <v>0</v>
      </c>
      <c r="N26" s="159">
        <f>'Input and Scenario Summary'!T24</f>
        <v>0</v>
      </c>
      <c r="O26" s="159">
        <f>'Input and Scenario Summary'!U24</f>
        <v>0</v>
      </c>
      <c r="P26" s="160">
        <f>'Input and Scenario Summary'!V24</f>
        <v>0</v>
      </c>
      <c r="R26" s="390" t="s">
        <v>56</v>
      </c>
      <c r="S26" s="391" t="s">
        <v>307</v>
      </c>
      <c r="T26" s="148">
        <f ca="1" t="shared" si="6"/>
        <v>0</v>
      </c>
      <c r="U26" s="148">
        <f ca="1" t="shared" si="6"/>
        <v>0</v>
      </c>
      <c r="V26" s="148">
        <f ca="1" t="shared" si="6"/>
        <v>0</v>
      </c>
      <c r="W26" s="148">
        <f ca="1" t="shared" si="6"/>
        <v>0</v>
      </c>
      <c r="X26" s="386">
        <f ca="1" t="shared" si="6"/>
        <v>0</v>
      </c>
      <c r="Y26" s="76"/>
      <c r="Z26" s="390" t="s">
        <v>56</v>
      </c>
      <c r="AA26" s="391" t="s">
        <v>307</v>
      </c>
      <c r="AB26" s="148">
        <f ca="1" t="shared" si="7"/>
        <v>763.7768359832136</v>
      </c>
      <c r="AC26" s="148">
        <f ca="1" t="shared" si="7"/>
        <v>466.7377890234622</v>
      </c>
      <c r="AD26" s="148">
        <f ca="1" t="shared" si="7"/>
        <v>472.1723012419706</v>
      </c>
      <c r="AE26" s="148">
        <f ca="1" t="shared" si="7"/>
        <v>95.69850538100123</v>
      </c>
      <c r="AF26" s="386">
        <f ca="1" t="shared" si="7"/>
        <v>244.80565524623665</v>
      </c>
    </row>
    <row r="27" spans="2:32" ht="15.75" thickBot="1">
      <c r="B27" s="114" t="str">
        <f>'Input and Scenario Summary'!H25</f>
        <v>Electric Forced Air Furnace</v>
      </c>
      <c r="C27" s="115" t="str">
        <f>'Input and Scenario Summary'!I25</f>
        <v>Qty Remaining Electric FAF</v>
      </c>
      <c r="D27" s="136">
        <f ca="1">'Input and Scenario Summary'!J25</f>
        <v>13702.971253634012</v>
      </c>
      <c r="E27" s="136">
        <f ca="1">'Input and Scenario Summary'!K25</f>
        <v>14642.761255842132</v>
      </c>
      <c r="F27" s="136">
        <f ca="1">'Input and Scenario Summary'!L25</f>
        <v>14491.622890686722</v>
      </c>
      <c r="G27" s="136">
        <f ca="1">'Input and Scenario Summary'!M25</f>
        <v>15343.652447239372</v>
      </c>
      <c r="H27" s="137">
        <f ca="1">'Input and Scenario Summary'!N25</f>
        <v>17058.072165497717</v>
      </c>
      <c r="J27" s="155" t="str">
        <f>'Input and Scenario Summary'!P25</f>
        <v>Air Source Heat Pump</v>
      </c>
      <c r="K27" s="156" t="str">
        <f>'Input and Scenario Summary'!Q25</f>
        <v>HSPF_11.5</v>
      </c>
      <c r="L27" s="161">
        <f>'Input and Scenario Summary'!R25</f>
        <v>0</v>
      </c>
      <c r="M27" s="161">
        <f>'Input and Scenario Summary'!S25</f>
        <v>0</v>
      </c>
      <c r="N27" s="161">
        <f>'Input and Scenario Summary'!T25</f>
        <v>0</v>
      </c>
      <c r="O27" s="161">
        <f>'Input and Scenario Summary'!U25</f>
        <v>0</v>
      </c>
      <c r="P27" s="162"/>
      <c r="R27" s="392" t="s">
        <v>56</v>
      </c>
      <c r="S27" s="393" t="s">
        <v>308</v>
      </c>
      <c r="T27" s="150">
        <f ca="1" t="shared" si="6"/>
        <v>0</v>
      </c>
      <c r="U27" s="150">
        <f ca="1" t="shared" si="6"/>
        <v>0</v>
      </c>
      <c r="V27" s="150">
        <f ca="1" t="shared" si="6"/>
        <v>0</v>
      </c>
      <c r="W27" s="150">
        <f ca="1" t="shared" si="6"/>
        <v>0</v>
      </c>
      <c r="X27" s="387">
        <f ca="1" t="shared" si="6"/>
        <v>0</v>
      </c>
      <c r="Y27" s="76"/>
      <c r="Z27" s="392" t="s">
        <v>56</v>
      </c>
      <c r="AA27" s="393" t="s">
        <v>308</v>
      </c>
      <c r="AB27" s="150">
        <f ca="1" t="shared" si="7"/>
        <v>1129.8572366723356</v>
      </c>
      <c r="AC27" s="150">
        <f ca="1" t="shared" si="7"/>
        <v>877.5788368465097</v>
      </c>
      <c r="AD27" s="150">
        <f ca="1" t="shared" si="7"/>
        <v>1243.946316469963</v>
      </c>
      <c r="AE27" s="150">
        <f ca="1" t="shared" si="7"/>
        <v>1225.7553242417603</v>
      </c>
      <c r="AF27" s="387">
        <f ca="1" t="shared" si="7"/>
        <v>836.2704135418887</v>
      </c>
    </row>
    <row r="28" spans="2:32" ht="15.75" thickBot="1">
      <c r="B28" s="112"/>
      <c r="C28" s="116" t="str">
        <f>'Input and Scenario Summary'!I26</f>
        <v>Total E-FAF natural replacement market size not converted to gas</v>
      </c>
      <c r="D28" s="138">
        <f ca="1">'Input and Scenario Summary'!J26</f>
        <v>16855.64515681806</v>
      </c>
      <c r="E28" s="138">
        <f ca="1">'Input and Scenario Summary'!K26</f>
        <v>17739.37139239105</v>
      </c>
      <c r="F28" s="138">
        <f ca="1">'Input and Scenario Summary'!L26</f>
        <v>17489.28677128869</v>
      </c>
      <c r="G28" s="138">
        <f ca="1">'Input and Scenario Summary'!M26</f>
        <v>18222.93315318739</v>
      </c>
      <c r="H28" s="139">
        <f ca="1">'Input and Scenario Summary'!N26</f>
        <v>19792.253083121992</v>
      </c>
      <c r="J28" s="59"/>
      <c r="K28" s="59"/>
      <c r="L28" s="59"/>
      <c r="M28" s="59"/>
      <c r="N28" s="59"/>
      <c r="O28" s="59"/>
      <c r="P28" s="59"/>
      <c r="R28" s="50" t="s">
        <v>348</v>
      </c>
      <c r="S28" s="50"/>
      <c r="T28" s="50"/>
      <c r="U28" s="50"/>
      <c r="V28" s="50"/>
      <c r="W28" s="50"/>
      <c r="X28" s="50"/>
      <c r="Z28" s="50" t="s">
        <v>348</v>
      </c>
      <c r="AA28" s="50"/>
      <c r="AB28" s="50"/>
      <c r="AC28" s="50"/>
      <c r="AD28" s="50"/>
      <c r="AE28" s="50"/>
      <c r="AF28" s="50"/>
    </row>
    <row r="29" spans="2:32" ht="15.75" thickBot="1">
      <c r="B29" s="117"/>
      <c r="C29" s="118" t="str">
        <f>'Input and Scenario Summary'!I27</f>
        <v>Total E-FAF natural replacement market size</v>
      </c>
      <c r="D29" s="132">
        <f ca="1">'Input and Scenario Summary'!J27</f>
        <v>17241.92587105622</v>
      </c>
      <c r="E29" s="132">
        <f ca="1">'Input and Scenario Summary'!K27</f>
        <v>18133.078576945056</v>
      </c>
      <c r="F29" s="132">
        <f ca="1">'Input and Scenario Summary'!L27</f>
        <v>17888.23345934508</v>
      </c>
      <c r="G29" s="132">
        <f ca="1">'Input and Scenario Summary'!M27</f>
        <v>18625.625822765884</v>
      </c>
      <c r="H29" s="133">
        <f ca="1">'Input and Scenario Summary'!N27</f>
        <v>20196.625799248042</v>
      </c>
      <c r="J29" s="443" t="str">
        <f>'Input and Scenario Summary'!P27</f>
        <v>Actual Case - Conversions - Single Family Homes % of Total E-FAF natural replacement market not converted to gas</v>
      </c>
      <c r="K29" s="444"/>
      <c r="L29" s="444"/>
      <c r="M29" s="444"/>
      <c r="N29" s="444"/>
      <c r="O29" s="444"/>
      <c r="P29" s="445"/>
      <c r="R29" s="830" t="s">
        <v>352</v>
      </c>
      <c r="S29" s="831"/>
      <c r="T29" s="831"/>
      <c r="U29" s="831"/>
      <c r="V29" s="831"/>
      <c r="W29" s="831"/>
      <c r="X29" s="832"/>
      <c r="Z29" s="830" t="s">
        <v>353</v>
      </c>
      <c r="AA29" s="831"/>
      <c r="AB29" s="831"/>
      <c r="AC29" s="831"/>
      <c r="AD29" s="831"/>
      <c r="AE29" s="831"/>
      <c r="AF29" s="832"/>
    </row>
    <row r="30" spans="10:32" ht="12.75">
      <c r="J30" s="122" t="str">
        <f>'Input and Scenario Summary'!P28</f>
        <v>Unit Type</v>
      </c>
      <c r="K30" s="152" t="str">
        <f>'Input and Scenario Summary'!Q28</f>
        <v>Efficiency Level</v>
      </c>
      <c r="L30" s="157">
        <f>'Input and Scenario Summary'!R28</f>
        <v>2010</v>
      </c>
      <c r="M30" s="157">
        <f>'Input and Scenario Summary'!S28</f>
        <v>2011</v>
      </c>
      <c r="N30" s="157">
        <f>'Input and Scenario Summary'!T28</f>
        <v>2012</v>
      </c>
      <c r="O30" s="157">
        <f>'Input and Scenario Summary'!U28</f>
        <v>2013</v>
      </c>
      <c r="P30" s="158">
        <f>'Input and Scenario Summary'!V28</f>
        <v>2014</v>
      </c>
      <c r="R30" s="388" t="s">
        <v>301</v>
      </c>
      <c r="S30" s="389" t="s">
        <v>310</v>
      </c>
      <c r="T30" s="157">
        <v>2010</v>
      </c>
      <c r="U30" s="157">
        <v>2011</v>
      </c>
      <c r="V30" s="157">
        <v>2012</v>
      </c>
      <c r="W30" s="157">
        <v>2013</v>
      </c>
      <c r="X30" s="158">
        <v>2014</v>
      </c>
      <c r="Z30" s="388" t="s">
        <v>301</v>
      </c>
      <c r="AA30" s="389" t="s">
        <v>310</v>
      </c>
      <c r="AB30" s="157">
        <v>2010</v>
      </c>
      <c r="AC30" s="157">
        <v>2011</v>
      </c>
      <c r="AD30" s="157">
        <v>2012</v>
      </c>
      <c r="AE30" s="157">
        <v>2013</v>
      </c>
      <c r="AF30" s="158">
        <v>2014</v>
      </c>
    </row>
    <row r="31" spans="2:32" ht="12.75">
      <c r="B31"/>
      <c r="C31"/>
      <c r="D31"/>
      <c r="E31"/>
      <c r="F31"/>
      <c r="G31"/>
      <c r="H31"/>
      <c r="J31" s="153" t="str">
        <f>'Input and Scenario Summary'!P29</f>
        <v>Forced Air Furnace</v>
      </c>
      <c r="K31" s="154" t="str">
        <f>'Input and Scenario Summary'!Q29</f>
        <v>Forced Air Furnace</v>
      </c>
      <c r="L31" s="159">
        <f ca="1">'Input and Scenario Summary'!R29</f>
        <v>0.6230502408091122</v>
      </c>
      <c r="M31" s="159">
        <f ca="1">'Input and Scenario Summary'!S29</f>
        <v>0.5661422872930846</v>
      </c>
      <c r="N31" s="159">
        <f ca="1">'Input and Scenario Summary'!T29</f>
        <v>0.4947128391019957</v>
      </c>
      <c r="O31" s="159">
        <f ca="1">'Input and Scenario Summary'!U29</f>
        <v>0.5167622818454207</v>
      </c>
      <c r="P31" s="160">
        <f ca="1">'Input and Scenario Summary'!V29</f>
        <v>0.5224498953754472</v>
      </c>
      <c r="R31" s="153" t="s">
        <v>130</v>
      </c>
      <c r="S31" s="154" t="s">
        <v>129</v>
      </c>
      <c r="T31" s="148">
        <f aca="true" t="shared" si="8" ref="T31:X38">L9*D$28</f>
        <v>14327.29838329535</v>
      </c>
      <c r="U31" s="148">
        <f ca="1" t="shared" si="8"/>
        <v>15078.465683532393</v>
      </c>
      <c r="V31" s="148">
        <f ca="1" t="shared" si="8"/>
        <v>14865.893755595387</v>
      </c>
      <c r="W31" s="148">
        <f ca="1" t="shared" si="8"/>
        <v>15489.493180209281</v>
      </c>
      <c r="X31" s="386">
        <f ca="1" t="shared" si="8"/>
        <v>16823.41512065369</v>
      </c>
      <c r="Z31" s="153" t="s">
        <v>130</v>
      </c>
      <c r="AA31" s="154" t="s">
        <v>129</v>
      </c>
      <c r="AB31" s="148">
        <f aca="true" t="shared" si="9" ref="AB31:AF38">L42*D$28</f>
        <v>13702.971253634012</v>
      </c>
      <c r="AC31" s="148">
        <f ca="1" t="shared" si="9"/>
        <v>14642.761255842132</v>
      </c>
      <c r="AD31" s="148">
        <f ca="1" t="shared" si="9"/>
        <v>14491.622890686722</v>
      </c>
      <c r="AE31" s="148">
        <f ca="1" t="shared" si="9"/>
        <v>15343.652447239372</v>
      </c>
      <c r="AF31" s="386">
        <f ca="1" t="shared" si="9"/>
        <v>17058.072165497717</v>
      </c>
    </row>
    <row r="32" spans="2:32" ht="12.75">
      <c r="B32"/>
      <c r="C32"/>
      <c r="D32"/>
      <c r="E32"/>
      <c r="F32"/>
      <c r="G32"/>
      <c r="H32"/>
      <c r="J32" s="153" t="str">
        <f>'Input and Scenario Summary'!P30</f>
        <v>Air Source Heat Pump</v>
      </c>
      <c r="K32" s="154" t="str">
        <f>'Input and Scenario Summary'!Q30</f>
        <v>HSPF 7.7</v>
      </c>
      <c r="L32" s="159">
        <f ca="1">'Input and Scenario Summary'!R30</f>
        <v>0.12572544287750284</v>
      </c>
      <c r="M32" s="159">
        <f ca="1">'Input and Scenario Summary'!S30</f>
        <v>0.1536387536395036</v>
      </c>
      <c r="N32" s="159">
        <f ca="1">'Input and Scenario Summary'!T30</f>
        <v>0.17542369631421167</v>
      </c>
      <c r="O32" s="159">
        <f ca="1">'Input and Scenario Summary'!U30</f>
        <v>0.16827880438844073</v>
      </c>
      <c r="P32" s="160">
        <f ca="1">'Input and Scenario Summary'!V30</f>
        <v>0.16436943565161066</v>
      </c>
      <c r="R32" s="390" t="s">
        <v>56</v>
      </c>
      <c r="S32" s="391" t="s">
        <v>302</v>
      </c>
      <c r="T32" s="148">
        <f ca="1" t="shared" si="8"/>
        <v>0</v>
      </c>
      <c r="U32" s="148">
        <f ca="1" t="shared" si="8"/>
        <v>0</v>
      </c>
      <c r="V32" s="148">
        <f ca="1" t="shared" si="8"/>
        <v>0</v>
      </c>
      <c r="W32" s="148">
        <f ca="1" t="shared" si="8"/>
        <v>0</v>
      </c>
      <c r="X32" s="386">
        <f ca="1" t="shared" si="8"/>
        <v>0</v>
      </c>
      <c r="Z32" s="390" t="s">
        <v>56</v>
      </c>
      <c r="AA32" s="391" t="s">
        <v>302</v>
      </c>
      <c r="AB32" s="148">
        <f ca="1" t="shared" si="9"/>
        <v>1051.522949840742</v>
      </c>
      <c r="AC32" s="148">
        <f ca="1" t="shared" si="9"/>
        <v>1096.5791501515143</v>
      </c>
      <c r="AD32" s="148">
        <f ca="1" t="shared" si="9"/>
        <v>1040.7176729134223</v>
      </c>
      <c r="AE32" s="148">
        <f ca="1" t="shared" si="9"/>
        <v>1002.6574840762906</v>
      </c>
      <c r="AF32" s="386">
        <f ca="1" t="shared" si="9"/>
        <v>941.0861186024305</v>
      </c>
    </row>
    <row r="33" spans="2:32" ht="12.75">
      <c r="B33"/>
      <c r="C33"/>
      <c r="D33"/>
      <c r="E33"/>
      <c r="F33"/>
      <c r="G33"/>
      <c r="H33"/>
      <c r="J33" s="153" t="str">
        <f>'Input and Scenario Summary'!P31</f>
        <v>Air Source Heat Pump</v>
      </c>
      <c r="K33" s="154" t="str">
        <f>'Input and Scenario Summary'!Q31</f>
        <v>HSPF 8.5</v>
      </c>
      <c r="L33" s="159">
        <f ca="1">'Input and Scenario Summary'!R31</f>
        <v>0.17532355337046265</v>
      </c>
      <c r="M33" s="159">
        <f ca="1">'Input and Scenario Summary'!S31</f>
        <v>0.20872550487268104</v>
      </c>
      <c r="N33" s="159">
        <f ca="1">'Input and Scenario Summary'!T31</f>
        <v>0.24574089510182887</v>
      </c>
      <c r="O33" s="159">
        <f ca="1">'Input and Scenario Summary'!U31</f>
        <v>0.22782193029845074</v>
      </c>
      <c r="P33" s="160">
        <f ca="1">'Input and Scenario Summary'!V31</f>
        <v>0.22625306327876815</v>
      </c>
      <c r="R33" s="390" t="s">
        <v>56</v>
      </c>
      <c r="S33" s="391" t="s">
        <v>303</v>
      </c>
      <c r="T33" s="148">
        <f ca="1" t="shared" si="8"/>
        <v>1685.5645156818061</v>
      </c>
      <c r="U33" s="148">
        <f ca="1" t="shared" si="8"/>
        <v>1773.9371392391051</v>
      </c>
      <c r="V33" s="148">
        <f ca="1" t="shared" si="8"/>
        <v>1748.9286771288691</v>
      </c>
      <c r="W33" s="148">
        <f ca="1" t="shared" si="8"/>
        <v>1822.2933153187391</v>
      </c>
      <c r="X33" s="386">
        <f ca="1" t="shared" si="8"/>
        <v>1979.2253083121993</v>
      </c>
      <c r="Z33" s="390" t="s">
        <v>56</v>
      </c>
      <c r="AA33" s="391" t="s">
        <v>303</v>
      </c>
      <c r="AB33" s="148">
        <f ca="1" t="shared" si="9"/>
        <v>1466.3439300531452</v>
      </c>
      <c r="AC33" s="148">
        <f ca="1" t="shared" si="9"/>
        <v>1489.754579012542</v>
      </c>
      <c r="AD33" s="148">
        <f ca="1" t="shared" si="9"/>
        <v>1457.8811065065777</v>
      </c>
      <c r="AE33" s="148">
        <f ca="1" t="shared" si="9"/>
        <v>1357.4339577738265</v>
      </c>
      <c r="AF33" s="386">
        <f ca="1" t="shared" si="9"/>
        <v>1295.3966550948585</v>
      </c>
    </row>
    <row r="34" spans="2:32" ht="12.75">
      <c r="B34"/>
      <c r="C34"/>
      <c r="D34"/>
      <c r="E34"/>
      <c r="F34"/>
      <c r="G34"/>
      <c r="H34"/>
      <c r="J34" s="153" t="str">
        <f>'Input and Scenario Summary'!P32</f>
        <v>Air Source Heat Pump</v>
      </c>
      <c r="K34" s="154" t="str">
        <f>'Input and Scenario Summary'!Q32</f>
        <v>HSPF 9.0</v>
      </c>
      <c r="L34" s="159">
        <f ca="1">'Input and Scenario Summary'!R32</f>
        <v>0.021503499731997538</v>
      </c>
      <c r="M34" s="159">
        <f ca="1">'Input and Scenario Summary'!S32</f>
        <v>0.023286329486234256</v>
      </c>
      <c r="N34" s="159">
        <f ca="1">'Input and Scenario Summary'!T32</f>
        <v>0.025269875484962432</v>
      </c>
      <c r="O34" s="159">
        <f ca="1">'Input and Scenario Summary'!U32</f>
        <v>0.0335573757725513</v>
      </c>
      <c r="P34" s="160">
        <f ca="1">'Input and Scenario Summary'!V32</f>
        <v>0.03436644270250633</v>
      </c>
      <c r="R34" s="390" t="s">
        <v>56</v>
      </c>
      <c r="S34" s="391" t="s">
        <v>304</v>
      </c>
      <c r="T34" s="148">
        <f ca="1" t="shared" si="8"/>
        <v>842.7822578409031</v>
      </c>
      <c r="U34" s="148">
        <f ca="1" t="shared" si="8"/>
        <v>886.9685696195526</v>
      </c>
      <c r="V34" s="148">
        <f ca="1" t="shared" si="8"/>
        <v>874.4643385644346</v>
      </c>
      <c r="W34" s="148">
        <f ca="1" t="shared" si="8"/>
        <v>911.1466576593696</v>
      </c>
      <c r="X34" s="386">
        <f ca="1" t="shared" si="8"/>
        <v>989.6126541560997</v>
      </c>
      <c r="Z34" s="390" t="s">
        <v>56</v>
      </c>
      <c r="AA34" s="391" t="s">
        <v>304</v>
      </c>
      <c r="AB34" s="148">
        <f ca="1" t="shared" si="9"/>
        <v>179.8476342781348</v>
      </c>
      <c r="AC34" s="148">
        <f ca="1" t="shared" si="9"/>
        <v>166.20353129184247</v>
      </c>
      <c r="AD34" s="148">
        <f ca="1" t="shared" si="9"/>
        <v>149.91592676520003</v>
      </c>
      <c r="AE34" s="148">
        <f ca="1" t="shared" si="9"/>
        <v>199.94528774189567</v>
      </c>
      <c r="AF34" s="386">
        <f ca="1" t="shared" si="9"/>
        <v>196.76274998975202</v>
      </c>
    </row>
    <row r="35" spans="2:32" ht="12.75">
      <c r="B35"/>
      <c r="C35"/>
      <c r="D35"/>
      <c r="E35"/>
      <c r="F35"/>
      <c r="G35"/>
      <c r="H35"/>
      <c r="J35" s="153" t="str">
        <f>'Input and Scenario Summary'!P33</f>
        <v>Air Source Heat Pump</v>
      </c>
      <c r="K35" s="154" t="str">
        <f>'Input and Scenario Summary'!Q33</f>
        <v>HSPF 9.5</v>
      </c>
      <c r="L35" s="159">
        <f ca="1">'Input and Scenario Summary'!R33</f>
        <v>0.021503499731997538</v>
      </c>
      <c r="M35" s="159">
        <f ca="1">'Input and Scenario Summary'!S33</f>
        <v>0.023286329486234256</v>
      </c>
      <c r="N35" s="159">
        <f ca="1">'Input and Scenario Summary'!T33</f>
        <v>0.025269875484962432</v>
      </c>
      <c r="O35" s="159">
        <f ca="1">'Input and Scenario Summary'!U33</f>
        <v>0.0335573757725513</v>
      </c>
      <c r="P35" s="160">
        <f ca="1">'Input and Scenario Summary'!V33</f>
        <v>0.03436644270250633</v>
      </c>
      <c r="R35" s="390" t="s">
        <v>56</v>
      </c>
      <c r="S35" s="391" t="s">
        <v>305</v>
      </c>
      <c r="T35" s="148">
        <f ca="1" t="shared" si="8"/>
        <v>0</v>
      </c>
      <c r="U35" s="148">
        <f ca="1" t="shared" si="8"/>
        <v>0</v>
      </c>
      <c r="V35" s="148">
        <f ca="1" t="shared" si="8"/>
        <v>0</v>
      </c>
      <c r="W35" s="148">
        <f ca="1" t="shared" si="8"/>
        <v>0</v>
      </c>
      <c r="X35" s="386">
        <f ca="1" t="shared" si="8"/>
        <v>0</v>
      </c>
      <c r="Z35" s="390" t="s">
        <v>56</v>
      </c>
      <c r="AA35" s="391" t="s">
        <v>305</v>
      </c>
      <c r="AB35" s="148">
        <f ca="1" t="shared" si="9"/>
        <v>179.8476342781348</v>
      </c>
      <c r="AC35" s="148">
        <f ca="1" t="shared" si="9"/>
        <v>166.20353129184247</v>
      </c>
      <c r="AD35" s="148">
        <f ca="1" t="shared" si="9"/>
        <v>149.91592676520003</v>
      </c>
      <c r="AE35" s="148">
        <f ca="1" t="shared" si="9"/>
        <v>199.94528774189567</v>
      </c>
      <c r="AF35" s="386">
        <f ca="1" t="shared" si="9"/>
        <v>196.76274998975202</v>
      </c>
    </row>
    <row r="36" spans="2:32" ht="12.75">
      <c r="B36"/>
      <c r="C36"/>
      <c r="D36"/>
      <c r="E36"/>
      <c r="F36"/>
      <c r="G36"/>
      <c r="H36"/>
      <c r="J36" s="153" t="str">
        <f>'Input and Scenario Summary'!P34</f>
        <v>Air Source Heat Pump</v>
      </c>
      <c r="K36" s="154" t="str">
        <f>'Input and Scenario Summary'!Q34</f>
        <v>HSPF 10.0</v>
      </c>
      <c r="L36" s="159">
        <f ca="1">'Input and Scenario Summary'!R34</f>
        <v>0.00945412488217133</v>
      </c>
      <c r="M36" s="159">
        <f ca="1">'Input and Scenario Summary'!S34</f>
        <v>0.006422488892157095</v>
      </c>
      <c r="N36" s="159">
        <f ca="1">'Input and Scenario Summary'!T34</f>
        <v>0.007246237948380785</v>
      </c>
      <c r="O36" s="159">
        <f ca="1">'Input and Scenario Summary'!U34</f>
        <v>0.0013520760062665335</v>
      </c>
      <c r="P36" s="160">
        <f ca="1">'Input and Scenario Summary'!V34</f>
        <v>0.003359402533174005</v>
      </c>
      <c r="R36" s="390" t="s">
        <v>56</v>
      </c>
      <c r="S36" s="391" t="s">
        <v>306</v>
      </c>
      <c r="T36" s="148">
        <f ca="1" t="shared" si="8"/>
        <v>0</v>
      </c>
      <c r="U36" s="148">
        <f ca="1" t="shared" si="8"/>
        <v>0</v>
      </c>
      <c r="V36" s="148">
        <f ca="1" t="shared" si="8"/>
        <v>0</v>
      </c>
      <c r="W36" s="148">
        <f ca="1" t="shared" si="8"/>
        <v>0</v>
      </c>
      <c r="X36" s="386">
        <f ca="1" t="shared" si="8"/>
        <v>0</v>
      </c>
      <c r="Z36" s="390" t="s">
        <v>56</v>
      </c>
      <c r="AA36" s="391" t="s">
        <v>306</v>
      </c>
      <c r="AB36" s="148">
        <f ca="1" t="shared" si="9"/>
        <v>79.07094265676616</v>
      </c>
      <c r="AC36" s="148">
        <f ca="1" t="shared" si="9"/>
        <v>45.83978484845201</v>
      </c>
      <c r="AD36" s="148">
        <f ca="1" t="shared" si="9"/>
        <v>42.988992100064635</v>
      </c>
      <c r="AE36" s="148">
        <f ca="1" t="shared" si="9"/>
        <v>8.056089604688468</v>
      </c>
      <c r="AF36" s="386">
        <f ca="1" t="shared" si="9"/>
        <v>19.234032642594386</v>
      </c>
    </row>
    <row r="37" spans="2:32" ht="12.75">
      <c r="B37"/>
      <c r="C37"/>
      <c r="D37"/>
      <c r="E37"/>
      <c r="F37"/>
      <c r="G37"/>
      <c r="H37"/>
      <c r="J37" s="153" t="str">
        <f>'Input and Scenario Summary'!P35</f>
        <v>Air Source Heat Pump</v>
      </c>
      <c r="K37" s="154" t="str">
        <f>'Input and Scenario Summary'!Q35</f>
        <v>HSPF 10.5</v>
      </c>
      <c r="L37" s="159">
        <f ca="1">'Input and Scenario Summary'!R35</f>
        <v>0.00945412488217133</v>
      </c>
      <c r="M37" s="159">
        <f ca="1">'Input and Scenario Summary'!S35</f>
        <v>0.006422488892157095</v>
      </c>
      <c r="N37" s="159">
        <f ca="1">'Input and Scenario Summary'!T35</f>
        <v>0.007246237948380785</v>
      </c>
      <c r="O37" s="159">
        <f ca="1">'Input and Scenario Summary'!U35</f>
        <v>0.0013520760062665335</v>
      </c>
      <c r="P37" s="160">
        <f ca="1">'Input and Scenario Summary'!V35</f>
        <v>0.003359402533174005</v>
      </c>
      <c r="R37" s="390" t="s">
        <v>56</v>
      </c>
      <c r="S37" s="391" t="s">
        <v>307</v>
      </c>
      <c r="T37" s="148">
        <f ca="1" t="shared" si="8"/>
        <v>0</v>
      </c>
      <c r="U37" s="148">
        <f ca="1" t="shared" si="8"/>
        <v>0</v>
      </c>
      <c r="V37" s="148">
        <f ca="1" t="shared" si="8"/>
        <v>0</v>
      </c>
      <c r="W37" s="148">
        <f ca="1" t="shared" si="8"/>
        <v>0</v>
      </c>
      <c r="X37" s="386">
        <f ca="1" t="shared" si="8"/>
        <v>0</v>
      </c>
      <c r="Z37" s="390" t="s">
        <v>56</v>
      </c>
      <c r="AA37" s="391" t="s">
        <v>307</v>
      </c>
      <c r="AB37" s="148">
        <f ca="1" t="shared" si="9"/>
        <v>79.07094265676616</v>
      </c>
      <c r="AC37" s="148">
        <f ca="1" t="shared" si="9"/>
        <v>45.83978484845201</v>
      </c>
      <c r="AD37" s="148">
        <f ca="1" t="shared" si="9"/>
        <v>42.988992100064635</v>
      </c>
      <c r="AE37" s="148">
        <f ca="1" t="shared" si="9"/>
        <v>8.056089604688468</v>
      </c>
      <c r="AF37" s="386">
        <f ca="1" t="shared" si="9"/>
        <v>19.234032642594386</v>
      </c>
    </row>
    <row r="38" spans="2:32" ht="15.75" thickBot="1">
      <c r="B38"/>
      <c r="C38"/>
      <c r="D38"/>
      <c r="E38"/>
      <c r="F38"/>
      <c r="G38"/>
      <c r="H38"/>
      <c r="J38" s="155" t="str">
        <f>'Input and Scenario Summary'!P36</f>
        <v>Air Source Heat Pump</v>
      </c>
      <c r="K38" s="156" t="str">
        <f>'Input and Scenario Summary'!Q36</f>
        <v>HSPF 11.5</v>
      </c>
      <c r="L38" s="161">
        <f ca="1">'Input and Scenario Summary'!R36</f>
        <v>0.013985513714584603</v>
      </c>
      <c r="M38" s="161">
        <f ca="1">'Input and Scenario Summary'!S36</f>
        <v>0.012075817437948071</v>
      </c>
      <c r="N38" s="161">
        <f ca="1">'Input and Scenario Summary'!T36</f>
        <v>0.019090342615277298</v>
      </c>
      <c r="O38" s="161">
        <f ca="1">'Input and Scenario Summary'!U36</f>
        <v>0.017318079910052193</v>
      </c>
      <c r="P38" s="162">
        <f ca="1">'Input and Scenario Summary'!V36</f>
        <v>0.011475915222813389</v>
      </c>
      <c r="R38" s="392" t="s">
        <v>56</v>
      </c>
      <c r="S38" s="393" t="s">
        <v>308</v>
      </c>
      <c r="T38" s="150">
        <f ca="1" t="shared" si="8"/>
        <v>0</v>
      </c>
      <c r="U38" s="150">
        <f ca="1" t="shared" si="8"/>
        <v>0</v>
      </c>
      <c r="V38" s="150">
        <f ca="1" t="shared" si="8"/>
        <v>0</v>
      </c>
      <c r="W38" s="150">
        <f ca="1" t="shared" si="8"/>
        <v>0</v>
      </c>
      <c r="X38" s="387">
        <f ca="1" t="shared" si="8"/>
        <v>0</v>
      </c>
      <c r="Z38" s="392" t="s">
        <v>56</v>
      </c>
      <c r="AA38" s="393" t="s">
        <v>308</v>
      </c>
      <c r="AB38" s="150">
        <f ca="1" t="shared" si="9"/>
        <v>116.96986942035778</v>
      </c>
      <c r="AC38" s="150">
        <f ca="1" t="shared" si="9"/>
        <v>86.18977510427503</v>
      </c>
      <c r="AD38" s="150">
        <f ca="1" t="shared" si="9"/>
        <v>113.25526345143932</v>
      </c>
      <c r="AE38" s="150">
        <f ca="1" t="shared" si="9"/>
        <v>103.18650940473312</v>
      </c>
      <c r="AF38" s="387">
        <f ca="1" t="shared" si="9"/>
        <v>65.70457866229323</v>
      </c>
    </row>
    <row r="39" spans="2:32" ht="15.75" thickBot="1">
      <c r="B39"/>
      <c r="C39"/>
      <c r="D39"/>
      <c r="E39"/>
      <c r="F39"/>
      <c r="G39"/>
      <c r="H39"/>
      <c r="R39" s="50" t="s">
        <v>351</v>
      </c>
      <c r="S39" s="50"/>
      <c r="T39" s="50"/>
      <c r="U39" s="50"/>
      <c r="V39" s="50"/>
      <c r="W39" s="50"/>
      <c r="X39" s="50"/>
      <c r="Z39" s="50" t="s">
        <v>351</v>
      </c>
      <c r="AA39" s="50"/>
      <c r="AB39" s="50"/>
      <c r="AC39" s="50"/>
      <c r="AD39" s="50"/>
      <c r="AE39" s="50"/>
      <c r="AF39" s="50"/>
    </row>
    <row r="40" spans="10:32" ht="12.75">
      <c r="J40" s="443" t="str">
        <f>'Input and Scenario Summary'!P38</f>
        <v>Actual Case - Conversions - Manufactured Homes % of Total E-FAF natural replacement market not converted to gas</v>
      </c>
      <c r="K40" s="444"/>
      <c r="L40" s="444"/>
      <c r="M40" s="444"/>
      <c r="N40" s="444"/>
      <c r="O40" s="444"/>
      <c r="P40" s="445"/>
      <c r="R40" s="830" t="s">
        <v>352</v>
      </c>
      <c r="S40" s="831"/>
      <c r="T40" s="831"/>
      <c r="U40" s="831"/>
      <c r="V40" s="831"/>
      <c r="W40" s="831"/>
      <c r="X40" s="832"/>
      <c r="Z40" s="830" t="s">
        <v>353</v>
      </c>
      <c r="AA40" s="831"/>
      <c r="AB40" s="831"/>
      <c r="AC40" s="831"/>
      <c r="AD40" s="831"/>
      <c r="AE40" s="831"/>
      <c r="AF40" s="832"/>
    </row>
    <row r="41" spans="10:32" ht="12.75">
      <c r="J41" s="122" t="str">
        <f>'Input and Scenario Summary'!P39</f>
        <v>Unit Type</v>
      </c>
      <c r="K41" s="152" t="str">
        <f>'Input and Scenario Summary'!Q39</f>
        <v>Efficiency Level</v>
      </c>
      <c r="L41" s="157">
        <f>'Input and Scenario Summary'!R39</f>
        <v>2010</v>
      </c>
      <c r="M41" s="157">
        <f>'Input and Scenario Summary'!S39</f>
        <v>2011</v>
      </c>
      <c r="N41" s="157">
        <f>'Input and Scenario Summary'!T39</f>
        <v>2012</v>
      </c>
      <c r="O41" s="157">
        <f>'Input and Scenario Summary'!U39</f>
        <v>2013</v>
      </c>
      <c r="P41" s="158">
        <f>'Input and Scenario Summary'!V39</f>
        <v>2014</v>
      </c>
      <c r="R41" s="388" t="s">
        <v>301</v>
      </c>
      <c r="S41" s="389" t="s">
        <v>310</v>
      </c>
      <c r="T41" s="157">
        <v>2010</v>
      </c>
      <c r="U41" s="157">
        <v>2011</v>
      </c>
      <c r="V41" s="157">
        <v>2012</v>
      </c>
      <c r="W41" s="157">
        <v>2013</v>
      </c>
      <c r="X41" s="158">
        <v>2014</v>
      </c>
      <c r="Z41" s="388" t="s">
        <v>301</v>
      </c>
      <c r="AA41" s="389" t="s">
        <v>310</v>
      </c>
      <c r="AB41" s="157">
        <v>2010</v>
      </c>
      <c r="AC41" s="157">
        <v>2011</v>
      </c>
      <c r="AD41" s="157">
        <v>2012</v>
      </c>
      <c r="AE41" s="157">
        <v>2013</v>
      </c>
      <c r="AF41" s="158">
        <v>2014</v>
      </c>
    </row>
    <row r="42" spans="10:32" ht="12.75">
      <c r="J42" s="153" t="str">
        <f>'Input and Scenario Summary'!P40</f>
        <v>Forced Air Furnace</v>
      </c>
      <c r="K42" s="154" t="str">
        <f>'Input and Scenario Summary'!Q40</f>
        <v>Forced Air Furnace</v>
      </c>
      <c r="L42" s="159">
        <f ca="1">'Input and Scenario Summary'!R40</f>
        <v>0.8129603540028961</v>
      </c>
      <c r="M42" s="159">
        <f ca="1">'Input and Scenario Summary'!S40</f>
        <v>0.8254385644196418</v>
      </c>
      <c r="N42" s="159">
        <f ca="1">'Input and Scenario Summary'!T40</f>
        <v>0.8285999926810573</v>
      </c>
      <c r="O42" s="159">
        <f ca="1">'Input and Scenario Summary'!U40</f>
        <v>0.8419968573805364</v>
      </c>
      <c r="P42" s="160">
        <f ca="1">'Input and Scenario Summary'!V40</f>
        <v>0.8618560046629623</v>
      </c>
      <c r="R42" s="153" t="s">
        <v>130</v>
      </c>
      <c r="S42" s="154" t="s">
        <v>129</v>
      </c>
      <c r="T42" s="148">
        <f aca="true" t="shared" si="10" ref="T42:X49">L20*D$22</f>
        <v>0</v>
      </c>
      <c r="U42" s="148">
        <f ca="1" t="shared" si="10"/>
        <v>0</v>
      </c>
      <c r="V42" s="148">
        <f ca="1" t="shared" si="10"/>
        <v>0</v>
      </c>
      <c r="W42" s="148">
        <f ca="1" t="shared" si="10"/>
        <v>0</v>
      </c>
      <c r="X42" s="386">
        <f ca="1" t="shared" si="10"/>
        <v>0</v>
      </c>
      <c r="Z42" s="153" t="s">
        <v>130</v>
      </c>
      <c r="AA42" s="154" t="s">
        <v>129</v>
      </c>
      <c r="AB42" s="148">
        <f aca="true" t="shared" si="11" ref="AB42:AF49">L53*D$22</f>
        <v>0</v>
      </c>
      <c r="AC42" s="148">
        <f ca="1" t="shared" si="11"/>
        <v>0</v>
      </c>
      <c r="AD42" s="148">
        <f ca="1" t="shared" si="11"/>
        <v>0</v>
      </c>
      <c r="AE42" s="148">
        <f ca="1" t="shared" si="11"/>
        <v>0</v>
      </c>
      <c r="AF42" s="386">
        <f ca="1" t="shared" si="11"/>
        <v>0</v>
      </c>
    </row>
    <row r="43" spans="10:32" ht="12.75">
      <c r="J43" s="153" t="str">
        <f>'Input and Scenario Summary'!P41</f>
        <v>Air Source Heat Pump</v>
      </c>
      <c r="K43" s="154" t="str">
        <f>'Input and Scenario Summary'!Q41</f>
        <v>HSPF_7.7</v>
      </c>
      <c r="L43" s="159">
        <f ca="1">'Input and Scenario Summary'!R41</f>
        <v>0.062384022685444594</v>
      </c>
      <c r="M43" s="159">
        <f ca="1">'Input and Scenario Summary'!S41</f>
        <v>0.06181612222301575</v>
      </c>
      <c r="N43" s="159">
        <f ca="1">'Input and Scenario Summary'!T41</f>
        <v>0.059506009966164994</v>
      </c>
      <c r="O43" s="159">
        <f ca="1">'Input and Scenario Summary'!U41</f>
        <v>0.055021739675366964</v>
      </c>
      <c r="P43" s="160">
        <f ca="1">'Input and Scenario Summary'!V41</f>
        <v>0.04754820558579809</v>
      </c>
      <c r="R43" s="390" t="s">
        <v>56</v>
      </c>
      <c r="S43" s="391" t="s">
        <v>302</v>
      </c>
      <c r="T43" s="148">
        <f ca="1" t="shared" si="10"/>
        <v>2401.4813866100294</v>
      </c>
      <c r="U43" s="148">
        <f ca="1" t="shared" si="10"/>
        <v>2592.1208093429054</v>
      </c>
      <c r="V43" s="148">
        <f ca="1" t="shared" si="10"/>
        <v>2797.0091381405864</v>
      </c>
      <c r="W43" s="148">
        <f ca="1" t="shared" si="10"/>
        <v>3072.254985768978</v>
      </c>
      <c r="X43" s="386">
        <f ca="1" t="shared" si="10"/>
        <v>3254.026570352391</v>
      </c>
      <c r="Z43" s="390" t="s">
        <v>56</v>
      </c>
      <c r="AA43" s="391" t="s">
        <v>302</v>
      </c>
      <c r="AB43" s="148">
        <f ca="1" t="shared" si="11"/>
        <v>942.3234592688679</v>
      </c>
      <c r="AC43" s="148">
        <f ca="1" t="shared" si="11"/>
        <v>1079.9154782952212</v>
      </c>
      <c r="AD43" s="148">
        <f ca="1" t="shared" si="11"/>
        <v>1142.41778119673</v>
      </c>
      <c r="AE43" s="148">
        <f ca="1" t="shared" si="11"/>
        <v>1258.6556358077792</v>
      </c>
      <c r="AF43" s="386">
        <f ca="1" t="shared" si="11"/>
        <v>1317.662810258904</v>
      </c>
    </row>
    <row r="44" spans="10:32" ht="12.75">
      <c r="J44" s="153" t="str">
        <f>'Input and Scenario Summary'!P42</f>
        <v>Air Source Heat Pump</v>
      </c>
      <c r="K44" s="154" t="str">
        <f>'Input and Scenario Summary'!Q42</f>
        <v>HSPF_8.5</v>
      </c>
      <c r="L44" s="159">
        <f ca="1">'Input and Scenario Summary'!R42</f>
        <v>0.08699423346961081</v>
      </c>
      <c r="M44" s="159">
        <f ca="1">'Input and Scenario Summary'!S42</f>
        <v>0.0839801222974306</v>
      </c>
      <c r="N44" s="159">
        <f ca="1">'Input and Scenario Summary'!T42</f>
        <v>0.08335852259566753</v>
      </c>
      <c r="O44" s="159">
        <f ca="1">'Input and Scenario Summary'!U42</f>
        <v>0.07449042074417073</v>
      </c>
      <c r="P44" s="160">
        <f ca="1">'Input and Scenario Summary'!V42</f>
        <v>0.06544968122904202</v>
      </c>
      <c r="R44" s="390" t="s">
        <v>56</v>
      </c>
      <c r="S44" s="391" t="s">
        <v>303</v>
      </c>
      <c r="T44" s="148">
        <f ca="1" t="shared" si="10"/>
        <v>282.5272219541211</v>
      </c>
      <c r="U44" s="148">
        <f ca="1" t="shared" si="10"/>
        <v>304.9553893344595</v>
      </c>
      <c r="V44" s="148">
        <f ca="1" t="shared" si="10"/>
        <v>329.0598986047749</v>
      </c>
      <c r="W44" s="148">
        <f ca="1" t="shared" si="10"/>
        <v>361.4417630316445</v>
      </c>
      <c r="X44" s="386">
        <f ca="1" t="shared" si="10"/>
        <v>382.8266553355754</v>
      </c>
      <c r="Z44" s="390" t="s">
        <v>56</v>
      </c>
      <c r="AA44" s="391" t="s">
        <v>303</v>
      </c>
      <c r="AB44" s="148">
        <f ca="1" t="shared" si="11"/>
        <v>1314.0657413657607</v>
      </c>
      <c r="AC44" s="148">
        <f ca="1" t="shared" si="11"/>
        <v>1467.1161935866974</v>
      </c>
      <c r="AD44" s="148">
        <f ca="1" t="shared" si="11"/>
        <v>1600.3468974264572</v>
      </c>
      <c r="AE44" s="148">
        <f ca="1" t="shared" si="11"/>
        <v>1704.0135124138617</v>
      </c>
      <c r="AF44" s="386">
        <f ca="1" t="shared" si="11"/>
        <v>1813.7511150277282</v>
      </c>
    </row>
    <row r="45" spans="10:32" ht="12.75">
      <c r="J45" s="153" t="str">
        <f>'Input and Scenario Summary'!P43</f>
        <v>Air Source Heat Pump</v>
      </c>
      <c r="K45" s="154" t="str">
        <f>'Input and Scenario Summary'!Q43</f>
        <v>HSPF_9.0</v>
      </c>
      <c r="L45" s="159">
        <f ca="1">'Input and Scenario Summary'!R43</f>
        <v>0.010669875439646814</v>
      </c>
      <c r="M45" s="159">
        <f ca="1">'Input and Scenario Summary'!S43</f>
        <v>0.009369189449584</v>
      </c>
      <c r="N45" s="159">
        <f ca="1">'Input and Scenario Summary'!T43</f>
        <v>0.008571871953709953</v>
      </c>
      <c r="O45" s="159">
        <f ca="1">'Input and Scenario Summary'!U43</f>
        <v>0.010972179179997873</v>
      </c>
      <c r="P45" s="160">
        <f ca="1">'Input and Scenario Summary'!V43</f>
        <v>0.009941402283176295</v>
      </c>
      <c r="R45" s="390" t="s">
        <v>56</v>
      </c>
      <c r="S45" s="391" t="s">
        <v>304</v>
      </c>
      <c r="T45" s="148">
        <f ca="1" t="shared" si="10"/>
        <v>141.26361097706055</v>
      </c>
      <c r="U45" s="148">
        <f ca="1" t="shared" si="10"/>
        <v>152.47769466722974</v>
      </c>
      <c r="V45" s="148">
        <f ca="1" t="shared" si="10"/>
        <v>164.52994930238745</v>
      </c>
      <c r="W45" s="148">
        <f ca="1" t="shared" si="10"/>
        <v>180.72088151582224</v>
      </c>
      <c r="X45" s="386">
        <f ca="1" t="shared" si="10"/>
        <v>191.4133276677877</v>
      </c>
      <c r="Z45" s="390" t="s">
        <v>56</v>
      </c>
      <c r="AA45" s="391" t="s">
        <v>304</v>
      </c>
      <c r="AB45" s="148">
        <f ca="1" t="shared" si="11"/>
        <v>161.17065718818776</v>
      </c>
      <c r="AC45" s="148">
        <f ca="1" t="shared" si="11"/>
        <v>163.6778940805005</v>
      </c>
      <c r="AD45" s="148">
        <f ca="1" t="shared" si="11"/>
        <v>164.56588071739125</v>
      </c>
      <c r="AE45" s="148">
        <f ca="1" t="shared" si="11"/>
        <v>250.99524739636462</v>
      </c>
      <c r="AF45" s="386">
        <f ca="1" t="shared" si="11"/>
        <v>275.4975904764102</v>
      </c>
    </row>
    <row r="46" spans="10:32" ht="12.75">
      <c r="J46" s="153" t="str">
        <f>'Input and Scenario Summary'!P44</f>
        <v>Air Source Heat Pump</v>
      </c>
      <c r="K46" s="154" t="str">
        <f>'Input and Scenario Summary'!Q44</f>
        <v>HSPF_9.5</v>
      </c>
      <c r="L46" s="159">
        <f ca="1">'Input and Scenario Summary'!R44</f>
        <v>0.010669875439646814</v>
      </c>
      <c r="M46" s="159">
        <f ca="1">'Input and Scenario Summary'!S44</f>
        <v>0.009369189449584</v>
      </c>
      <c r="N46" s="159">
        <f ca="1">'Input and Scenario Summary'!T44</f>
        <v>0.008571871953709953</v>
      </c>
      <c r="O46" s="159">
        <f ca="1">'Input and Scenario Summary'!U44</f>
        <v>0.010972179179997873</v>
      </c>
      <c r="P46" s="160">
        <f ca="1">'Input and Scenario Summary'!V44</f>
        <v>0.009941402283176295</v>
      </c>
      <c r="R46" s="390" t="s">
        <v>56</v>
      </c>
      <c r="S46" s="391" t="s">
        <v>305</v>
      </c>
      <c r="T46" s="148">
        <f ca="1" t="shared" si="10"/>
        <v>0</v>
      </c>
      <c r="U46" s="148">
        <f ca="1" t="shared" si="10"/>
        <v>0</v>
      </c>
      <c r="V46" s="148">
        <f ca="1" t="shared" si="10"/>
        <v>0</v>
      </c>
      <c r="W46" s="148">
        <f ca="1" t="shared" si="10"/>
        <v>0</v>
      </c>
      <c r="X46" s="386">
        <f ca="1" t="shared" si="10"/>
        <v>0</v>
      </c>
      <c r="Z46" s="390" t="s">
        <v>56</v>
      </c>
      <c r="AA46" s="391" t="s">
        <v>305</v>
      </c>
      <c r="AB46" s="148">
        <f ca="1" t="shared" si="11"/>
        <v>161.17065718818776</v>
      </c>
      <c r="AC46" s="148">
        <f ca="1" t="shared" si="11"/>
        <v>163.6778940805005</v>
      </c>
      <c r="AD46" s="148">
        <f ca="1" t="shared" si="11"/>
        <v>164.56588071739125</v>
      </c>
      <c r="AE46" s="148">
        <f ca="1" t="shared" si="11"/>
        <v>250.99524739636462</v>
      </c>
      <c r="AF46" s="386">
        <f ca="1" t="shared" si="11"/>
        <v>275.4975904764102</v>
      </c>
    </row>
    <row r="47" spans="10:32" ht="12.75">
      <c r="J47" s="153" t="str">
        <f>'Input and Scenario Summary'!P45</f>
        <v>Air Source Heat Pump</v>
      </c>
      <c r="K47" s="154" t="str">
        <f>'Input and Scenario Summary'!Q45</f>
        <v>HSPF_10.0</v>
      </c>
      <c r="L47" s="159">
        <f ca="1">'Input and Scenario Summary'!R45</f>
        <v>0.004691065926051617</v>
      </c>
      <c r="M47" s="159">
        <f ca="1">'Input and Scenario Summary'!S45</f>
        <v>0.002584070417969493</v>
      </c>
      <c r="N47" s="159">
        <f ca="1">'Input and Scenario Summary'!T45</f>
        <v>0.002458018595168647</v>
      </c>
      <c r="O47" s="159">
        <f ca="1">'Input and Scenario Summary'!U45</f>
        <v>0.00044208523056999576</v>
      </c>
      <c r="P47" s="160">
        <f ca="1">'Input and Scenario Summary'!V45</f>
        <v>0.0009717960134107403</v>
      </c>
      <c r="R47" s="390" t="s">
        <v>56</v>
      </c>
      <c r="S47" s="391" t="s">
        <v>306</v>
      </c>
      <c r="T47" s="148">
        <f ca="1" t="shared" si="10"/>
        <v>0</v>
      </c>
      <c r="U47" s="148">
        <f ca="1" t="shared" si="10"/>
        <v>0</v>
      </c>
      <c r="V47" s="148">
        <f ca="1" t="shared" si="10"/>
        <v>0</v>
      </c>
      <c r="W47" s="148">
        <f ca="1" t="shared" si="10"/>
        <v>0</v>
      </c>
      <c r="X47" s="386">
        <f ca="1" t="shared" si="10"/>
        <v>0</v>
      </c>
      <c r="Z47" s="390" t="s">
        <v>56</v>
      </c>
      <c r="AA47" s="391" t="s">
        <v>306</v>
      </c>
      <c r="AB47" s="148">
        <f ca="1" t="shared" si="11"/>
        <v>70.85951307411703</v>
      </c>
      <c r="AC47" s="148">
        <f ca="1" t="shared" si="11"/>
        <v>45.14320117496876</v>
      </c>
      <c r="AD47" s="148">
        <f ca="1" t="shared" si="11"/>
        <v>47.18992503832035</v>
      </c>
      <c r="AE47" s="148">
        <f ca="1" t="shared" si="11"/>
        <v>10.112967533329735</v>
      </c>
      <c r="AF47" s="386">
        <f ca="1" t="shared" si="11"/>
        <v>26.930552904222765</v>
      </c>
    </row>
    <row r="48" spans="10:32" ht="12.75">
      <c r="J48" s="153" t="str">
        <f>'Input and Scenario Summary'!P46</f>
        <v>Air Source Heat Pump</v>
      </c>
      <c r="K48" s="154" t="str">
        <f>'Input and Scenario Summary'!Q46</f>
        <v>HSPF_10.5</v>
      </c>
      <c r="L48" s="159">
        <f ca="1">'Input and Scenario Summary'!R46</f>
        <v>0.004691065926051617</v>
      </c>
      <c r="M48" s="159">
        <f ca="1">'Input and Scenario Summary'!S46</f>
        <v>0.002584070417969493</v>
      </c>
      <c r="N48" s="159">
        <f ca="1">'Input and Scenario Summary'!T46</f>
        <v>0.002458018595168647</v>
      </c>
      <c r="O48" s="159">
        <f ca="1">'Input and Scenario Summary'!U46</f>
        <v>0.00044208523056999576</v>
      </c>
      <c r="P48" s="160">
        <f ca="1">'Input and Scenario Summary'!V46</f>
        <v>0.0009717960134107403</v>
      </c>
      <c r="R48" s="390" t="s">
        <v>56</v>
      </c>
      <c r="S48" s="391" t="s">
        <v>307</v>
      </c>
      <c r="T48" s="148">
        <f ca="1" t="shared" si="10"/>
        <v>0</v>
      </c>
      <c r="U48" s="148">
        <f ca="1" t="shared" si="10"/>
        <v>0</v>
      </c>
      <c r="V48" s="148">
        <f ca="1" t="shared" si="10"/>
        <v>0</v>
      </c>
      <c r="W48" s="148">
        <f ca="1" t="shared" si="10"/>
        <v>0</v>
      </c>
      <c r="X48" s="386">
        <f ca="1" t="shared" si="10"/>
        <v>0</v>
      </c>
      <c r="Z48" s="390" t="s">
        <v>56</v>
      </c>
      <c r="AA48" s="391" t="s">
        <v>307</v>
      </c>
      <c r="AB48" s="148">
        <f ca="1" t="shared" si="11"/>
        <v>70.85951307411703</v>
      </c>
      <c r="AC48" s="148">
        <f ca="1" t="shared" si="11"/>
        <v>45.14320117496876</v>
      </c>
      <c r="AD48" s="148">
        <f ca="1" t="shared" si="11"/>
        <v>47.18992503832035</v>
      </c>
      <c r="AE48" s="148">
        <f ca="1" t="shared" si="11"/>
        <v>10.112967533329735</v>
      </c>
      <c r="AF48" s="386">
        <f ca="1" t="shared" si="11"/>
        <v>26.930552904222765</v>
      </c>
    </row>
    <row r="49" spans="10:32" ht="15.75" thickBot="1">
      <c r="J49" s="155" t="str">
        <f>'Input and Scenario Summary'!P47</f>
        <v>Air Source Heat Pump</v>
      </c>
      <c r="K49" s="156" t="str">
        <f>'Input and Scenario Summary'!Q47</f>
        <v>HSPF_11.5</v>
      </c>
      <c r="L49" s="161">
        <f ca="1">'Input and Scenario Summary'!R47</f>
        <v>0.00693950711065152</v>
      </c>
      <c r="M49" s="161">
        <f ca="1">'Input and Scenario Summary'!S47</f>
        <v>0.004858671324804915</v>
      </c>
      <c r="N49" s="161">
        <f ca="1">'Input and Scenario Summary'!T47</f>
        <v>0.006475693659352934</v>
      </c>
      <c r="O49" s="161">
        <f ca="1">'Input and Scenario Summary'!U47</f>
        <v>0.005662453378790158</v>
      </c>
      <c r="P49" s="162">
        <f ca="1">'Input and Scenario Summary'!V47</f>
        <v>0.0033197119290235507</v>
      </c>
      <c r="R49" s="392" t="s">
        <v>56</v>
      </c>
      <c r="S49" s="393" t="s">
        <v>308</v>
      </c>
      <c r="T49" s="150">
        <f ca="1" t="shared" si="10"/>
        <v>0</v>
      </c>
      <c r="U49" s="150">
        <f ca="1" t="shared" si="10"/>
        <v>0</v>
      </c>
      <c r="V49" s="150">
        <f ca="1" t="shared" si="10"/>
        <v>0</v>
      </c>
      <c r="W49" s="150">
        <f ca="1" t="shared" si="10"/>
        <v>0</v>
      </c>
      <c r="X49" s="387">
        <f ca="1" t="shared" si="10"/>
        <v>0</v>
      </c>
      <c r="Z49" s="392" t="s">
        <v>56</v>
      </c>
      <c r="AA49" s="393" t="s">
        <v>308</v>
      </c>
      <c r="AB49" s="150">
        <f ca="1" t="shared" si="11"/>
        <v>104.8226783819727</v>
      </c>
      <c r="AC49" s="150">
        <f ca="1" t="shared" si="11"/>
        <v>84.88003095173767</v>
      </c>
      <c r="AD49" s="150">
        <f ca="1" t="shared" si="11"/>
        <v>124.32269591313836</v>
      </c>
      <c r="AE49" s="150">
        <f ca="1" t="shared" si="11"/>
        <v>129.5320522354149</v>
      </c>
      <c r="AF49" s="387">
        <f ca="1" t="shared" si="11"/>
        <v>91.99634130785587</v>
      </c>
    </row>
    <row r="50" spans="18:32" ht="15.75" thickBot="1">
      <c r="R50" s="77" t="s">
        <v>1</v>
      </c>
      <c r="S50" s="50"/>
      <c r="T50" s="77"/>
      <c r="U50" s="50"/>
      <c r="V50" s="50"/>
      <c r="W50" s="50"/>
      <c r="X50" s="50"/>
      <c r="Z50" s="77" t="s">
        <v>1</v>
      </c>
      <c r="AA50" s="50"/>
      <c r="AB50" s="77"/>
      <c r="AC50" s="50"/>
      <c r="AD50" s="50"/>
      <c r="AE50" s="50"/>
      <c r="AF50" s="50"/>
    </row>
    <row r="51" spans="10:32" ht="12.75">
      <c r="J51" s="443" t="str">
        <f>'Input and Scenario Summary'!P49</f>
        <v>Actual Case - Upgrades</v>
      </c>
      <c r="K51" s="444"/>
      <c r="L51" s="444"/>
      <c r="M51" s="444"/>
      <c r="N51" s="444"/>
      <c r="O51" s="444"/>
      <c r="P51" s="445"/>
      <c r="R51" s="830" t="s">
        <v>354</v>
      </c>
      <c r="S51" s="831"/>
      <c r="T51" s="831"/>
      <c r="U51" s="831"/>
      <c r="V51" s="831"/>
      <c r="W51" s="831"/>
      <c r="X51" s="832"/>
      <c r="Z51" s="830" t="s">
        <v>355</v>
      </c>
      <c r="AA51" s="831"/>
      <c r="AB51" s="831"/>
      <c r="AC51" s="831"/>
      <c r="AD51" s="831"/>
      <c r="AE51" s="831"/>
      <c r="AF51" s="832"/>
    </row>
    <row r="52" spans="10:32" ht="12.75">
      <c r="J52" s="122" t="str">
        <f>'Input and Scenario Summary'!P50</f>
        <v>Unit Type</v>
      </c>
      <c r="K52" s="152" t="str">
        <f>'Input and Scenario Summary'!Q50</f>
        <v>Efficiency Level</v>
      </c>
      <c r="L52" s="157">
        <f>'Input and Scenario Summary'!R50</f>
        <v>2010</v>
      </c>
      <c r="M52" s="157">
        <f>'Input and Scenario Summary'!S50</f>
        <v>2011</v>
      </c>
      <c r="N52" s="157">
        <f>'Input and Scenario Summary'!T50</f>
        <v>2012</v>
      </c>
      <c r="O52" s="157">
        <f>'Input and Scenario Summary'!U50</f>
        <v>2013</v>
      </c>
      <c r="P52" s="158">
        <f>'Input and Scenario Summary'!V50</f>
        <v>2014</v>
      </c>
      <c r="R52" s="388" t="s">
        <v>301</v>
      </c>
      <c r="S52" s="389" t="s">
        <v>310</v>
      </c>
      <c r="T52" s="157">
        <v>2010</v>
      </c>
      <c r="U52" s="157">
        <v>2011</v>
      </c>
      <c r="V52" s="157">
        <v>2012</v>
      </c>
      <c r="W52" s="157">
        <v>2013</v>
      </c>
      <c r="X52" s="158">
        <v>2014</v>
      </c>
      <c r="Z52" s="388" t="s">
        <v>301</v>
      </c>
      <c r="AA52" s="389" t="s">
        <v>310</v>
      </c>
      <c r="AB52" s="157">
        <v>2010</v>
      </c>
      <c r="AC52" s="157">
        <v>2011</v>
      </c>
      <c r="AD52" s="157">
        <v>2012</v>
      </c>
      <c r="AE52" s="157">
        <v>2013</v>
      </c>
      <c r="AF52" s="158">
        <v>2014</v>
      </c>
    </row>
    <row r="53" spans="10:32" ht="12.75">
      <c r="J53" s="153" t="str">
        <f>'Input and Scenario Summary'!P51</f>
        <v>Forced Air Furnace</v>
      </c>
      <c r="K53" s="154" t="str">
        <f>'Input and Scenario Summary'!Q51</f>
        <v>Forced Air Furnace</v>
      </c>
      <c r="L53" s="159">
        <f>'Input and Scenario Summary'!R51</f>
        <v>0</v>
      </c>
      <c r="M53" s="159">
        <f>'Input and Scenario Summary'!S51</f>
        <v>0</v>
      </c>
      <c r="N53" s="159">
        <f>'Input and Scenario Summary'!T51</f>
        <v>0</v>
      </c>
      <c r="O53" s="159">
        <f>'Input and Scenario Summary'!U51</f>
        <v>0</v>
      </c>
      <c r="P53" s="160">
        <f>'Input and Scenario Summary'!V51</f>
        <v>0</v>
      </c>
      <c r="R53" s="153" t="s">
        <v>130</v>
      </c>
      <c r="S53" s="154" t="s">
        <v>130</v>
      </c>
      <c r="T53" s="148">
        <f aca="true" t="shared" si="12" ref="T53:X60">SUM(T9,T20,T31,T42)</f>
        <v>21884.577412499682</v>
      </c>
      <c r="U53" s="148">
        <f ca="1" t="shared" si="12"/>
        <v>25122.23747543007</v>
      </c>
      <c r="V53" s="148">
        <f ca="1" t="shared" si="12"/>
        <v>25126.872008232975</v>
      </c>
      <c r="W53" s="148">
        <f ca="1" t="shared" si="12"/>
        <v>26412.118899845766</v>
      </c>
      <c r="X53" s="386">
        <f ca="1" t="shared" si="12"/>
        <v>27628.814894266023</v>
      </c>
      <c r="Z53" s="153" t="s">
        <v>130</v>
      </c>
      <c r="AA53" s="154" t="s">
        <v>130</v>
      </c>
      <c r="AB53" s="148">
        <f aca="true" t="shared" si="13" ref="AB53:AF60">SUM(AB9,AB20,AB31,AB42)</f>
        <v>19242.4589230545</v>
      </c>
      <c r="AC53" s="148">
        <f ca="1" t="shared" si="13"/>
        <v>21332.412944447675</v>
      </c>
      <c r="AD53" s="148">
        <f ca="1" t="shared" si="13"/>
        <v>20463.667224011635</v>
      </c>
      <c r="AE53" s="148">
        <f ca="1" t="shared" si="13"/>
        <v>21984.12420091329</v>
      </c>
      <c r="AF53" s="386">
        <f ca="1" t="shared" si="13"/>
        <v>23699.578025749062</v>
      </c>
    </row>
    <row r="54" spans="10:32" ht="12.75">
      <c r="J54" s="153" t="str">
        <f>'Input and Scenario Summary'!P52</f>
        <v>Air Source Heat Pump</v>
      </c>
      <c r="K54" s="154" t="str">
        <f>'Input and Scenario Summary'!Q52</f>
        <v>HSPF 7.7</v>
      </c>
      <c r="L54" s="159">
        <f>'Input and Scenario Summary'!R52</f>
        <v>0.33353368668378774</v>
      </c>
      <c r="M54" s="159">
        <f>'Input and Scenario Summary'!S52</f>
        <v>0.35412244415553684</v>
      </c>
      <c r="N54" s="159">
        <f>'Input and Scenario Summary'!T52</f>
        <v>0.3471762393535706</v>
      </c>
      <c r="O54" s="159">
        <f>'Input and Scenario Summary'!U52</f>
        <v>0.34823193237290156</v>
      </c>
      <c r="P54" s="160">
        <f>'Input and Scenario Summary'!V52</f>
        <v>0.3441930680359435</v>
      </c>
      <c r="R54" s="390" t="s">
        <v>56</v>
      </c>
      <c r="S54" s="391" t="s">
        <v>476</v>
      </c>
      <c r="T54" s="148">
        <f ca="1" t="shared" si="12"/>
        <v>28286.444118700387</v>
      </c>
      <c r="U54" s="148">
        <f ca="1" t="shared" si="12"/>
        <v>29392.186022823025</v>
      </c>
      <c r="V54" s="148">
        <f ca="1" t="shared" si="12"/>
        <v>30783.284604317272</v>
      </c>
      <c r="W54" s="148">
        <f ca="1" t="shared" si="12"/>
        <v>32144.850078993437</v>
      </c>
      <c r="X54" s="386">
        <f ca="1" t="shared" si="12"/>
        <v>32833.96536985889</v>
      </c>
      <c r="Z54" s="390" t="s">
        <v>56</v>
      </c>
      <c r="AA54" s="391" t="s">
        <v>476</v>
      </c>
      <c r="AB54" s="148">
        <f ca="1" t="shared" si="13"/>
        <v>13268.7279415827</v>
      </c>
      <c r="AC54" s="148">
        <f ca="1" t="shared" si="13"/>
        <v>15157.220718884526</v>
      </c>
      <c r="AD54" s="148">
        <f ca="1" t="shared" si="13"/>
        <v>15731.592633801616</v>
      </c>
      <c r="AE54" s="148">
        <f ca="1" t="shared" si="13"/>
        <v>16334.315902579776</v>
      </c>
      <c r="AF54" s="386">
        <f ca="1" t="shared" si="13"/>
        <v>16326.14581179814</v>
      </c>
    </row>
    <row r="55" spans="10:32" ht="12.75">
      <c r="J55" s="153" t="str">
        <f>'Input and Scenario Summary'!P53</f>
        <v>Air Source Heat Pump</v>
      </c>
      <c r="K55" s="154" t="str">
        <f>'Input and Scenario Summary'!Q53</f>
        <v>HSPF 8.5</v>
      </c>
      <c r="L55" s="159">
        <f>'Input and Scenario Summary'!R53</f>
        <v>0.4651111961095022</v>
      </c>
      <c r="M55" s="159">
        <f>'Input and Scenario Summary'!S53</f>
        <v>0.4810920694953318</v>
      </c>
      <c r="N55" s="159">
        <f>'Input and Scenario Summary'!T53</f>
        <v>0.48633908422508554</v>
      </c>
      <c r="O55" s="159">
        <f>'Input and Scenario Summary'!U53</f>
        <v>0.47144898202166924</v>
      </c>
      <c r="P55" s="160">
        <f>'Input and Scenario Summary'!V53</f>
        <v>0.47377869062901157</v>
      </c>
      <c r="R55" s="390" t="s">
        <v>56</v>
      </c>
      <c r="S55" s="391" t="s">
        <v>477</v>
      </c>
      <c r="T55" s="148">
        <f ca="1" t="shared" si="12"/>
        <v>5902.473121317656</v>
      </c>
      <c r="U55" s="148">
        <f ca="1" t="shared" si="12"/>
        <v>6413.461588029775</v>
      </c>
      <c r="V55" s="148">
        <f ca="1" t="shared" si="12"/>
        <v>6577.665483829441</v>
      </c>
      <c r="W55" s="148">
        <f ca="1" t="shared" si="12"/>
        <v>6889.055173981083</v>
      </c>
      <c r="X55" s="386">
        <f ca="1" t="shared" si="12"/>
        <v>7113.268266367637</v>
      </c>
      <c r="Z55" s="390" t="s">
        <v>56</v>
      </c>
      <c r="AA55" s="391" t="s">
        <v>477</v>
      </c>
      <c r="AB55" s="148">
        <f ca="1" t="shared" si="13"/>
        <v>18503.180248812576</v>
      </c>
      <c r="AC55" s="148">
        <f ca="1" t="shared" si="13"/>
        <v>20591.800389367283</v>
      </c>
      <c r="AD55" s="148">
        <f ca="1" t="shared" si="13"/>
        <v>22037.476899832927</v>
      </c>
      <c r="AE55" s="148">
        <f ca="1" t="shared" si="13"/>
        <v>22113.987513486434</v>
      </c>
      <c r="AF55" s="386">
        <f ca="1" t="shared" si="13"/>
        <v>22472.794207826093</v>
      </c>
    </row>
    <row r="56" spans="10:32" ht="12.75">
      <c r="J56" s="153" t="str">
        <f>'Input and Scenario Summary'!P54</f>
        <v>Air Source Heat Pump</v>
      </c>
      <c r="K56" s="154" t="str">
        <f>'Input and Scenario Summary'!Q54</f>
        <v>HSPF 9.0</v>
      </c>
      <c r="L56" s="159">
        <f>'Input and Scenario Summary'!R54</f>
        <v>0.05704606305666357</v>
      </c>
      <c r="M56" s="159">
        <f>'Input and Scenario Summary'!S54</f>
        <v>0.05367273371941853</v>
      </c>
      <c r="N56" s="159">
        <f>'Input and Scenario Summary'!T54</f>
        <v>0.05001091941471937</v>
      </c>
      <c r="O56" s="159">
        <f>'Input and Scenario Summary'!U54</f>
        <v>0.06944279080842958</v>
      </c>
      <c r="P56" s="160">
        <f>'Input and Scenario Summary'!V54</f>
        <v>0.07196405648267008</v>
      </c>
      <c r="R56" s="390" t="s">
        <v>56</v>
      </c>
      <c r="S56" s="391" t="s">
        <v>478</v>
      </c>
      <c r="T56" s="148">
        <f ca="1" t="shared" si="12"/>
        <v>2951.236560658828</v>
      </c>
      <c r="U56" s="148">
        <f ca="1" t="shared" si="12"/>
        <v>3206.7307940148876</v>
      </c>
      <c r="V56" s="148">
        <f ca="1" t="shared" si="12"/>
        <v>3288.8327419147204</v>
      </c>
      <c r="W56" s="148">
        <f ca="1" t="shared" si="12"/>
        <v>3444.5275869905413</v>
      </c>
      <c r="X56" s="386">
        <f ca="1" t="shared" si="12"/>
        <v>3556.6341331838184</v>
      </c>
      <c r="Z56" s="390" t="s">
        <v>56</v>
      </c>
      <c r="AA56" s="391" t="s">
        <v>478</v>
      </c>
      <c r="AB56" s="148">
        <f ca="1" t="shared" si="13"/>
        <v>2269.4220135996625</v>
      </c>
      <c r="AC56" s="148">
        <f ca="1" t="shared" si="13"/>
        <v>2297.311240780396</v>
      </c>
      <c r="AD56" s="148">
        <f ca="1" t="shared" si="13"/>
        <v>2266.144172018073</v>
      </c>
      <c r="AE56" s="148">
        <f ca="1" t="shared" si="13"/>
        <v>3257.313235154422</v>
      </c>
      <c r="AF56" s="386">
        <f ca="1" t="shared" si="13"/>
        <v>3413.478621312201</v>
      </c>
    </row>
    <row r="57" spans="10:32" ht="12.75">
      <c r="J57" s="153" t="str">
        <f>'Input and Scenario Summary'!P55</f>
        <v>Air Source Heat Pump</v>
      </c>
      <c r="K57" s="154" t="str">
        <f>'Input and Scenario Summary'!Q55</f>
        <v>HSPF 9.5</v>
      </c>
      <c r="L57" s="159">
        <f>'Input and Scenario Summary'!R55</f>
        <v>0.05704606305666357</v>
      </c>
      <c r="M57" s="159">
        <f>'Input and Scenario Summary'!S55</f>
        <v>0.05367273371941853</v>
      </c>
      <c r="N57" s="159">
        <f>'Input and Scenario Summary'!T55</f>
        <v>0.05001091941471937</v>
      </c>
      <c r="O57" s="159">
        <f>'Input and Scenario Summary'!U55</f>
        <v>0.06944279080842958</v>
      </c>
      <c r="P57" s="160">
        <f>'Input and Scenario Summary'!V55</f>
        <v>0.07196405648267008</v>
      </c>
      <c r="R57" s="390" t="s">
        <v>56</v>
      </c>
      <c r="S57" s="391" t="s">
        <v>479</v>
      </c>
      <c r="T57" s="148">
        <f ca="1" t="shared" si="12"/>
        <v>0</v>
      </c>
      <c r="U57" s="148">
        <f ca="1" t="shared" si="12"/>
        <v>0</v>
      </c>
      <c r="V57" s="148">
        <f ca="1" t="shared" si="12"/>
        <v>0</v>
      </c>
      <c r="W57" s="148">
        <f ca="1" t="shared" si="12"/>
        <v>0</v>
      </c>
      <c r="X57" s="386">
        <f ca="1" t="shared" si="12"/>
        <v>0</v>
      </c>
      <c r="Z57" s="390" t="s">
        <v>56</v>
      </c>
      <c r="AA57" s="391" t="s">
        <v>479</v>
      </c>
      <c r="AB57" s="148">
        <f ca="1" t="shared" si="13"/>
        <v>2269.4220135996625</v>
      </c>
      <c r="AC57" s="148">
        <f ca="1" t="shared" si="13"/>
        <v>2297.311240780396</v>
      </c>
      <c r="AD57" s="148">
        <f ca="1" t="shared" si="13"/>
        <v>2266.144172018073</v>
      </c>
      <c r="AE57" s="148">
        <f ca="1" t="shared" si="13"/>
        <v>3257.313235154422</v>
      </c>
      <c r="AF57" s="386">
        <f ca="1" t="shared" si="13"/>
        <v>3413.478621312201</v>
      </c>
    </row>
    <row r="58" spans="10:32" ht="12.75">
      <c r="J58" s="153" t="str">
        <f>'Input and Scenario Summary'!P56</f>
        <v>Air Source Heat Pump</v>
      </c>
      <c r="K58" s="154" t="str">
        <f>'Input and Scenario Summary'!Q56</f>
        <v>HSPF 10.0</v>
      </c>
      <c r="L58" s="159">
        <f>'Input and Scenario Summary'!R56</f>
        <v>0.025080596688705534</v>
      </c>
      <c r="M58" s="159">
        <f>'Input and Scenario Summary'!S56</f>
        <v>0.014803214750029554</v>
      </c>
      <c r="N58" s="159">
        <f>'Input and Scenario Summary'!T56</f>
        <v>0.014340831331440635</v>
      </c>
      <c r="O58" s="159">
        <f>'Input and Scenario Summary'!U56</f>
        <v>0.0027979521371591857</v>
      </c>
      <c r="P58" s="160">
        <f>'Input and Scenario Summary'!V56</f>
        <v>0.007034659820282414</v>
      </c>
      <c r="R58" s="390" t="s">
        <v>56</v>
      </c>
      <c r="S58" s="391" t="s">
        <v>480</v>
      </c>
      <c r="T58" s="148">
        <f ca="1" t="shared" si="12"/>
        <v>0</v>
      </c>
      <c r="U58" s="148">
        <f ca="1" t="shared" si="12"/>
        <v>0</v>
      </c>
      <c r="V58" s="148">
        <f ca="1" t="shared" si="12"/>
        <v>0</v>
      </c>
      <c r="W58" s="148">
        <f ca="1" t="shared" si="12"/>
        <v>0</v>
      </c>
      <c r="X58" s="386">
        <f ca="1" t="shared" si="12"/>
        <v>0</v>
      </c>
      <c r="Z58" s="390" t="s">
        <v>56</v>
      </c>
      <c r="AA58" s="391" t="s">
        <v>480</v>
      </c>
      <c r="AB58" s="148">
        <f ca="1" t="shared" si="13"/>
        <v>997.7631266688171</v>
      </c>
      <c r="AC58" s="148">
        <f ca="1" t="shared" si="13"/>
        <v>633.6102018337343</v>
      </c>
      <c r="AD58" s="148">
        <f ca="1" t="shared" si="13"/>
        <v>649.8259125000878</v>
      </c>
      <c r="AE58" s="148">
        <f ca="1" t="shared" si="13"/>
        <v>131.24193917896085</v>
      </c>
      <c r="AF58" s="386">
        <f ca="1" t="shared" si="13"/>
        <v>333.67575534767866</v>
      </c>
    </row>
    <row r="59" spans="10:32" ht="12.75">
      <c r="J59" s="153" t="str">
        <f>'Input and Scenario Summary'!P57</f>
        <v>Air Source Heat Pump</v>
      </c>
      <c r="K59" s="154" t="str">
        <f>'Input and Scenario Summary'!Q57</f>
        <v>HSPF 10.5</v>
      </c>
      <c r="L59" s="159">
        <f>'Input and Scenario Summary'!R57</f>
        <v>0.025080596688705534</v>
      </c>
      <c r="M59" s="159">
        <f>'Input and Scenario Summary'!S57</f>
        <v>0.014803214750029554</v>
      </c>
      <c r="N59" s="159">
        <f>'Input and Scenario Summary'!T57</f>
        <v>0.014340831331440635</v>
      </c>
      <c r="O59" s="159">
        <f>'Input and Scenario Summary'!U57</f>
        <v>0.0027979521371591857</v>
      </c>
      <c r="P59" s="160">
        <f>'Input and Scenario Summary'!V57</f>
        <v>0.007034659820282414</v>
      </c>
      <c r="R59" s="390" t="s">
        <v>56</v>
      </c>
      <c r="S59" s="391" t="s">
        <v>481</v>
      </c>
      <c r="T59" s="148">
        <f ca="1" t="shared" si="12"/>
        <v>0</v>
      </c>
      <c r="U59" s="148">
        <f ca="1" t="shared" si="12"/>
        <v>0</v>
      </c>
      <c r="V59" s="148">
        <f ca="1" t="shared" si="12"/>
        <v>0</v>
      </c>
      <c r="W59" s="148">
        <f ca="1" t="shared" si="12"/>
        <v>0</v>
      </c>
      <c r="X59" s="386">
        <f ca="1" t="shared" si="12"/>
        <v>0</v>
      </c>
      <c r="Z59" s="390" t="s">
        <v>56</v>
      </c>
      <c r="AA59" s="391" t="s">
        <v>481</v>
      </c>
      <c r="AB59" s="148">
        <f ca="1" t="shared" si="13"/>
        <v>997.7631266688171</v>
      </c>
      <c r="AC59" s="148">
        <f ca="1" t="shared" si="13"/>
        <v>633.6102018337343</v>
      </c>
      <c r="AD59" s="148">
        <f ca="1" t="shared" si="13"/>
        <v>649.8259125000878</v>
      </c>
      <c r="AE59" s="148">
        <f ca="1" t="shared" si="13"/>
        <v>131.24193917896085</v>
      </c>
      <c r="AF59" s="386">
        <f ca="1" t="shared" si="13"/>
        <v>333.67575534767866</v>
      </c>
    </row>
    <row r="60" spans="10:32" ht="15.75" thickBot="1">
      <c r="J60" s="155" t="str">
        <f>'Input and Scenario Summary'!P58</f>
        <v>Air Source Heat Pump</v>
      </c>
      <c r="K60" s="156" t="str">
        <f>'Input and Scenario Summary'!Q58</f>
        <v>HSPF 11.5</v>
      </c>
      <c r="L60" s="161">
        <f>'Input and Scenario Summary'!R58</f>
        <v>0.0371017977159718</v>
      </c>
      <c r="M60" s="161">
        <f>'Input and Scenario Summary'!S58</f>
        <v>0.02783358941023521</v>
      </c>
      <c r="N60" s="161">
        <f>'Input and Scenario Summary'!T58</f>
        <v>0.0377811749290238</v>
      </c>
      <c r="O60" s="161">
        <f>'Input and Scenario Summary'!U58</f>
        <v>0.0358375997142517</v>
      </c>
      <c r="P60" s="162">
        <f>'Input and Scenario Summary'!V58</f>
        <v>0.024030808729139923</v>
      </c>
      <c r="R60" s="392" t="s">
        <v>56</v>
      </c>
      <c r="S60" s="393" t="s">
        <v>482</v>
      </c>
      <c r="T60" s="150">
        <f ca="1" t="shared" si="12"/>
        <v>0</v>
      </c>
      <c r="U60" s="150">
        <f ca="1" t="shared" si="12"/>
        <v>0</v>
      </c>
      <c r="V60" s="150">
        <f ca="1" t="shared" si="12"/>
        <v>0</v>
      </c>
      <c r="W60" s="150">
        <f ca="1" t="shared" si="12"/>
        <v>0</v>
      </c>
      <c r="X60" s="387">
        <f ca="1" t="shared" si="12"/>
        <v>0</v>
      </c>
      <c r="Z60" s="392" t="s">
        <v>56</v>
      </c>
      <c r="AA60" s="393" t="s">
        <v>482</v>
      </c>
      <c r="AB60" s="150">
        <f ca="1" t="shared" si="13"/>
        <v>1475.9938191898189</v>
      </c>
      <c r="AC60" s="150">
        <f ca="1" t="shared" si="13"/>
        <v>1191.338942370015</v>
      </c>
      <c r="AD60" s="150">
        <f ca="1" t="shared" si="13"/>
        <v>1711.9779116119064</v>
      </c>
      <c r="AE60" s="150">
        <f ca="1" t="shared" si="13"/>
        <v>1681.0137741645626</v>
      </c>
      <c r="AF60" s="387">
        <f ca="1" t="shared" si="13"/>
        <v>1139.8558649833108</v>
      </c>
    </row>
    <row r="61" ht="15.75" thickBot="1"/>
    <row r="62" spans="19:24" ht="15.75" thickBot="1">
      <c r="S62" s="718" t="s">
        <v>473</v>
      </c>
      <c r="T62" s="719">
        <f ca="1">SUM(T54:T60)</f>
        <v>37140.15380067687</v>
      </c>
      <c r="U62" s="719">
        <f ca="1">SUM(U54:U60)</f>
        <v>39012.37840486769</v>
      </c>
      <c r="V62" s="719">
        <f ca="1">SUM(V54:V60)</f>
        <v>40649.78283006143</v>
      </c>
      <c r="W62" s="719">
        <f ca="1">SUM(W54:W60)</f>
        <v>42478.432839965055</v>
      </c>
      <c r="X62" s="719">
        <f ca="1">SUM(X54:X60)</f>
        <v>43503.867769410346</v>
      </c>
    </row>
    <row r="63" spans="19:24" ht="15.75" thickBot="1">
      <c r="S63" s="718" t="s">
        <v>474</v>
      </c>
      <c r="T63" s="720">
        <v>648</v>
      </c>
      <c r="U63" s="716">
        <v>4122</v>
      </c>
      <c r="V63" s="716">
        <v>4172</v>
      </c>
      <c r="W63" s="716">
        <v>16798</v>
      </c>
      <c r="X63" s="167">
        <v>19475</v>
      </c>
    </row>
    <row r="64" spans="19:24" ht="15.75" thickBot="1">
      <c r="S64" s="718" t="s">
        <v>475</v>
      </c>
      <c r="T64" s="721">
        <f ca="1">T63/T62</f>
        <v>0.017447423709596767</v>
      </c>
      <c r="U64" s="722">
        <f ca="1">U63/U62</f>
        <v>0.10565877212668699</v>
      </c>
      <c r="V64" s="722">
        <f ca="1">V63/V62</f>
        <v>0.10263277463107902</v>
      </c>
      <c r="W64" s="722">
        <f ca="1">W63/W62</f>
        <v>0.39544773375433734</v>
      </c>
      <c r="X64" s="723">
        <f ca="1">X63/X62</f>
        <v>0.4476613459572394</v>
      </c>
    </row>
  </sheetData>
  <mergeCells count="18">
    <mergeCell ref="R40:X40"/>
    <mergeCell ref="Z40:AF40"/>
    <mergeCell ref="R51:X51"/>
    <mergeCell ref="Z51:AF51"/>
    <mergeCell ref="Z7:AF7"/>
    <mergeCell ref="R18:X18"/>
    <mergeCell ref="Z18:AF18"/>
    <mergeCell ref="R29:X29"/>
    <mergeCell ref="Z29:AF29"/>
    <mergeCell ref="R7:X7"/>
    <mergeCell ref="B4:H4"/>
    <mergeCell ref="J4:P4"/>
    <mergeCell ref="R4:AF4"/>
    <mergeCell ref="B2:H3"/>
    <mergeCell ref="I2:I3"/>
    <mergeCell ref="J2:P3"/>
    <mergeCell ref="Q2:Q3"/>
    <mergeCell ref="R2:AF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BB49"/>
  <sheetViews>
    <sheetView showGridLines="0" zoomScale="70" zoomScaleNormal="70" workbookViewId="0" topLeftCell="A1">
      <selection activeCell="G13" sqref="G13"/>
    </sheetView>
  </sheetViews>
  <sheetFormatPr defaultColWidth="9.140625" defaultRowHeight="12.75"/>
  <cols>
    <col min="1" max="1" width="3.421875" style="44" customWidth="1"/>
    <col min="2" max="2" width="25.28125" style="44" customWidth="1"/>
    <col min="3" max="3" width="19.140625" style="44" customWidth="1"/>
    <col min="4" max="9" width="9.140625" style="44" customWidth="1"/>
    <col min="10" max="10" width="22.7109375" style="44" customWidth="1"/>
    <col min="11" max="11" width="19.7109375" style="44" customWidth="1"/>
    <col min="12" max="16" width="10.00390625" style="44" bestFit="1" customWidth="1"/>
    <col min="17" max="17" width="9.140625" style="44" customWidth="1"/>
    <col min="18" max="18" width="18.140625" style="44" customWidth="1"/>
    <col min="19" max="21" width="9.140625" style="44" customWidth="1"/>
    <col min="22" max="22" width="16.57421875" style="44" bestFit="1" customWidth="1"/>
    <col min="23" max="23" width="9.140625" style="44" customWidth="1"/>
    <col min="24" max="24" width="24.7109375" style="44" customWidth="1"/>
    <col min="25" max="25" width="19.7109375" style="44" customWidth="1"/>
    <col min="26" max="31" width="12.7109375" style="44" customWidth="1"/>
    <col min="32" max="32" width="24.8515625" style="44" customWidth="1"/>
    <col min="33" max="33" width="19.28125" style="44" customWidth="1"/>
    <col min="34" max="38" width="12.7109375" style="44" customWidth="1"/>
    <col min="39" max="40" width="9.140625" style="44" customWidth="1"/>
    <col min="41" max="41" width="19.140625" style="44" bestFit="1" customWidth="1"/>
    <col min="42" max="48" width="12.7109375" style="44" customWidth="1"/>
    <col min="49" max="49" width="17.8515625" style="44" bestFit="1" customWidth="1"/>
    <col min="50" max="54" width="12.7109375" style="44" customWidth="1"/>
    <col min="55" max="16384" width="9.140625" style="44" customWidth="1"/>
  </cols>
  <sheetData>
    <row r="1" ht="15"/>
    <row r="2" spans="2:54" ht="15" customHeight="1">
      <c r="B2" s="837" t="s">
        <v>255</v>
      </c>
      <c r="C2" s="837"/>
      <c r="D2" s="837"/>
      <c r="E2" s="837"/>
      <c r="F2" s="837"/>
      <c r="G2" s="837"/>
      <c r="H2" s="837"/>
      <c r="I2" s="837"/>
      <c r="J2" s="837"/>
      <c r="K2" s="837"/>
      <c r="L2" s="837"/>
      <c r="M2" s="837"/>
      <c r="N2" s="837"/>
      <c r="O2" s="837"/>
      <c r="P2" s="837"/>
      <c r="Q2" s="859" t="s">
        <v>345</v>
      </c>
      <c r="R2" s="837" t="s">
        <v>237</v>
      </c>
      <c r="S2" s="837"/>
      <c r="T2" s="837"/>
      <c r="U2" s="837"/>
      <c r="V2" s="837"/>
      <c r="W2" s="859" t="s">
        <v>216</v>
      </c>
      <c r="X2" s="837" t="s">
        <v>258</v>
      </c>
      <c r="Y2" s="837"/>
      <c r="Z2" s="837"/>
      <c r="AA2" s="837"/>
      <c r="AB2" s="837"/>
      <c r="AC2" s="837"/>
      <c r="AD2" s="837"/>
      <c r="AE2" s="837"/>
      <c r="AF2" s="837"/>
      <c r="AG2" s="837"/>
      <c r="AH2" s="837"/>
      <c r="AI2" s="837"/>
      <c r="AJ2" s="837"/>
      <c r="AK2" s="837"/>
      <c r="AL2" s="837"/>
      <c r="AM2" s="859" t="s">
        <v>216</v>
      </c>
      <c r="AN2" s="837" t="s">
        <v>356</v>
      </c>
      <c r="AO2" s="837"/>
      <c r="AP2" s="837"/>
      <c r="AQ2" s="837"/>
      <c r="AR2" s="837"/>
      <c r="AS2" s="837"/>
      <c r="AT2" s="837"/>
      <c r="AU2" s="859" t="s">
        <v>216</v>
      </c>
      <c r="AV2" s="837" t="s">
        <v>483</v>
      </c>
      <c r="AW2" s="837"/>
      <c r="AX2" s="837"/>
      <c r="AY2" s="837"/>
      <c r="AZ2" s="837"/>
      <c r="BA2" s="837"/>
      <c r="BB2" s="837"/>
    </row>
    <row r="3" spans="2:54" ht="15.75" customHeight="1">
      <c r="B3" s="837"/>
      <c r="C3" s="837"/>
      <c r="D3" s="837"/>
      <c r="E3" s="837"/>
      <c r="F3" s="837"/>
      <c r="G3" s="837"/>
      <c r="H3" s="837"/>
      <c r="I3" s="837"/>
      <c r="J3" s="837"/>
      <c r="K3" s="837"/>
      <c r="L3" s="837"/>
      <c r="M3" s="837"/>
      <c r="N3" s="837"/>
      <c r="O3" s="837"/>
      <c r="P3" s="837"/>
      <c r="Q3" s="859"/>
      <c r="R3" s="837"/>
      <c r="S3" s="837"/>
      <c r="T3" s="837"/>
      <c r="U3" s="837"/>
      <c r="V3" s="837"/>
      <c r="W3" s="859"/>
      <c r="X3" s="837"/>
      <c r="Y3" s="837"/>
      <c r="Z3" s="837"/>
      <c r="AA3" s="837"/>
      <c r="AB3" s="837"/>
      <c r="AC3" s="837"/>
      <c r="AD3" s="837"/>
      <c r="AE3" s="837"/>
      <c r="AF3" s="837"/>
      <c r="AG3" s="837"/>
      <c r="AH3" s="837"/>
      <c r="AI3" s="837"/>
      <c r="AJ3" s="837"/>
      <c r="AK3" s="837"/>
      <c r="AL3" s="837"/>
      <c r="AM3" s="859"/>
      <c r="AN3" s="837"/>
      <c r="AO3" s="837"/>
      <c r="AP3" s="837"/>
      <c r="AQ3" s="837"/>
      <c r="AR3" s="837"/>
      <c r="AS3" s="837"/>
      <c r="AT3" s="837"/>
      <c r="AU3" s="859"/>
      <c r="AV3" s="837"/>
      <c r="AW3" s="837"/>
      <c r="AX3" s="837"/>
      <c r="AY3" s="837"/>
      <c r="AZ3" s="837"/>
      <c r="BA3" s="837"/>
      <c r="BB3" s="837"/>
    </row>
    <row r="4" spans="2:54" s="54" customFormat="1" ht="28.5" customHeight="1">
      <c r="B4" s="857" t="str">
        <f>'Analysis Overview'!$C$10</f>
        <v>The number of units sold into the market by year, efficiency level, base/actual market,  installation type, and housing type</v>
      </c>
      <c r="C4" s="857"/>
      <c r="D4" s="857"/>
      <c r="E4" s="857"/>
      <c r="F4" s="857"/>
      <c r="G4" s="857"/>
      <c r="H4" s="857"/>
      <c r="I4" s="857"/>
      <c r="J4" s="857"/>
      <c r="K4" s="857"/>
      <c r="L4" s="857"/>
      <c r="M4" s="857"/>
      <c r="N4" s="857"/>
      <c r="O4" s="857"/>
      <c r="P4" s="857"/>
      <c r="Q4" s="55"/>
      <c r="R4" s="857" t="str">
        <f>'Analysis Overview'!$C$13</f>
        <v>HVAC unit energy consumption in homes outside of programs, in kWh/yr by climate zone, housing type, installation type, and unit efficiency</v>
      </c>
      <c r="S4" s="857"/>
      <c r="T4" s="857"/>
      <c r="U4" s="857"/>
      <c r="V4" s="857"/>
      <c r="W4" s="55"/>
      <c r="X4" s="857" t="str">
        <f>'Analysis Overview'!$C$14</f>
        <v>Total energy consumption (kWh/yr) from HVAC units in the market by year, efficiency level, market case, installation type, and housing type</v>
      </c>
      <c r="Y4" s="857"/>
      <c r="Z4" s="857"/>
      <c r="AA4" s="857"/>
      <c r="AB4" s="857"/>
      <c r="AC4" s="857"/>
      <c r="AD4" s="857"/>
      <c r="AE4" s="857"/>
      <c r="AF4" s="857"/>
      <c r="AG4" s="857"/>
      <c r="AH4" s="857"/>
      <c r="AI4" s="857"/>
      <c r="AJ4" s="857"/>
      <c r="AK4" s="857"/>
      <c r="AL4" s="857"/>
      <c r="AM4" s="55"/>
      <c r="AN4" s="857" t="str">
        <f>'Analysis Overview'!$C$15</f>
        <v>Total energy consumption (MWh/yr) in the market by market case. Calculation to remove the dimensionality of the 'Total Market Consumption' variable and convert to MWh</v>
      </c>
      <c r="AO4" s="857"/>
      <c r="AP4" s="857"/>
      <c r="AQ4" s="857"/>
      <c r="AR4" s="857"/>
      <c r="AS4" s="857"/>
      <c r="AT4" s="857"/>
      <c r="AV4" s="857"/>
      <c r="AW4" s="857"/>
      <c r="AX4" s="857"/>
      <c r="AY4" s="857"/>
      <c r="AZ4" s="857"/>
      <c r="BA4" s="857"/>
      <c r="BB4" s="857"/>
    </row>
    <row r="5" spans="2:54" ht="15.75" customHeight="1">
      <c r="B5" s="49" t="s">
        <v>346</v>
      </c>
      <c r="C5" s="49"/>
      <c r="D5" s="49"/>
      <c r="E5" s="49"/>
      <c r="F5" s="49"/>
      <c r="G5" s="49"/>
      <c r="H5" s="49"/>
      <c r="I5" s="74"/>
      <c r="J5" s="49" t="s">
        <v>347</v>
      </c>
      <c r="K5" s="49"/>
      <c r="L5" s="49"/>
      <c r="M5" s="49"/>
      <c r="N5" s="49"/>
      <c r="O5" s="49"/>
      <c r="P5" s="49"/>
      <c r="Q5" s="78"/>
      <c r="R5" s="74"/>
      <c r="S5" s="74"/>
      <c r="T5" s="74"/>
      <c r="U5" s="74"/>
      <c r="V5" s="74"/>
      <c r="W5" s="78"/>
      <c r="X5" s="49" t="s">
        <v>346</v>
      </c>
      <c r="Y5" s="49"/>
      <c r="Z5" s="49"/>
      <c r="AA5" s="49"/>
      <c r="AB5" s="49"/>
      <c r="AC5" s="49"/>
      <c r="AD5" s="49"/>
      <c r="AE5" s="74"/>
      <c r="AF5" s="49" t="s">
        <v>347</v>
      </c>
      <c r="AG5" s="49"/>
      <c r="AH5" s="49"/>
      <c r="AI5" s="49"/>
      <c r="AJ5" s="49"/>
      <c r="AK5" s="49"/>
      <c r="AL5" s="49"/>
      <c r="AM5" s="78"/>
      <c r="AN5" s="74"/>
      <c r="AO5" s="74"/>
      <c r="AP5" s="74"/>
      <c r="AQ5" s="74"/>
      <c r="AR5" s="74"/>
      <c r="AS5" s="74"/>
      <c r="AT5" s="74"/>
      <c r="AV5" s="712"/>
      <c r="AW5" s="712"/>
      <c r="AX5" s="712"/>
      <c r="AY5" s="712"/>
      <c r="AZ5" s="712"/>
      <c r="BA5" s="712"/>
      <c r="BB5" s="712"/>
    </row>
    <row r="6" spans="2:54" ht="15" customHeight="1" thickBot="1">
      <c r="B6" s="50" t="str">
        <f>'Market Size'!R6</f>
        <v>Conversions</v>
      </c>
      <c r="C6" s="50"/>
      <c r="D6" s="50"/>
      <c r="E6" s="50"/>
      <c r="F6" s="50"/>
      <c r="G6" s="50"/>
      <c r="H6" s="50"/>
      <c r="J6" s="79" t="str">
        <f>'Market Size'!Z6</f>
        <v>Conversions</v>
      </c>
      <c r="K6" s="79"/>
      <c r="L6" s="79"/>
      <c r="M6" s="79"/>
      <c r="N6" s="79"/>
      <c r="O6" s="79"/>
      <c r="P6" s="79"/>
      <c r="R6" s="78"/>
      <c r="S6" s="78"/>
      <c r="T6" s="78"/>
      <c r="U6" s="78"/>
      <c r="V6" s="78"/>
      <c r="X6" s="50" t="s">
        <v>348</v>
      </c>
      <c r="Y6" s="50"/>
      <c r="Z6" s="50"/>
      <c r="AA6" s="50"/>
      <c r="AB6" s="50"/>
      <c r="AC6" s="50"/>
      <c r="AD6" s="50"/>
      <c r="AF6" s="79" t="s">
        <v>348</v>
      </c>
      <c r="AG6" s="79"/>
      <c r="AH6" s="79"/>
      <c r="AI6" s="79"/>
      <c r="AJ6" s="79"/>
      <c r="AK6" s="79"/>
      <c r="AL6" s="79"/>
      <c r="AN6" s="50"/>
      <c r="AO6" s="50"/>
      <c r="AP6" s="50"/>
      <c r="AQ6" s="50"/>
      <c r="AR6" s="50"/>
      <c r="AS6" s="50"/>
      <c r="AT6" s="50"/>
      <c r="AV6" s="50"/>
      <c r="AW6" s="50"/>
      <c r="AX6" s="50"/>
      <c r="AY6" s="50"/>
      <c r="AZ6" s="50"/>
      <c r="BA6" s="50"/>
      <c r="BB6" s="50"/>
    </row>
    <row r="7" spans="2:54" ht="15" customHeight="1">
      <c r="B7" s="830" t="str">
        <f>'Market Size'!R7</f>
        <v>Base Case Units Shipped by Efficiency Level - Single Family</v>
      </c>
      <c r="C7" s="831"/>
      <c r="D7" s="831"/>
      <c r="E7" s="831"/>
      <c r="F7" s="831"/>
      <c r="G7" s="831"/>
      <c r="H7" s="832"/>
      <c r="J7" s="830" t="str">
        <f>'Market Size'!Z7</f>
        <v>Efficient Case Units Shipped by Efficiency Level - Single Family</v>
      </c>
      <c r="K7" s="831"/>
      <c r="L7" s="831"/>
      <c r="M7" s="831"/>
      <c r="N7" s="831"/>
      <c r="O7" s="831"/>
      <c r="P7" s="832"/>
      <c r="R7" s="56" t="str">
        <f>'Input and Scenario Summary'!B5</f>
        <v>Single Family Homes - Conversions</v>
      </c>
      <c r="S7" s="57"/>
      <c r="T7" s="57"/>
      <c r="U7" s="57"/>
      <c r="V7" s="58"/>
      <c r="X7" s="830" t="s">
        <v>357</v>
      </c>
      <c r="Y7" s="831"/>
      <c r="Z7" s="831"/>
      <c r="AA7" s="831"/>
      <c r="AB7" s="831"/>
      <c r="AC7" s="831"/>
      <c r="AD7" s="832"/>
      <c r="AF7" s="830" t="s">
        <v>358</v>
      </c>
      <c r="AG7" s="831"/>
      <c r="AH7" s="831"/>
      <c r="AI7" s="831"/>
      <c r="AJ7" s="831"/>
      <c r="AK7" s="831"/>
      <c r="AL7" s="832"/>
      <c r="AN7" s="830" t="s">
        <v>359</v>
      </c>
      <c r="AO7" s="831"/>
      <c r="AP7" s="831"/>
      <c r="AQ7" s="831"/>
      <c r="AR7" s="831"/>
      <c r="AS7" s="831"/>
      <c r="AT7" s="832"/>
      <c r="AV7" s="830" t="s">
        <v>484</v>
      </c>
      <c r="AW7" s="831"/>
      <c r="AX7" s="831"/>
      <c r="AY7" s="831"/>
      <c r="AZ7" s="831"/>
      <c r="BA7" s="831"/>
      <c r="BB7" s="832"/>
    </row>
    <row r="8" spans="2:54" ht="15">
      <c r="B8" s="404" t="str">
        <f>'Market Size'!R8</f>
        <v>Unit Type</v>
      </c>
      <c r="C8" s="405" t="str">
        <f>'Market Size'!S8</f>
        <v>Efficiency Level</v>
      </c>
      <c r="D8" s="406">
        <f>'Market Size'!T8</f>
        <v>2010</v>
      </c>
      <c r="E8" s="406">
        <f>'Market Size'!U8</f>
        <v>2011</v>
      </c>
      <c r="F8" s="406">
        <f>'Market Size'!V8</f>
        <v>2012</v>
      </c>
      <c r="G8" s="406">
        <f>'Market Size'!W8</f>
        <v>2013</v>
      </c>
      <c r="H8" s="414">
        <f>'Market Size'!X8</f>
        <v>2014</v>
      </c>
      <c r="J8" s="404" t="str">
        <f>'Market Size'!Z8</f>
        <v>Unit Type</v>
      </c>
      <c r="K8" s="405" t="str">
        <f>'Market Size'!AA8</f>
        <v>Efficiency Level</v>
      </c>
      <c r="L8" s="406">
        <f>'Market Size'!AB8</f>
        <v>2010</v>
      </c>
      <c r="M8" s="406">
        <f>'Market Size'!AC8</f>
        <v>2011</v>
      </c>
      <c r="N8" s="406">
        <f>'Market Size'!AD8</f>
        <v>2012</v>
      </c>
      <c r="O8" s="406">
        <f>'Market Size'!AE8</f>
        <v>2013</v>
      </c>
      <c r="P8" s="414">
        <f>'Market Size'!AF8</f>
        <v>2014</v>
      </c>
      <c r="R8" s="446" t="str">
        <f>'Input and Scenario Summary'!B6</f>
        <v>Heating Zone</v>
      </c>
      <c r="S8" s="449" t="str">
        <f>'Input and Scenario Summary'!C6</f>
        <v>HZ 1</v>
      </c>
      <c r="T8" s="449" t="str">
        <f>'Input and Scenario Summary'!D6</f>
        <v>HZ 2</v>
      </c>
      <c r="U8" s="449" t="str">
        <f>'Input and Scenario Summary'!E6</f>
        <v>HZ 3</v>
      </c>
      <c r="V8" s="450" t="str">
        <f>'Input and Scenario Summary'!F6</f>
        <v>PNW Region</v>
      </c>
      <c r="X8" s="404" t="s">
        <v>301</v>
      </c>
      <c r="Y8" s="405" t="s">
        <v>310</v>
      </c>
      <c r="Z8" s="406">
        <v>2010</v>
      </c>
      <c r="AA8" s="406">
        <v>2011</v>
      </c>
      <c r="AB8" s="406">
        <v>2012</v>
      </c>
      <c r="AC8" s="406">
        <v>2013</v>
      </c>
      <c r="AD8" s="414">
        <v>2014</v>
      </c>
      <c r="AF8" s="404" t="s">
        <v>301</v>
      </c>
      <c r="AG8" s="405" t="s">
        <v>310</v>
      </c>
      <c r="AH8" s="406">
        <v>2010</v>
      </c>
      <c r="AI8" s="406">
        <v>2011</v>
      </c>
      <c r="AJ8" s="406">
        <v>2012</v>
      </c>
      <c r="AK8" s="406">
        <v>2013</v>
      </c>
      <c r="AL8" s="414">
        <v>2014</v>
      </c>
      <c r="AN8" s="404" t="s">
        <v>360</v>
      </c>
      <c r="AO8" s="405" t="s">
        <v>310</v>
      </c>
      <c r="AP8" s="406">
        <v>2010</v>
      </c>
      <c r="AQ8" s="406">
        <v>2011</v>
      </c>
      <c r="AR8" s="406">
        <v>2012</v>
      </c>
      <c r="AS8" s="406">
        <v>2013</v>
      </c>
      <c r="AT8" s="414">
        <v>2014</v>
      </c>
      <c r="AV8" s="404" t="str">
        <f aca="true" t="shared" si="0" ref="AV8:AV31">AN8</f>
        <v>Case</v>
      </c>
      <c r="AW8" s="405" t="str">
        <f aca="true" t="shared" si="1" ref="AW8:AW35">AO8</f>
        <v>Efficiency Level</v>
      </c>
      <c r="AX8" s="406">
        <f>AP8</f>
        <v>2010</v>
      </c>
      <c r="AY8" s="406">
        <f>AQ8</f>
        <v>2011</v>
      </c>
      <c r="AZ8" s="406">
        <f>AR8</f>
        <v>2012</v>
      </c>
      <c r="BA8" s="406">
        <f>AS8</f>
        <v>2013</v>
      </c>
      <c r="BB8" s="414">
        <f>AT8</f>
        <v>2014</v>
      </c>
    </row>
    <row r="9" spans="2:54" ht="15">
      <c r="B9" s="415" t="str">
        <f>'Market Size'!R9</f>
        <v>Forced Air Furnace</v>
      </c>
      <c r="C9" s="416" t="str">
        <f>'Market Size'!S9</f>
        <v>n/a</v>
      </c>
      <c r="D9" s="407">
        <f ca="1">'Market Size'!T9</f>
        <v>7557.279029204334</v>
      </c>
      <c r="E9" s="407">
        <f ca="1">'Market Size'!U9</f>
        <v>10043.771791897674</v>
      </c>
      <c r="F9" s="407">
        <f ca="1">'Market Size'!V9</f>
        <v>10260.978252637588</v>
      </c>
      <c r="G9" s="407">
        <f ca="1">'Market Size'!W9</f>
        <v>10922.625719636484</v>
      </c>
      <c r="H9" s="421">
        <f ca="1">'Market Size'!X9</f>
        <v>10805.399773612331</v>
      </c>
      <c r="J9" s="415" t="str">
        <f>'Market Size'!Z9</f>
        <v>Forced Air Furnace</v>
      </c>
      <c r="K9" s="416" t="str">
        <f>'Market Size'!AA9</f>
        <v>n/a</v>
      </c>
      <c r="L9" s="407">
        <f ca="1">'Market Size'!AB9</f>
        <v>5539.487669420487</v>
      </c>
      <c r="M9" s="407">
        <f ca="1">'Market Size'!AC9</f>
        <v>6689.651688605543</v>
      </c>
      <c r="N9" s="407">
        <f ca="1">'Market Size'!AD9</f>
        <v>5972.044333324912</v>
      </c>
      <c r="O9" s="407">
        <f ca="1">'Market Size'!AE9</f>
        <v>6640.471753673918</v>
      </c>
      <c r="P9" s="421">
        <f ca="1">'Market Size'!AF9</f>
        <v>6641.505860251345</v>
      </c>
      <c r="R9" s="447" t="str">
        <f>'Input and Scenario Summary'!B7</f>
        <v>Electric FAF</v>
      </c>
      <c r="S9" s="51">
        <f>'Input and Scenario Summary'!C7</f>
        <v>12306.0977549107</v>
      </c>
      <c r="T9" s="51">
        <f>'Input and Scenario Summary'!D7</f>
        <v>15104.636883323255</v>
      </c>
      <c r="U9" s="51">
        <f>'Input and Scenario Summary'!E7</f>
        <v>20425.5725291778</v>
      </c>
      <c r="V9" s="60">
        <f>'Input and Scenario Summary'!F7</f>
        <v>13982.756857398494</v>
      </c>
      <c r="X9" s="415" t="s">
        <v>130</v>
      </c>
      <c r="Y9" s="416" t="s">
        <v>129</v>
      </c>
      <c r="Z9" s="407">
        <f aca="true" t="shared" si="2" ref="Z9:AD16">D9*$V9</f>
        <v>105671595.16888073</v>
      </c>
      <c r="AA9" s="407">
        <f ca="1" t="shared" si="2"/>
        <v>140439618.89730275</v>
      </c>
      <c r="AB9" s="407">
        <f ca="1" t="shared" si="2"/>
        <v>143476764.02568504</v>
      </c>
      <c r="AC9" s="407">
        <f ca="1" t="shared" si="2"/>
        <v>152728419.6820442</v>
      </c>
      <c r="AD9" s="421">
        <f ca="1" t="shared" si="2"/>
        <v>151089277.78140995</v>
      </c>
      <c r="AF9" s="415" t="s">
        <v>130</v>
      </c>
      <c r="AG9" s="416" t="s">
        <v>129</v>
      </c>
      <c r="AH9" s="407">
        <f aca="true" t="shared" si="3" ref="AH9:AL16">L9*$V9</f>
        <v>77457309.19606371</v>
      </c>
      <c r="AI9" s="407">
        <f ca="1" t="shared" si="3"/>
        <v>93539773.02245657</v>
      </c>
      <c r="AJ9" s="407">
        <f ca="1" t="shared" si="3"/>
        <v>83505643.85448673</v>
      </c>
      <c r="AK9" s="407">
        <f ca="1" t="shared" si="3"/>
        <v>92852101.95004497</v>
      </c>
      <c r="AL9" s="421">
        <f ca="1" t="shared" si="3"/>
        <v>92866561.61088178</v>
      </c>
      <c r="AN9" s="415" t="s">
        <v>361</v>
      </c>
      <c r="AO9" s="416" t="s">
        <v>362</v>
      </c>
      <c r="AP9" s="407">
        <f ca="1">SUM(Z9:Z16)/$AP$33</f>
        <v>115933.97444042777</v>
      </c>
      <c r="AQ9" s="407">
        <f ca="1">SUM(AA9:AA16)/$AP$33</f>
        <v>154078.52187375826</v>
      </c>
      <c r="AR9" s="407">
        <f ca="1">SUM(AB9:AB16)/$AP$33</f>
        <v>157410.62171689028</v>
      </c>
      <c r="AS9" s="407">
        <f ca="1">SUM(AC9:AC16)/$AP$33</f>
        <v>167560.75911835398</v>
      </c>
      <c r="AT9" s="421">
        <f ca="1">SUM(AD9:AD16)/$AP$33</f>
        <v>165762.4306753257</v>
      </c>
      <c r="AV9" s="415" t="str">
        <f t="shared" si="0"/>
        <v>Base</v>
      </c>
      <c r="AW9" s="416" t="str">
        <f t="shared" si="1"/>
        <v>Conversion</v>
      </c>
      <c r="AX9" s="714">
        <f aca="true" t="shared" si="4" ref="AX9:BB12">(AP9)/8760</f>
        <v>13.234471968085362</v>
      </c>
      <c r="AY9" s="714">
        <f ca="1" t="shared" si="4"/>
        <v>17.588872360018065</v>
      </c>
      <c r="AZ9" s="714">
        <f ca="1" t="shared" si="4"/>
        <v>17.96924905443953</v>
      </c>
      <c r="BA9" s="714">
        <f ca="1" t="shared" si="4"/>
        <v>19.127940538624884</v>
      </c>
      <c r="BB9" s="715">
        <f ca="1" t="shared" si="4"/>
        <v>18.922651903575993</v>
      </c>
    </row>
    <row r="10" spans="2:54" ht="15">
      <c r="B10" s="417" t="str">
        <f>'Market Size'!R10</f>
        <v>Air Source Heat Pump</v>
      </c>
      <c r="C10" s="418" t="str">
        <f>'Market Size'!S10</f>
        <v>HSPF_7.7</v>
      </c>
      <c r="D10" s="407">
        <f ca="1">'Market Size'!T10</f>
        <v>0</v>
      </c>
      <c r="E10" s="407">
        <f ca="1">'Market Size'!U10</f>
        <v>0</v>
      </c>
      <c r="F10" s="407">
        <f ca="1">'Market Size'!V10</f>
        <v>0</v>
      </c>
      <c r="G10" s="407">
        <f ca="1">'Market Size'!W10</f>
        <v>0</v>
      </c>
      <c r="H10" s="421">
        <f ca="1">'Market Size'!X10</f>
        <v>0</v>
      </c>
      <c r="I10" s="76"/>
      <c r="J10" s="417" t="str">
        <f>'Market Size'!Z10</f>
        <v>Air Source Heat Pump</v>
      </c>
      <c r="K10" s="418" t="str">
        <f>'Market Size'!AA10</f>
        <v>HSPF_7.7</v>
      </c>
      <c r="L10" s="407">
        <f ca="1">'Market Size'!AB10</f>
        <v>1117.8144151712702</v>
      </c>
      <c r="M10" s="407">
        <f ca="1">'Market Size'!AC10</f>
        <v>1815.4265646432498</v>
      </c>
      <c r="N10" s="407">
        <f ca="1">'Market Size'!AD10</f>
        <v>2117.6690975028546</v>
      </c>
      <c r="O10" s="407">
        <f ca="1">'Market Size'!AE10</f>
        <v>2162.4075257445406</v>
      </c>
      <c r="P10" s="421">
        <f ca="1">'Market Size'!AF10</f>
        <v>2089.5028973867065</v>
      </c>
      <c r="R10" s="447" t="str">
        <f>'Input and Scenario Summary'!B8</f>
        <v>HSPF 7.7</v>
      </c>
      <c r="S10" s="51">
        <f>'Input and Scenario Summary'!C8</f>
        <v>6719.5301746105215</v>
      </c>
      <c r="T10" s="51">
        <f>'Input and Scenario Summary'!D8</f>
        <v>9850.515923716473</v>
      </c>
      <c r="U10" s="51">
        <f>'Input and Scenario Summary'!E8</f>
        <v>11709.164888940815</v>
      </c>
      <c r="V10" s="60">
        <f>'Input and Scenario Summary'!F8</f>
        <v>8179.691795082415</v>
      </c>
      <c r="X10" s="417" t="s">
        <v>56</v>
      </c>
      <c r="Y10" s="418" t="s">
        <v>302</v>
      </c>
      <c r="Z10" s="407">
        <f ca="1" t="shared" si="2"/>
        <v>0</v>
      </c>
      <c r="AA10" s="407">
        <f ca="1" t="shared" si="2"/>
        <v>0</v>
      </c>
      <c r="AB10" s="407">
        <f ca="1" t="shared" si="2"/>
        <v>0</v>
      </c>
      <c r="AC10" s="407">
        <f ca="1" t="shared" si="2"/>
        <v>0</v>
      </c>
      <c r="AD10" s="421">
        <f ca="1" t="shared" si="2"/>
        <v>0</v>
      </c>
      <c r="AE10" s="76"/>
      <c r="AF10" s="417" t="s">
        <v>56</v>
      </c>
      <c r="AG10" s="418" t="s">
        <v>302</v>
      </c>
      <c r="AH10" s="407">
        <f ca="1" t="shared" si="3"/>
        <v>9143377.400201287</v>
      </c>
      <c r="AI10" s="407">
        <f ca="1" t="shared" si="3"/>
        <v>14849629.775387047</v>
      </c>
      <c r="AJ10" s="407">
        <f ca="1" t="shared" si="3"/>
        <v>17321880.541543685</v>
      </c>
      <c r="AK10" s="407">
        <f ca="1" t="shared" si="3"/>
        <v>17687827.095957085</v>
      </c>
      <c r="AL10" s="421">
        <f ca="1" t="shared" si="3"/>
        <v>17091489.705554977</v>
      </c>
      <c r="AN10" s="415" t="s">
        <v>361</v>
      </c>
      <c r="AO10" s="416" t="s">
        <v>363</v>
      </c>
      <c r="AP10" s="407">
        <f ca="1">SUM(Z20:Z27)/$AP$33</f>
        <v>226164.19114338566</v>
      </c>
      <c r="AQ10" s="407">
        <f ca="1">SUM(AA20:AA27)/$AP$33</f>
        <v>234159.69859915812</v>
      </c>
      <c r="AR10" s="407">
        <f ca="1">SUM(AB20:AB27)/$AP$33</f>
        <v>244523.95081399777</v>
      </c>
      <c r="AS10" s="407">
        <f ca="1">SUM(AC20:AC27)/$AP$33</f>
        <v>254015.43057069296</v>
      </c>
      <c r="AT10" s="421">
        <f ca="1">SUM(AD20:AD27)/$AP$33</f>
        <v>258448.23505840095</v>
      </c>
      <c r="AU10" s="76"/>
      <c r="AV10" s="415" t="str">
        <f t="shared" si="0"/>
        <v>Base</v>
      </c>
      <c r="AW10" s="416" t="str">
        <f t="shared" si="1"/>
        <v>Upgrade</v>
      </c>
      <c r="AX10" s="714">
        <f ca="1" t="shared" si="4"/>
        <v>25.817830039199276</v>
      </c>
      <c r="AY10" s="714">
        <f ca="1" t="shared" si="4"/>
        <v>26.730559200817137</v>
      </c>
      <c r="AZ10" s="714">
        <f ca="1" t="shared" si="4"/>
        <v>27.91369301529655</v>
      </c>
      <c r="BA10" s="714">
        <f ca="1" t="shared" si="4"/>
        <v>28.99719527062705</v>
      </c>
      <c r="BB10" s="715">
        <f ca="1" t="shared" si="4"/>
        <v>29.503223180182758</v>
      </c>
    </row>
    <row r="11" spans="2:54" ht="15">
      <c r="B11" s="417" t="str">
        <f>'Market Size'!R11</f>
        <v>Air Source Heat Pump</v>
      </c>
      <c r="C11" s="418" t="str">
        <f>'Market Size'!S11</f>
        <v>HSPF_8.5</v>
      </c>
      <c r="D11" s="407">
        <f ca="1">'Market Size'!T11</f>
        <v>889.0916504946276</v>
      </c>
      <c r="E11" s="407">
        <f ca="1">'Market Size'!U11</f>
        <v>1181.620210811491</v>
      </c>
      <c r="F11" s="407">
        <f ca="1">'Market Size'!V11</f>
        <v>1207.1739120750103</v>
      </c>
      <c r="G11" s="407">
        <f ca="1">'Market Size'!W11</f>
        <v>1285.0147905454687</v>
      </c>
      <c r="H11" s="421">
        <f ca="1">'Market Size'!X11</f>
        <v>1271.2235027779216</v>
      </c>
      <c r="I11" s="76"/>
      <c r="J11" s="417" t="str">
        <f>'Market Size'!Z11</f>
        <v>Air Source Heat Pump</v>
      </c>
      <c r="K11" s="418" t="str">
        <f>'Market Size'!AA11</f>
        <v>HSPF_8.5</v>
      </c>
      <c r="L11" s="407">
        <f ca="1">'Market Size'!AB11</f>
        <v>1558.7870743672756</v>
      </c>
      <c r="M11" s="407">
        <f ca="1">'Market Size'!AC11</f>
        <v>2466.342750693923</v>
      </c>
      <c r="N11" s="407">
        <f ca="1">'Market Size'!AD11</f>
        <v>2966.5199769688948</v>
      </c>
      <c r="O11" s="407">
        <f ca="1">'Market Size'!AE11</f>
        <v>2927.5455004412806</v>
      </c>
      <c r="P11" s="421">
        <f ca="1">'Market Size'!AF11</f>
        <v>2876.1821161547036</v>
      </c>
      <c r="R11" s="447" t="str">
        <f>'Input and Scenario Summary'!B9</f>
        <v>HSPF 8.5</v>
      </c>
      <c r="S11" s="51">
        <f>'Input and Scenario Summary'!C9</f>
        <v>6306.688804753517</v>
      </c>
      <c r="T11" s="51">
        <f>'Input and Scenario Summary'!D9</f>
        <v>9391.199138222692</v>
      </c>
      <c r="U11" s="51">
        <f>'Input and Scenario Summary'!E9</f>
        <v>11244.197535714791</v>
      </c>
      <c r="V11" s="60">
        <f>'Input and Scenario Summary'!F9</f>
        <v>7747.403498293496</v>
      </c>
      <c r="X11" s="417" t="s">
        <v>56</v>
      </c>
      <c r="Y11" s="418" t="s">
        <v>303</v>
      </c>
      <c r="Z11" s="407">
        <f ca="1" t="shared" si="2"/>
        <v>6888151.763345617</v>
      </c>
      <c r="AA11" s="407">
        <f ca="1" t="shared" si="2"/>
        <v>9154488.554895245</v>
      </c>
      <c r="AB11" s="407">
        <f ca="1" t="shared" si="2"/>
        <v>9352463.38945858</v>
      </c>
      <c r="AC11" s="407">
        <f ca="1" t="shared" si="2"/>
        <v>9955528.083630849</v>
      </c>
      <c r="AD11" s="421">
        <f ca="1" t="shared" si="2"/>
        <v>9848681.412534581</v>
      </c>
      <c r="AE11" s="76"/>
      <c r="AF11" s="417" t="s">
        <v>56</v>
      </c>
      <c r="AG11" s="418" t="s">
        <v>303</v>
      </c>
      <c r="AH11" s="407">
        <f ca="1" t="shared" si="3"/>
        <v>12076552.433047716</v>
      </c>
      <c r="AI11" s="407">
        <f ca="1" t="shared" si="3"/>
        <v>19107752.454716902</v>
      </c>
      <c r="AJ11" s="407">
        <f ca="1" t="shared" si="3"/>
        <v>22982827.24732636</v>
      </c>
      <c r="AK11" s="407">
        <f ca="1" t="shared" si="3"/>
        <v>22680876.251532163</v>
      </c>
      <c r="AL11" s="421">
        <f ca="1" t="shared" si="3"/>
        <v>22282943.388426144</v>
      </c>
      <c r="AN11" s="415" t="s">
        <v>364</v>
      </c>
      <c r="AO11" s="416" t="s">
        <v>362</v>
      </c>
      <c r="AP11" s="407">
        <f ca="1">SUM(AH9:AH16)/$AP$33</f>
        <v>103620.2818644147</v>
      </c>
      <c r="AQ11" s="407">
        <f ca="1">SUM(AI9:AI16)/$AP$33</f>
        <v>133710.48089295867</v>
      </c>
      <c r="AR11" s="407">
        <f ca="1">SUM(AJ9:AJ16)/$AP$33</f>
        <v>131244.19226148445</v>
      </c>
      <c r="AS11" s="407">
        <f ca="1">SUM(AK9:AK16)/$AP$33</f>
        <v>141483.83677110195</v>
      </c>
      <c r="AT11" s="421">
        <f ca="1">SUM(AL9:AL16)/$AP$33</f>
        <v>140427.48545324555</v>
      </c>
      <c r="AU11" s="76"/>
      <c r="AV11" s="415" t="str">
        <f t="shared" si="0"/>
        <v>Actual</v>
      </c>
      <c r="AW11" s="416" t="str">
        <f t="shared" si="1"/>
        <v>Conversion</v>
      </c>
      <c r="AX11" s="714">
        <f ca="1" t="shared" si="4"/>
        <v>11.82879929959072</v>
      </c>
      <c r="AY11" s="714">
        <f ca="1" t="shared" si="4"/>
        <v>15.263753526593456</v>
      </c>
      <c r="AZ11" s="714">
        <f ca="1" t="shared" si="4"/>
        <v>14.98221372847996</v>
      </c>
      <c r="BA11" s="714">
        <f ca="1" t="shared" si="4"/>
        <v>16.151122919075565</v>
      </c>
      <c r="BB11" s="715">
        <f ca="1" t="shared" si="4"/>
        <v>16.03053486909196</v>
      </c>
    </row>
    <row r="12" spans="2:54" ht="15.75" thickBot="1">
      <c r="B12" s="417" t="str">
        <f>'Market Size'!R12</f>
        <v>Air Source Heat Pump</v>
      </c>
      <c r="C12" s="418" t="str">
        <f>'Market Size'!S12</f>
        <v>HSPF_9.0</v>
      </c>
      <c r="D12" s="407">
        <f ca="1">'Market Size'!T12</f>
        <v>444.5458252473138</v>
      </c>
      <c r="E12" s="407">
        <f ca="1">'Market Size'!U12</f>
        <v>590.8101054057455</v>
      </c>
      <c r="F12" s="407">
        <f ca="1">'Market Size'!V12</f>
        <v>603.5869560375052</v>
      </c>
      <c r="G12" s="407">
        <f ca="1">'Market Size'!W12</f>
        <v>642.5073952727344</v>
      </c>
      <c r="H12" s="421">
        <f ca="1">'Market Size'!X12</f>
        <v>635.6117513889608</v>
      </c>
      <c r="I12" s="76"/>
      <c r="J12" s="417" t="str">
        <f>'Market Size'!Z12</f>
        <v>Air Source Heat Pump</v>
      </c>
      <c r="K12" s="418" t="str">
        <f>'Market Size'!AA12</f>
        <v>HSPF_9.0</v>
      </c>
      <c r="L12" s="407">
        <f ca="1">'Market Size'!AB12</f>
        <v>191.1858206813247</v>
      </c>
      <c r="M12" s="407">
        <f ca="1">'Market Size'!AC12</f>
        <v>275.1559755654996</v>
      </c>
      <c r="N12" s="407">
        <f ca="1">'Market Size'!AD12</f>
        <v>305.05134446830493</v>
      </c>
      <c r="O12" s="407">
        <f ca="1">'Market Size'!AE12</f>
        <v>431.217241996206</v>
      </c>
      <c r="P12" s="421">
        <f ca="1">'Market Size'!AF12</f>
        <v>436.8742967029683</v>
      </c>
      <c r="R12" s="447" t="str">
        <f>'Input and Scenario Summary'!B10</f>
        <v>HSPF 9.0</v>
      </c>
      <c r="S12" s="51">
        <f>'Input and Scenario Summary'!C10</f>
        <v>6143.802959027851</v>
      </c>
      <c r="T12" s="51">
        <f>'Input and Scenario Summary'!D10</f>
        <v>9241.48908834041</v>
      </c>
      <c r="U12" s="51">
        <f>'Input and Scenario Summary'!E10</f>
        <v>11098.548337929898</v>
      </c>
      <c r="V12" s="60">
        <f>'Input and Scenario Summary'!F10</f>
        <v>7590.280498808534</v>
      </c>
      <c r="X12" s="417" t="s">
        <v>56</v>
      </c>
      <c r="Y12" s="418" t="s">
        <v>304</v>
      </c>
      <c r="Z12" s="407">
        <f ca="1" t="shared" si="2"/>
        <v>3374227.5082014324</v>
      </c>
      <c r="AA12" s="407">
        <f ca="1" t="shared" si="2"/>
        <v>4484414.421560245</v>
      </c>
      <c r="AB12" s="407">
        <f ca="1" t="shared" si="2"/>
        <v>4581394.3017466795</v>
      </c>
      <c r="AC12" s="407">
        <f ca="1" t="shared" si="2"/>
        <v>4876811.3526789015</v>
      </c>
      <c r="AD12" s="421">
        <f ca="1" t="shared" si="2"/>
        <v>4824471.481381167</v>
      </c>
      <c r="AE12" s="76"/>
      <c r="AF12" s="417" t="s">
        <v>56</v>
      </c>
      <c r="AG12" s="418" t="s">
        <v>304</v>
      </c>
      <c r="AH12" s="407">
        <f ca="1" t="shared" si="3"/>
        <v>1451154.0063661642</v>
      </c>
      <c r="AI12" s="407">
        <f ca="1" t="shared" si="3"/>
        <v>2088511.035465449</v>
      </c>
      <c r="AJ12" s="407">
        <f ca="1" t="shared" si="3"/>
        <v>2315425.2710530995</v>
      </c>
      <c r="AK12" s="407">
        <f ca="1" t="shared" si="3"/>
        <v>3273059.8226738027</v>
      </c>
      <c r="AL12" s="421">
        <f ca="1" t="shared" si="3"/>
        <v>3315998.4546952336</v>
      </c>
      <c r="AN12" s="488" t="s">
        <v>364</v>
      </c>
      <c r="AO12" s="489" t="s">
        <v>363</v>
      </c>
      <c r="AP12" s="422">
        <f ca="1">SUM(AH20:AH27)/$AP$33</f>
        <v>218623.8573936626</v>
      </c>
      <c r="AQ12" s="422">
        <f ca="1">SUM(AI20:AI27)/$AP$33</f>
        <v>227100.2815457275</v>
      </c>
      <c r="AR12" s="422">
        <f ca="1">SUM(AJ20:AJ27)/$AP$33</f>
        <v>236900.87021439624</v>
      </c>
      <c r="AS12" s="422">
        <f ca="1">SUM(AK20:AK27)/$AP$33</f>
        <v>246240.21582014012</v>
      </c>
      <c r="AT12" s="423">
        <f ca="1">SUM(AL20:AL27)/$AP$33</f>
        <v>245232.4607773075</v>
      </c>
      <c r="AU12" s="76"/>
      <c r="AV12" s="488" t="str">
        <f t="shared" si="0"/>
        <v>Actual</v>
      </c>
      <c r="AW12" s="489" t="str">
        <f t="shared" si="1"/>
        <v>Upgrade</v>
      </c>
      <c r="AX12" s="437">
        <f ca="1" t="shared" si="4"/>
        <v>24.957061346308514</v>
      </c>
      <c r="AY12" s="437">
        <f ca="1" t="shared" si="4"/>
        <v>25.92468967416981</v>
      </c>
      <c r="AZ12" s="437">
        <f ca="1" t="shared" si="4"/>
        <v>27.04347833497674</v>
      </c>
      <c r="BA12" s="437">
        <f ca="1" t="shared" si="4"/>
        <v>28.10961367809819</v>
      </c>
      <c r="BB12" s="438">
        <f ca="1" t="shared" si="4"/>
        <v>27.994573148094464</v>
      </c>
    </row>
    <row r="13" spans="2:54" ht="15.75" thickBot="1">
      <c r="B13" s="417" t="str">
        <f>'Market Size'!R13</f>
        <v>Air Source Heat Pump</v>
      </c>
      <c r="C13" s="418" t="str">
        <f>'Market Size'!S13</f>
        <v>HSPF_9.5</v>
      </c>
      <c r="D13" s="407">
        <f ca="1">'Market Size'!T13</f>
        <v>0</v>
      </c>
      <c r="E13" s="407">
        <f ca="1">'Market Size'!U13</f>
        <v>0</v>
      </c>
      <c r="F13" s="407">
        <f ca="1">'Market Size'!V13</f>
        <v>0</v>
      </c>
      <c r="G13" s="407">
        <f ca="1">'Market Size'!W13</f>
        <v>0</v>
      </c>
      <c r="H13" s="421">
        <f ca="1">'Market Size'!X13</f>
        <v>0</v>
      </c>
      <c r="I13" s="76"/>
      <c r="J13" s="417" t="str">
        <f>'Market Size'!Z13</f>
        <v>Air Source Heat Pump</v>
      </c>
      <c r="K13" s="418" t="str">
        <f>'Market Size'!AA13</f>
        <v>HSPF_9.5</v>
      </c>
      <c r="L13" s="407">
        <f ca="1">'Market Size'!AB13</f>
        <v>191.1858206813247</v>
      </c>
      <c r="M13" s="407">
        <f ca="1">'Market Size'!AC13</f>
        <v>275.1559755654996</v>
      </c>
      <c r="N13" s="407">
        <f ca="1">'Market Size'!AD13</f>
        <v>305.05134446830493</v>
      </c>
      <c r="O13" s="407">
        <f ca="1">'Market Size'!AE13</f>
        <v>431.217241996206</v>
      </c>
      <c r="P13" s="421">
        <f ca="1">'Market Size'!AF13</f>
        <v>436.8742967029683</v>
      </c>
      <c r="R13" s="447" t="str">
        <f>'Input and Scenario Summary'!B11</f>
        <v>HSPF 9.5</v>
      </c>
      <c r="S13" s="51">
        <f>'Input and Scenario Summary'!C11</f>
        <v>5983.985086465105</v>
      </c>
      <c r="T13" s="51">
        <f>'Input and Scenario Summary'!D11</f>
        <v>9100.568048729368</v>
      </c>
      <c r="U13" s="51">
        <f>'Input and Scenario Summary'!E11</f>
        <v>10965.159097238125</v>
      </c>
      <c r="V13" s="60">
        <f>'Input and Scenario Summary'!F11</f>
        <v>7438.901116674833</v>
      </c>
      <c r="X13" s="417" t="s">
        <v>56</v>
      </c>
      <c r="Y13" s="418" t="s">
        <v>305</v>
      </c>
      <c r="Z13" s="407">
        <f ca="1" t="shared" si="2"/>
        <v>0</v>
      </c>
      <c r="AA13" s="407">
        <f ca="1" t="shared" si="2"/>
        <v>0</v>
      </c>
      <c r="AB13" s="407">
        <f ca="1" t="shared" si="2"/>
        <v>0</v>
      </c>
      <c r="AC13" s="407">
        <f ca="1" t="shared" si="2"/>
        <v>0</v>
      </c>
      <c r="AD13" s="421">
        <f ca="1" t="shared" si="2"/>
        <v>0</v>
      </c>
      <c r="AE13" s="76"/>
      <c r="AF13" s="417" t="s">
        <v>56</v>
      </c>
      <c r="AG13" s="418" t="s">
        <v>305</v>
      </c>
      <c r="AH13" s="407">
        <f ca="1" t="shared" si="3"/>
        <v>1422212.4149587008</v>
      </c>
      <c r="AI13" s="407">
        <f ca="1" t="shared" si="3"/>
        <v>2046858.093893948</v>
      </c>
      <c r="AJ13" s="407">
        <f ca="1" t="shared" si="3"/>
        <v>2269246.7870084327</v>
      </c>
      <c r="AK13" s="407">
        <f ca="1" t="shared" si="3"/>
        <v>3207782.4230150185</v>
      </c>
      <c r="AL13" s="421">
        <f ca="1" t="shared" si="3"/>
        <v>3249864.6935902433</v>
      </c>
      <c r="AP13" s="76"/>
      <c r="AQ13" s="76"/>
      <c r="AR13" s="76"/>
      <c r="AS13" s="76"/>
      <c r="AT13" s="76"/>
      <c r="AX13" s="76"/>
      <c r="AY13" s="76"/>
      <c r="AZ13" s="76"/>
      <c r="BA13" s="76"/>
      <c r="BB13" s="76"/>
    </row>
    <row r="14" spans="2:54" ht="15">
      <c r="B14" s="417" t="str">
        <f>'Market Size'!R14</f>
        <v>Air Source Heat Pump</v>
      </c>
      <c r="C14" s="418" t="str">
        <f>'Market Size'!S14</f>
        <v>HSPF_10.0</v>
      </c>
      <c r="D14" s="407">
        <f ca="1">'Market Size'!T14</f>
        <v>0</v>
      </c>
      <c r="E14" s="407">
        <f ca="1">'Market Size'!U14</f>
        <v>0</v>
      </c>
      <c r="F14" s="407">
        <f ca="1">'Market Size'!V14</f>
        <v>0</v>
      </c>
      <c r="G14" s="407">
        <f ca="1">'Market Size'!W14</f>
        <v>0</v>
      </c>
      <c r="H14" s="421">
        <f ca="1">'Market Size'!X14</f>
        <v>0</v>
      </c>
      <c r="I14" s="76"/>
      <c r="J14" s="417" t="str">
        <f>'Market Size'!Z14</f>
        <v>Air Source Heat Pump</v>
      </c>
      <c r="K14" s="418" t="str">
        <f>'Market Size'!AA14</f>
        <v>HSPF_10.0</v>
      </c>
      <c r="L14" s="407">
        <f ca="1">'Market Size'!AB14</f>
        <v>84.05583495472034</v>
      </c>
      <c r="M14" s="407">
        <f ca="1">'Market Size'!AC14</f>
        <v>75.88942678685126</v>
      </c>
      <c r="N14" s="407">
        <f ca="1">'Market Size'!AD14</f>
        <v>87.47469411973229</v>
      </c>
      <c r="O14" s="407">
        <f ca="1">'Market Size'!AE14</f>
        <v>17.374376659941433</v>
      </c>
      <c r="P14" s="421">
        <f ca="1">'Market Size'!AF14</f>
        <v>42.705514554624806</v>
      </c>
      <c r="R14" s="447" t="str">
        <f>'Input and Scenario Summary'!B12</f>
        <v>HSPF 10.0</v>
      </c>
      <c r="S14" s="51">
        <f>'Input and Scenario Summary'!C12</f>
        <v>5827.029217391605</v>
      </c>
      <c r="T14" s="51">
        <f>'Input and Scenario Summary'!D12</f>
        <v>8967.34559489269</v>
      </c>
      <c r="U14" s="51">
        <f>'Input and Scenario Summary'!E12</f>
        <v>10843.19952019437</v>
      </c>
      <c r="V14" s="60">
        <f>'Input and Scenario Summary'!F12</f>
        <v>7292.726621991201</v>
      </c>
      <c r="X14" s="417" t="s">
        <v>56</v>
      </c>
      <c r="Y14" s="418" t="s">
        <v>306</v>
      </c>
      <c r="Z14" s="407">
        <f ca="1" t="shared" si="2"/>
        <v>0</v>
      </c>
      <c r="AA14" s="407">
        <f ca="1" t="shared" si="2"/>
        <v>0</v>
      </c>
      <c r="AB14" s="407">
        <f ca="1" t="shared" si="2"/>
        <v>0</v>
      </c>
      <c r="AC14" s="407">
        <f ca="1" t="shared" si="2"/>
        <v>0</v>
      </c>
      <c r="AD14" s="421">
        <f ca="1" t="shared" si="2"/>
        <v>0</v>
      </c>
      <c r="AE14" s="76"/>
      <c r="AF14" s="417" t="s">
        <v>56</v>
      </c>
      <c r="AG14" s="418" t="s">
        <v>306</v>
      </c>
      <c r="AH14" s="407">
        <f ca="1" t="shared" si="3"/>
        <v>612996.2253079875</v>
      </c>
      <c r="AI14" s="407">
        <f ca="1" t="shared" si="3"/>
        <v>553440.8430561223</v>
      </c>
      <c r="AJ14" s="407">
        <f ca="1" t="shared" si="3"/>
        <v>637929.0305575088</v>
      </c>
      <c r="AK14" s="407">
        <f ca="1" t="shared" si="3"/>
        <v>126706.57920845745</v>
      </c>
      <c r="AL14" s="421">
        <f ca="1" t="shared" si="3"/>
        <v>311439.642898345</v>
      </c>
      <c r="AN14" s="830" t="s">
        <v>365</v>
      </c>
      <c r="AO14" s="831"/>
      <c r="AP14" s="831"/>
      <c r="AQ14" s="831"/>
      <c r="AR14" s="831"/>
      <c r="AS14" s="831"/>
      <c r="AT14" s="832"/>
      <c r="AV14" s="830" t="s">
        <v>485</v>
      </c>
      <c r="AW14" s="831"/>
      <c r="AX14" s="831"/>
      <c r="AY14" s="831"/>
      <c r="AZ14" s="831"/>
      <c r="BA14" s="831"/>
      <c r="BB14" s="832"/>
    </row>
    <row r="15" spans="2:54" ht="15">
      <c r="B15" s="417" t="str">
        <f>'Market Size'!R15</f>
        <v>Air Source Heat Pump</v>
      </c>
      <c r="C15" s="418" t="str">
        <f>'Market Size'!S15</f>
        <v>HSPF_10.5</v>
      </c>
      <c r="D15" s="407">
        <f ca="1">'Market Size'!T15</f>
        <v>0</v>
      </c>
      <c r="E15" s="407">
        <f ca="1">'Market Size'!U15</f>
        <v>0</v>
      </c>
      <c r="F15" s="407">
        <f ca="1">'Market Size'!V15</f>
        <v>0</v>
      </c>
      <c r="G15" s="407">
        <f ca="1">'Market Size'!W15</f>
        <v>0</v>
      </c>
      <c r="H15" s="421">
        <f ca="1">'Market Size'!X15</f>
        <v>0</v>
      </c>
      <c r="I15" s="76"/>
      <c r="J15" s="417" t="str">
        <f>'Market Size'!Z15</f>
        <v>Air Source Heat Pump</v>
      </c>
      <c r="K15" s="418" t="str">
        <f>'Market Size'!AA15</f>
        <v>HSPF_10.5</v>
      </c>
      <c r="L15" s="407">
        <f ca="1">'Market Size'!AB15</f>
        <v>84.05583495472034</v>
      </c>
      <c r="M15" s="407">
        <f ca="1">'Market Size'!AC15</f>
        <v>75.88942678685126</v>
      </c>
      <c r="N15" s="407">
        <f ca="1">'Market Size'!AD15</f>
        <v>87.47469411973229</v>
      </c>
      <c r="O15" s="407">
        <f ca="1">'Market Size'!AE15</f>
        <v>17.374376659941433</v>
      </c>
      <c r="P15" s="421">
        <f ca="1">'Market Size'!AF15</f>
        <v>42.705514554624806</v>
      </c>
      <c r="R15" s="447" t="str">
        <f>'Input and Scenario Summary'!B13</f>
        <v>HSPF 10.5</v>
      </c>
      <c r="S15" s="51">
        <f>'Input and Scenario Summary'!C13</f>
        <v>5672.644587446802</v>
      </c>
      <c r="T15" s="51">
        <f>'Input and Scenario Summary'!D13</f>
        <v>8841.464316958216</v>
      </c>
      <c r="U15" s="51">
        <f>'Input and Scenario Summary'!E13</f>
        <v>10730.409518593187</v>
      </c>
      <c r="V15" s="60">
        <f>'Input and Scenario Summary'!F13</f>
        <v>7151.246020916917</v>
      </c>
      <c r="X15" s="417" t="s">
        <v>56</v>
      </c>
      <c r="Y15" s="418" t="s">
        <v>307</v>
      </c>
      <c r="Z15" s="407">
        <f ca="1" t="shared" si="2"/>
        <v>0</v>
      </c>
      <c r="AA15" s="407">
        <f ca="1" t="shared" si="2"/>
        <v>0</v>
      </c>
      <c r="AB15" s="407">
        <f ca="1" t="shared" si="2"/>
        <v>0</v>
      </c>
      <c r="AC15" s="407">
        <f ca="1" t="shared" si="2"/>
        <v>0</v>
      </c>
      <c r="AD15" s="421">
        <f ca="1" t="shared" si="2"/>
        <v>0</v>
      </c>
      <c r="AE15" s="76"/>
      <c r="AF15" s="417" t="s">
        <v>56</v>
      </c>
      <c r="AG15" s="418" t="s">
        <v>307</v>
      </c>
      <c r="AH15" s="407">
        <f ca="1" t="shared" si="3"/>
        <v>601103.9552547929</v>
      </c>
      <c r="AI15" s="407">
        <f ca="1" t="shared" si="3"/>
        <v>542703.9613391358</v>
      </c>
      <c r="AJ15" s="407">
        <f ca="1" t="shared" si="3"/>
        <v>625553.05825466</v>
      </c>
      <c r="AK15" s="407">
        <f ca="1" t="shared" si="3"/>
        <v>124248.44195531792</v>
      </c>
      <c r="AL15" s="421">
        <f ca="1" t="shared" si="3"/>
        <v>305397.64102997014</v>
      </c>
      <c r="AN15" s="404" t="s">
        <v>360</v>
      </c>
      <c r="AO15" s="405" t="s">
        <v>366</v>
      </c>
      <c r="AP15" s="406">
        <v>2010</v>
      </c>
      <c r="AQ15" s="406">
        <v>2011</v>
      </c>
      <c r="AR15" s="406">
        <v>2012</v>
      </c>
      <c r="AS15" s="406">
        <v>2013</v>
      </c>
      <c r="AT15" s="414">
        <v>2014</v>
      </c>
      <c r="AV15" s="404" t="str">
        <f t="shared" si="0"/>
        <v>Case</v>
      </c>
      <c r="AW15" s="405" t="str">
        <f t="shared" si="1"/>
        <v>Install Type</v>
      </c>
      <c r="AX15" s="406">
        <f>AP15</f>
        <v>2010</v>
      </c>
      <c r="AY15" s="406">
        <f>AQ15</f>
        <v>2011</v>
      </c>
      <c r="AZ15" s="406">
        <f>AR15</f>
        <v>2012</v>
      </c>
      <c r="BA15" s="406">
        <f>AS15</f>
        <v>2013</v>
      </c>
      <c r="BB15" s="414">
        <f>AT15</f>
        <v>2014</v>
      </c>
    </row>
    <row r="16" spans="2:54" ht="15.75" thickBot="1">
      <c r="B16" s="419" t="str">
        <f>'Market Size'!R16</f>
        <v>Air Source Heat Pump</v>
      </c>
      <c r="C16" s="420" t="str">
        <f>'Market Size'!S16</f>
        <v>HSPF_11.5</v>
      </c>
      <c r="D16" s="422">
        <f ca="1">'Market Size'!T16</f>
        <v>0</v>
      </c>
      <c r="E16" s="422">
        <f ca="1">'Market Size'!U16</f>
        <v>0</v>
      </c>
      <c r="F16" s="422">
        <f ca="1">'Market Size'!V16</f>
        <v>0</v>
      </c>
      <c r="G16" s="422">
        <f ca="1">'Market Size'!W16</f>
        <v>0</v>
      </c>
      <c r="H16" s="423">
        <f ca="1">'Market Size'!X16</f>
        <v>0</v>
      </c>
      <c r="I16" s="76"/>
      <c r="J16" s="419" t="str">
        <f>'Market Size'!Z16</f>
        <v>Air Source Heat Pump</v>
      </c>
      <c r="K16" s="420" t="str">
        <f>'Market Size'!AA16</f>
        <v>HSPF_11.5</v>
      </c>
      <c r="L16" s="422">
        <f ca="1">'Market Size'!AB16</f>
        <v>124.34403471515274</v>
      </c>
      <c r="M16" s="422">
        <f ca="1">'Market Size'!AC16</f>
        <v>142.6902994674928</v>
      </c>
      <c r="N16" s="422">
        <f ca="1">'Market Size'!AD16</f>
        <v>230.45363577736578</v>
      </c>
      <c r="O16" s="422">
        <f ca="1">'Market Size'!AE16</f>
        <v>222.5398882826541</v>
      </c>
      <c r="P16" s="423">
        <f ca="1">'Market Size'!AF16</f>
        <v>145.88453147127308</v>
      </c>
      <c r="R16" s="448" t="str">
        <f>'Input and Scenario Summary'!B14</f>
        <v>HSPF 11.5</v>
      </c>
      <c r="S16" s="63">
        <f>'Input and Scenario Summary'!C14</f>
        <v>5370.625805761276</v>
      </c>
      <c r="T16" s="63">
        <f>'Input and Scenario Summary'!D14</f>
        <v>8609.110604302092</v>
      </c>
      <c r="U16" s="63">
        <f>'Input and Scenario Summary'!E14</f>
        <v>10529.579155605054</v>
      </c>
      <c r="V16" s="52">
        <f>'Input and Scenario Summary'!F14</f>
        <v>6880.7179626614015</v>
      </c>
      <c r="X16" s="419" t="s">
        <v>56</v>
      </c>
      <c r="Y16" s="420" t="s">
        <v>308</v>
      </c>
      <c r="Z16" s="422">
        <f ca="1" t="shared" si="2"/>
        <v>0</v>
      </c>
      <c r="AA16" s="422">
        <f ca="1" t="shared" si="2"/>
        <v>0</v>
      </c>
      <c r="AB16" s="422">
        <f ca="1" t="shared" si="2"/>
        <v>0</v>
      </c>
      <c r="AC16" s="422">
        <f ca="1" t="shared" si="2"/>
        <v>0</v>
      </c>
      <c r="AD16" s="423">
        <f ca="1" t="shared" si="2"/>
        <v>0</v>
      </c>
      <c r="AE16" s="76"/>
      <c r="AF16" s="419" t="s">
        <v>56</v>
      </c>
      <c r="AG16" s="420" t="s">
        <v>308</v>
      </c>
      <c r="AH16" s="422">
        <f ca="1" t="shared" si="3"/>
        <v>855576.2332143444</v>
      </c>
      <c r="AI16" s="422">
        <f ca="1" t="shared" si="3"/>
        <v>981811.7066435122</v>
      </c>
      <c r="AJ16" s="422">
        <f ca="1" t="shared" si="3"/>
        <v>1585686.471253949</v>
      </c>
      <c r="AK16" s="422">
        <f ca="1" t="shared" si="3"/>
        <v>1531234.2067151195</v>
      </c>
      <c r="AL16" s="423">
        <f ca="1" t="shared" si="3"/>
        <v>1003790.3161688312</v>
      </c>
      <c r="AN16" s="415" t="s">
        <v>361</v>
      </c>
      <c r="AO16" s="416" t="s">
        <v>362</v>
      </c>
      <c r="AP16" s="407">
        <f ca="1">SUM(Z31:Z38)/$AP$33</f>
        <v>186822.2070970154</v>
      </c>
      <c r="AQ16" s="407">
        <f ca="1">SUM(AA31:AA38)/$AP$33</f>
        <v>196617.12650017458</v>
      </c>
      <c r="AR16" s="407">
        <f ca="1">SUM(AB31:AB38)/$AP$33</f>
        <v>193845.2740768062</v>
      </c>
      <c r="AS16" s="407">
        <f ca="1">SUM(AC31:AC38)/$AP$33</f>
        <v>201976.75970194195</v>
      </c>
      <c r="AT16" s="421">
        <f ca="1">SUM(AD31:AD38)/$AP$33</f>
        <v>219370.56517328715</v>
      </c>
      <c r="AV16" s="415" t="str">
        <f t="shared" si="0"/>
        <v>Base</v>
      </c>
      <c r="AW16" s="416" t="str">
        <f t="shared" si="1"/>
        <v>Conversion</v>
      </c>
      <c r="AX16" s="714">
        <f aca="true" t="shared" si="5" ref="AX16:BB19">(AP16)/8760</f>
        <v>21.326735969978927</v>
      </c>
      <c r="AY16" s="714">
        <f ca="1" t="shared" si="5"/>
        <v>22.44487745435783</v>
      </c>
      <c r="AZ16" s="714">
        <f ca="1" t="shared" si="5"/>
        <v>22.12845594484089</v>
      </c>
      <c r="BA16" s="714">
        <f ca="1" t="shared" si="5"/>
        <v>23.056707728532185</v>
      </c>
      <c r="BB16" s="715">
        <f ca="1" t="shared" si="5"/>
        <v>25.042301960420907</v>
      </c>
    </row>
    <row r="17" spans="2:54" ht="15.75" thickBot="1">
      <c r="B17" s="50" t="str">
        <f>'Market Size'!R17</f>
        <v>Upgrades</v>
      </c>
      <c r="C17" s="50"/>
      <c r="D17" s="50"/>
      <c r="E17" s="50"/>
      <c r="F17" s="50"/>
      <c r="G17" s="50"/>
      <c r="H17" s="50"/>
      <c r="I17" s="76"/>
      <c r="J17" s="79" t="str">
        <f>'Market Size'!Z17</f>
        <v>Upgrades</v>
      </c>
      <c r="K17" s="79"/>
      <c r="L17" s="79"/>
      <c r="M17" s="79"/>
      <c r="N17" s="79"/>
      <c r="O17" s="79"/>
      <c r="P17" s="79"/>
      <c r="R17" s="59"/>
      <c r="S17" s="59"/>
      <c r="T17" s="59"/>
      <c r="U17" s="59"/>
      <c r="V17" s="59"/>
      <c r="X17" s="50" t="s">
        <v>351</v>
      </c>
      <c r="Y17" s="50"/>
      <c r="Z17" s="50"/>
      <c r="AA17" s="50"/>
      <c r="AB17" s="50"/>
      <c r="AC17" s="50"/>
      <c r="AD17" s="50"/>
      <c r="AE17" s="76"/>
      <c r="AF17" s="79" t="s">
        <v>351</v>
      </c>
      <c r="AG17" s="79"/>
      <c r="AH17" s="79"/>
      <c r="AI17" s="79"/>
      <c r="AJ17" s="79"/>
      <c r="AK17" s="79"/>
      <c r="AL17" s="79"/>
      <c r="AN17" s="415" t="s">
        <v>361</v>
      </c>
      <c r="AO17" s="416" t="s">
        <v>363</v>
      </c>
      <c r="AP17" s="407">
        <f ca="1">SUM(Z42:Z49)/$AP$33</f>
        <v>17835.054885898568</v>
      </c>
      <c r="AQ17" s="407">
        <f ca="1">SUM(AA42:AA49)/$AP$33</f>
        <v>19250.874549050925</v>
      </c>
      <c r="AR17" s="407">
        <f ca="1">SUM(AB42:AB49)/$AP$33</f>
        <v>20772.51640310043</v>
      </c>
      <c r="AS17" s="407">
        <f ca="1">SUM(AC42:AC49)/$AP$33</f>
        <v>22816.68165332446</v>
      </c>
      <c r="AT17" s="421">
        <f ca="1">SUM(AD42:AD49)/$AP$33</f>
        <v>24166.64264232811</v>
      </c>
      <c r="AV17" s="415" t="str">
        <f t="shared" si="0"/>
        <v>Base</v>
      </c>
      <c r="AW17" s="416" t="str">
        <f t="shared" si="1"/>
        <v>Upgrade</v>
      </c>
      <c r="AX17" s="714">
        <f ca="1" t="shared" si="5"/>
        <v>2.035965169623124</v>
      </c>
      <c r="AY17" s="714">
        <f ca="1" t="shared" si="5"/>
        <v>2.1975884188414296</v>
      </c>
      <c r="AZ17" s="714">
        <f ca="1" t="shared" si="5"/>
        <v>2.3712918268379486</v>
      </c>
      <c r="BA17" s="714">
        <f ca="1" t="shared" si="5"/>
        <v>2.6046440243521074</v>
      </c>
      <c r="BB17" s="715">
        <f ca="1" t="shared" si="5"/>
        <v>2.7587491600831173</v>
      </c>
    </row>
    <row r="18" spans="2:54" ht="15">
      <c r="B18" s="830" t="str">
        <f>'Market Size'!R18</f>
        <v>Base Case Units Shipped by Efficiency Level - Single Family</v>
      </c>
      <c r="C18" s="831"/>
      <c r="D18" s="831"/>
      <c r="E18" s="831"/>
      <c r="F18" s="831"/>
      <c r="G18" s="831"/>
      <c r="H18" s="832"/>
      <c r="I18" s="76"/>
      <c r="J18" s="830" t="str">
        <f>'Market Size'!Z18</f>
        <v>Efficient Case Units Shipped by Efficiency Level - Single Family</v>
      </c>
      <c r="K18" s="831"/>
      <c r="L18" s="831"/>
      <c r="M18" s="831"/>
      <c r="N18" s="831"/>
      <c r="O18" s="831"/>
      <c r="P18" s="832"/>
      <c r="R18" s="56" t="str">
        <f>'Input and Scenario Summary'!B16</f>
        <v>Single Family Homes - Upgrades</v>
      </c>
      <c r="S18" s="57"/>
      <c r="T18" s="57"/>
      <c r="U18" s="57"/>
      <c r="V18" s="58"/>
      <c r="X18" s="830" t="s">
        <v>357</v>
      </c>
      <c r="Y18" s="831"/>
      <c r="Z18" s="831"/>
      <c r="AA18" s="831"/>
      <c r="AB18" s="831"/>
      <c r="AC18" s="831"/>
      <c r="AD18" s="832"/>
      <c r="AE18" s="76"/>
      <c r="AF18" s="830" t="s">
        <v>358</v>
      </c>
      <c r="AG18" s="831"/>
      <c r="AH18" s="831"/>
      <c r="AI18" s="831"/>
      <c r="AJ18" s="831"/>
      <c r="AK18" s="831"/>
      <c r="AL18" s="832"/>
      <c r="AN18" s="415" t="s">
        <v>364</v>
      </c>
      <c r="AO18" s="416" t="s">
        <v>362</v>
      </c>
      <c r="AP18" s="407">
        <f ca="1">SUM(AH31:AH38)/$AP$33</f>
        <v>183784.19922867263</v>
      </c>
      <c r="AQ18" s="407">
        <f ca="1">SUM(AI31:AI38)/$AP$33</f>
        <v>194659.04303487108</v>
      </c>
      <c r="AR18" s="407">
        <f ca="1">SUM(AJ31:AJ38)/$AP$33</f>
        <v>192179.64957826873</v>
      </c>
      <c r="AS18" s="407">
        <f ca="1">SUM(AK31:AK38)/$AP$33</f>
        <v>201531.55963551372</v>
      </c>
      <c r="AT18" s="421">
        <f ca="1">SUM(AL31:AL38)/$AP$33</f>
        <v>220948.76552491647</v>
      </c>
      <c r="AV18" s="415" t="str">
        <f t="shared" si="0"/>
        <v>Actual</v>
      </c>
      <c r="AW18" s="416" t="str">
        <f t="shared" si="1"/>
        <v>Conversion</v>
      </c>
      <c r="AX18" s="714">
        <f ca="1" t="shared" si="5"/>
        <v>20.979931418798245</v>
      </c>
      <c r="AY18" s="714">
        <f ca="1" t="shared" si="5"/>
        <v>22.221351944619986</v>
      </c>
      <c r="AZ18" s="714">
        <f ca="1" t="shared" si="5"/>
        <v>21.938316161902822</v>
      </c>
      <c r="BA18" s="714">
        <f ca="1" t="shared" si="5"/>
        <v>23.005885803140835</v>
      </c>
      <c r="BB18" s="715">
        <f ca="1" t="shared" si="5"/>
        <v>25.222461817912837</v>
      </c>
    </row>
    <row r="19" spans="2:54" ht="15.75" thickBot="1">
      <c r="B19" s="404" t="str">
        <f>'Market Size'!R19</f>
        <v>Unit Type</v>
      </c>
      <c r="C19" s="405" t="str">
        <f>'Market Size'!S19</f>
        <v>Efficiency Level</v>
      </c>
      <c r="D19" s="406">
        <f>'Market Size'!T19</f>
        <v>2010</v>
      </c>
      <c r="E19" s="406">
        <f>'Market Size'!U19</f>
        <v>2011</v>
      </c>
      <c r="F19" s="406">
        <f>'Market Size'!V19</f>
        <v>2012</v>
      </c>
      <c r="G19" s="406">
        <f>'Market Size'!W19</f>
        <v>2013</v>
      </c>
      <c r="H19" s="414">
        <f>'Market Size'!X19</f>
        <v>2014</v>
      </c>
      <c r="I19" s="76"/>
      <c r="J19" s="404" t="str">
        <f>'Market Size'!Z19</f>
        <v>Unit Type</v>
      </c>
      <c r="K19" s="405" t="str">
        <f>'Market Size'!AA19</f>
        <v>Efficiency Level</v>
      </c>
      <c r="L19" s="406">
        <f>'Market Size'!AB19</f>
        <v>2010</v>
      </c>
      <c r="M19" s="406">
        <f>'Market Size'!AC19</f>
        <v>2011</v>
      </c>
      <c r="N19" s="406">
        <f>'Market Size'!AD19</f>
        <v>2012</v>
      </c>
      <c r="O19" s="406">
        <f>'Market Size'!AE19</f>
        <v>2013</v>
      </c>
      <c r="P19" s="414">
        <f>'Market Size'!AF19</f>
        <v>2014</v>
      </c>
      <c r="R19" s="446" t="str">
        <f>'Input and Scenario Summary'!B17</f>
        <v>Heating Zone</v>
      </c>
      <c r="S19" s="449">
        <f>'Input and Scenario Summary'!C17</f>
        <v>1</v>
      </c>
      <c r="T19" s="449">
        <f>'Input and Scenario Summary'!D17</f>
        <v>2</v>
      </c>
      <c r="U19" s="449">
        <f>'Input and Scenario Summary'!E17</f>
        <v>3</v>
      </c>
      <c r="V19" s="450" t="str">
        <f>'Input and Scenario Summary'!F17</f>
        <v>PNW Region</v>
      </c>
      <c r="X19" s="404" t="s">
        <v>301</v>
      </c>
      <c r="Y19" s="405" t="s">
        <v>310</v>
      </c>
      <c r="Z19" s="406">
        <v>2010</v>
      </c>
      <c r="AA19" s="406">
        <v>2011</v>
      </c>
      <c r="AB19" s="406">
        <v>2012</v>
      </c>
      <c r="AC19" s="406">
        <v>2013</v>
      </c>
      <c r="AD19" s="414">
        <v>2014</v>
      </c>
      <c r="AE19" s="76"/>
      <c r="AF19" s="404" t="s">
        <v>301</v>
      </c>
      <c r="AG19" s="405" t="s">
        <v>310</v>
      </c>
      <c r="AH19" s="406">
        <v>2010</v>
      </c>
      <c r="AI19" s="406">
        <v>2011</v>
      </c>
      <c r="AJ19" s="406">
        <v>2012</v>
      </c>
      <c r="AK19" s="406">
        <v>2013</v>
      </c>
      <c r="AL19" s="414">
        <v>2014</v>
      </c>
      <c r="AN19" s="488" t="s">
        <v>364</v>
      </c>
      <c r="AO19" s="489" t="s">
        <v>363</v>
      </c>
      <c r="AP19" s="422">
        <f ca="1">SUM(AH42:AH49)/$AP$33</f>
        <v>17240.432609027852</v>
      </c>
      <c r="AQ19" s="422">
        <f ca="1">SUM(AI42:AI49)/$AP$33</f>
        <v>18670.50161170075</v>
      </c>
      <c r="AR19" s="422">
        <f ca="1">SUM(AJ42:AJ49)/$AP$33</f>
        <v>20124.92925971327</v>
      </c>
      <c r="AS19" s="422">
        <f ca="1">SUM(AK42:AK49)/$AP$33</f>
        <v>22118.2807752714</v>
      </c>
      <c r="AT19" s="423">
        <f ca="1">SUM(AL42:AL49)/$AP$33</f>
        <v>23434.120130539457</v>
      </c>
      <c r="AV19" s="488" t="str">
        <f t="shared" si="0"/>
        <v>Actual</v>
      </c>
      <c r="AW19" s="489" t="str">
        <f t="shared" si="1"/>
        <v>Upgrade</v>
      </c>
      <c r="AX19" s="437">
        <f ca="1" t="shared" si="5"/>
        <v>1.9680859142725857</v>
      </c>
      <c r="AY19" s="437">
        <f ca="1" t="shared" si="5"/>
        <v>2.1313358004224603</v>
      </c>
      <c r="AZ19" s="437">
        <f ca="1" t="shared" si="5"/>
        <v>2.2973663538485467</v>
      </c>
      <c r="BA19" s="437">
        <f ca="1" t="shared" si="5"/>
        <v>2.5249178967204795</v>
      </c>
      <c r="BB19" s="438">
        <f ca="1" t="shared" si="5"/>
        <v>2.675127868783043</v>
      </c>
    </row>
    <row r="20" spans="2:54" ht="15.75" thickBot="1">
      <c r="B20" s="415" t="str">
        <f>'Market Size'!R20</f>
        <v>Forced Air Furnace</v>
      </c>
      <c r="C20" s="416" t="str">
        <f>'Market Size'!S20</f>
        <v>n/a</v>
      </c>
      <c r="D20" s="407">
        <f ca="1">'Market Size'!T20</f>
        <v>0</v>
      </c>
      <c r="E20" s="407">
        <f ca="1">'Market Size'!U20</f>
        <v>0</v>
      </c>
      <c r="F20" s="407">
        <f ca="1">'Market Size'!V20</f>
        <v>0</v>
      </c>
      <c r="G20" s="407">
        <f ca="1">'Market Size'!W20</f>
        <v>0</v>
      </c>
      <c r="H20" s="421">
        <f ca="1">'Market Size'!X20</f>
        <v>0</v>
      </c>
      <c r="I20" s="76"/>
      <c r="J20" s="415" t="str">
        <f>'Market Size'!Z20</f>
        <v>Forced Air Furnace</v>
      </c>
      <c r="K20" s="416" t="str">
        <f>'Market Size'!AA20</f>
        <v>n/a</v>
      </c>
      <c r="L20" s="407">
        <f ca="1">'Market Size'!AB20</f>
        <v>0</v>
      </c>
      <c r="M20" s="407">
        <f ca="1">'Market Size'!AC20</f>
        <v>0</v>
      </c>
      <c r="N20" s="407">
        <f ca="1">'Market Size'!AD20</f>
        <v>0</v>
      </c>
      <c r="O20" s="407">
        <f ca="1">'Market Size'!AE20</f>
        <v>0</v>
      </c>
      <c r="P20" s="421">
        <f ca="1">'Market Size'!AF20</f>
        <v>0</v>
      </c>
      <c r="R20" s="447" t="str">
        <f>'Input and Scenario Summary'!B18</f>
        <v>Electric FAF</v>
      </c>
      <c r="S20" s="65">
        <f>'Input and Scenario Summary'!C18</f>
        <v>0</v>
      </c>
      <c r="T20" s="65">
        <f>'Input and Scenario Summary'!D18</f>
        <v>0</v>
      </c>
      <c r="U20" s="65">
        <f>'Input and Scenario Summary'!E18</f>
        <v>0</v>
      </c>
      <c r="V20" s="66">
        <f>'Input and Scenario Summary'!F18</f>
        <v>0</v>
      </c>
      <c r="X20" s="415" t="s">
        <v>130</v>
      </c>
      <c r="Y20" s="416" t="s">
        <v>129</v>
      </c>
      <c r="Z20" s="407">
        <f aca="true" t="shared" si="6" ref="Z20:AD27">D20*$V20</f>
        <v>0</v>
      </c>
      <c r="AA20" s="407">
        <f ca="1" t="shared" si="6"/>
        <v>0</v>
      </c>
      <c r="AB20" s="407">
        <f ca="1" t="shared" si="6"/>
        <v>0</v>
      </c>
      <c r="AC20" s="407">
        <f ca="1" t="shared" si="6"/>
        <v>0</v>
      </c>
      <c r="AD20" s="421">
        <f ca="1" t="shared" si="6"/>
        <v>0</v>
      </c>
      <c r="AE20" s="76"/>
      <c r="AF20" s="415" t="s">
        <v>130</v>
      </c>
      <c r="AG20" s="416" t="s">
        <v>129</v>
      </c>
      <c r="AH20" s="407">
        <f aca="true" t="shared" si="7" ref="AH20:AL27">L20*$V20</f>
        <v>0</v>
      </c>
      <c r="AI20" s="407">
        <f ca="1" t="shared" si="7"/>
        <v>0</v>
      </c>
      <c r="AJ20" s="407">
        <f ca="1" t="shared" si="7"/>
        <v>0</v>
      </c>
      <c r="AK20" s="407">
        <f ca="1" t="shared" si="7"/>
        <v>0</v>
      </c>
      <c r="AL20" s="421">
        <f ca="1" t="shared" si="7"/>
        <v>0</v>
      </c>
      <c r="AP20" s="76"/>
      <c r="AQ20" s="76"/>
      <c r="AR20" s="76"/>
      <c r="AS20" s="76"/>
      <c r="AT20" s="76"/>
      <c r="AX20" s="76"/>
      <c r="AY20" s="76"/>
      <c r="AZ20" s="76"/>
      <c r="BA20" s="76"/>
      <c r="BB20" s="76"/>
    </row>
    <row r="21" spans="2:54" ht="15">
      <c r="B21" s="417" t="str">
        <f>'Market Size'!R21</f>
        <v>Air Source Heat Pump</v>
      </c>
      <c r="C21" s="418" t="str">
        <f>'Market Size'!S21</f>
        <v>HSPF_7.7</v>
      </c>
      <c r="D21" s="407">
        <f ca="1">'Market Size'!T21</f>
        <v>25884.962732090356</v>
      </c>
      <c r="E21" s="407">
        <f ca="1">'Market Size'!U21</f>
        <v>26800.06521348012</v>
      </c>
      <c r="F21" s="407">
        <f ca="1">'Market Size'!V21</f>
        <v>27986.275466176685</v>
      </c>
      <c r="G21" s="407">
        <f ca="1">'Market Size'!W21</f>
        <v>29072.59509322446</v>
      </c>
      <c r="H21" s="421">
        <f ca="1">'Market Size'!X21</f>
        <v>29579.938799506497</v>
      </c>
      <c r="I21" s="76"/>
      <c r="J21" s="417" t="str">
        <f>'Market Size'!Z21</f>
        <v>Air Source Heat Pump</v>
      </c>
      <c r="K21" s="418" t="str">
        <f>'Market Size'!AA21</f>
        <v>HSPF_7.7</v>
      </c>
      <c r="L21" s="407">
        <f ca="1">'Market Size'!AB21</f>
        <v>10157.06711730182</v>
      </c>
      <c r="M21" s="407">
        <f ca="1">'Market Size'!AC21</f>
        <v>11165.29952579454</v>
      </c>
      <c r="N21" s="407">
        <f ca="1">'Market Size'!AD21</f>
        <v>11430.78808218861</v>
      </c>
      <c r="O21" s="407">
        <f ca="1">'Market Size'!AE21</f>
        <v>11910.595256951165</v>
      </c>
      <c r="P21" s="421">
        <f ca="1">'Market Size'!AF21</f>
        <v>11977.8939855501</v>
      </c>
      <c r="R21" s="447" t="str">
        <f>'Input and Scenario Summary'!B19</f>
        <v>HSPF 7.7</v>
      </c>
      <c r="S21" s="51">
        <f>'Input and Scenario Summary'!C19</f>
        <v>6200.367132151794</v>
      </c>
      <c r="T21" s="51">
        <f>'Input and Scenario Summary'!D19</f>
        <v>8998.262122749478</v>
      </c>
      <c r="U21" s="51">
        <f>'Input and Scenario Summary'!E19</f>
        <v>10479.557193096814</v>
      </c>
      <c r="V21" s="60">
        <f>'Input and Scenario Summary'!F19</f>
        <v>7486.9534298917</v>
      </c>
      <c r="X21" s="417" t="s">
        <v>56</v>
      </c>
      <c r="Y21" s="418" t="s">
        <v>302</v>
      </c>
      <c r="Z21" s="407">
        <f ca="1" t="shared" si="6"/>
        <v>193799510.50964272</v>
      </c>
      <c r="AA21" s="407">
        <f ca="1" t="shared" si="6"/>
        <v>200650840.1713862</v>
      </c>
      <c r="AB21" s="407">
        <f ca="1" t="shared" si="6"/>
        <v>209531941.09138545</v>
      </c>
      <c r="AC21" s="407">
        <f ca="1" t="shared" si="6"/>
        <v>217665165.54906946</v>
      </c>
      <c r="AD21" s="421">
        <f ca="1" t="shared" si="6"/>
        <v>221463624.25095174</v>
      </c>
      <c r="AE21" s="76"/>
      <c r="AF21" s="417" t="s">
        <v>56</v>
      </c>
      <c r="AG21" s="418" t="s">
        <v>302</v>
      </c>
      <c r="AH21" s="407">
        <f ca="1" t="shared" si="7"/>
        <v>76045488.49152306</v>
      </c>
      <c r="AI21" s="407">
        <f ca="1" t="shared" si="7"/>
        <v>83594077.5804156</v>
      </c>
      <c r="AJ21" s="407">
        <f ca="1" t="shared" si="7"/>
        <v>85581778.03830718</v>
      </c>
      <c r="AK21" s="407">
        <f ca="1" t="shared" si="7"/>
        <v>89174072.01108234</v>
      </c>
      <c r="AL21" s="421">
        <f ca="1" t="shared" si="7"/>
        <v>89677934.45799348</v>
      </c>
      <c r="AN21" s="830" t="s">
        <v>367</v>
      </c>
      <c r="AO21" s="831"/>
      <c r="AP21" s="831"/>
      <c r="AQ21" s="831"/>
      <c r="AR21" s="831"/>
      <c r="AS21" s="831"/>
      <c r="AT21" s="832"/>
      <c r="AV21" s="830" t="s">
        <v>472</v>
      </c>
      <c r="AW21" s="831"/>
      <c r="AX21" s="831"/>
      <c r="AY21" s="831"/>
      <c r="AZ21" s="831"/>
      <c r="BA21" s="831"/>
      <c r="BB21" s="832"/>
    </row>
    <row r="22" spans="2:54" ht="15">
      <c r="B22" s="417" t="str">
        <f>'Market Size'!R22</f>
        <v>Air Source Heat Pump</v>
      </c>
      <c r="C22" s="418" t="str">
        <f>'Market Size'!S22</f>
        <v>HSPF_8.5</v>
      </c>
      <c r="D22" s="407">
        <f ca="1">'Market Size'!T22</f>
        <v>3045.289733187101</v>
      </c>
      <c r="E22" s="407">
        <f ca="1">'Market Size'!U22</f>
        <v>3152.9488486447203</v>
      </c>
      <c r="F22" s="407">
        <f ca="1">'Market Size'!V22</f>
        <v>3292.5029960207867</v>
      </c>
      <c r="G22" s="407">
        <f ca="1">'Market Size'!W22</f>
        <v>3420.305305085231</v>
      </c>
      <c r="H22" s="421">
        <f ca="1">'Market Size'!X22</f>
        <v>3479.992799941941</v>
      </c>
      <c r="I22" s="76"/>
      <c r="J22" s="417" t="str">
        <f>'Market Size'!Z22</f>
        <v>Air Source Heat Pump</v>
      </c>
      <c r="K22" s="418" t="str">
        <f>'Market Size'!AA22</f>
        <v>HSPF_8.5</v>
      </c>
      <c r="L22" s="407">
        <f ca="1">'Market Size'!AB22</f>
        <v>14163.983503026393</v>
      </c>
      <c r="M22" s="407">
        <f ca="1">'Market Size'!AC22</f>
        <v>15168.58686607412</v>
      </c>
      <c r="N22" s="407">
        <f ca="1">'Market Size'!AD22</f>
        <v>16012.728918930998</v>
      </c>
      <c r="O22" s="407">
        <f ca="1">'Market Size'!AE22</f>
        <v>16124.994542857468</v>
      </c>
      <c r="P22" s="421">
        <f ca="1">'Market Size'!AF22</f>
        <v>16487.464321548803</v>
      </c>
      <c r="R22" s="447" t="str">
        <f>'Input and Scenario Summary'!B20</f>
        <v>HSPF 8.5</v>
      </c>
      <c r="S22" s="51">
        <f>'Input and Scenario Summary'!C20</f>
        <v>5843.013131457863</v>
      </c>
      <c r="T22" s="51">
        <f>'Input and Scenario Summary'!D20</f>
        <v>8627.345700158989</v>
      </c>
      <c r="U22" s="51">
        <f>'Input and Scenario Summary'!E20</f>
        <v>10136.329446795435</v>
      </c>
      <c r="V22" s="60">
        <f>'Input and Scenario Summary'!F20</f>
        <v>7126.902879827503</v>
      </c>
      <c r="X22" s="417" t="s">
        <v>56</v>
      </c>
      <c r="Y22" s="418" t="s">
        <v>303</v>
      </c>
      <c r="Z22" s="407">
        <f ca="1" t="shared" si="6"/>
        <v>21703484.169360276</v>
      </c>
      <c r="AA22" s="407">
        <f ca="1" t="shared" si="6"/>
        <v>22470760.229354866</v>
      </c>
      <c r="AB22" s="407">
        <f ca="1" t="shared" si="6"/>
        <v>23465349.084181227</v>
      </c>
      <c r="AC22" s="407">
        <f ca="1" t="shared" si="6"/>
        <v>24376183.72870122</v>
      </c>
      <c r="AD22" s="421">
        <f ca="1" t="shared" si="6"/>
        <v>24801570.707685195</v>
      </c>
      <c r="AE22" s="76"/>
      <c r="AF22" s="417" t="s">
        <v>56</v>
      </c>
      <c r="AG22" s="418" t="s">
        <v>303</v>
      </c>
      <c r="AH22" s="407">
        <f ca="1" t="shared" si="7"/>
        <v>100945334.81754805</v>
      </c>
      <c r="AI22" s="407">
        <f ca="1" t="shared" si="7"/>
        <v>108105045.41873728</v>
      </c>
      <c r="AJ22" s="407">
        <f ca="1" t="shared" si="7"/>
        <v>114121163.84622647</v>
      </c>
      <c r="AK22" s="407">
        <f ca="1" t="shared" si="7"/>
        <v>114921270.04469366</v>
      </c>
      <c r="AL22" s="421">
        <f ca="1" t="shared" si="7"/>
        <v>117504556.95429938</v>
      </c>
      <c r="AN22" s="404" t="s">
        <v>360</v>
      </c>
      <c r="AO22" s="405" t="s">
        <v>368</v>
      </c>
      <c r="AP22" s="406">
        <v>2010</v>
      </c>
      <c r="AQ22" s="406">
        <v>2011</v>
      </c>
      <c r="AR22" s="406">
        <v>2012</v>
      </c>
      <c r="AS22" s="406">
        <v>2013</v>
      </c>
      <c r="AT22" s="414">
        <v>2014</v>
      </c>
      <c r="AV22" s="404" t="str">
        <f t="shared" si="0"/>
        <v>Case</v>
      </c>
      <c r="AW22" s="405" t="str">
        <f t="shared" si="1"/>
        <v>House Type</v>
      </c>
      <c r="AX22" s="406">
        <f>AP22</f>
        <v>2010</v>
      </c>
      <c r="AY22" s="406">
        <f>AQ22</f>
        <v>2011</v>
      </c>
      <c r="AZ22" s="406">
        <f>AR22</f>
        <v>2012</v>
      </c>
      <c r="BA22" s="406">
        <f>AS22</f>
        <v>2013</v>
      </c>
      <c r="BB22" s="414">
        <f>AT22</f>
        <v>2014</v>
      </c>
    </row>
    <row r="23" spans="2:54" ht="15">
      <c r="B23" s="417" t="str">
        <f>'Market Size'!R23</f>
        <v>Air Source Heat Pump</v>
      </c>
      <c r="C23" s="418" t="str">
        <f>'Market Size'!S23</f>
        <v>HSPF_9.0</v>
      </c>
      <c r="D23" s="407">
        <f ca="1">'Market Size'!T23</f>
        <v>1522.6448665935504</v>
      </c>
      <c r="E23" s="407">
        <f ca="1">'Market Size'!U23</f>
        <v>1576.4744243223602</v>
      </c>
      <c r="F23" s="407">
        <f ca="1">'Market Size'!V23</f>
        <v>1646.2514980103933</v>
      </c>
      <c r="G23" s="407">
        <f ca="1">'Market Size'!W23</f>
        <v>1710.1526525426154</v>
      </c>
      <c r="H23" s="421">
        <f ca="1">'Market Size'!X23</f>
        <v>1739.9963999709705</v>
      </c>
      <c r="I23" s="76"/>
      <c r="J23" s="417" t="str">
        <f>'Market Size'!Z23</f>
        <v>Air Source Heat Pump</v>
      </c>
      <c r="K23" s="418" t="str">
        <f>'Market Size'!AA23</f>
        <v>HSPF_9.0</v>
      </c>
      <c r="L23" s="407">
        <f ca="1">'Market Size'!AB23</f>
        <v>1737.2179014520154</v>
      </c>
      <c r="M23" s="407">
        <f ca="1">'Market Size'!AC23</f>
        <v>1692.2738398425531</v>
      </c>
      <c r="N23" s="407">
        <f ca="1">'Market Size'!AD23</f>
        <v>1646.6110200671765</v>
      </c>
      <c r="O23" s="407">
        <f ca="1">'Market Size'!AE23</f>
        <v>2375.155458019956</v>
      </c>
      <c r="P23" s="421">
        <f ca="1">'Market Size'!AF23</f>
        <v>2504.3439841430704</v>
      </c>
      <c r="R23" s="447" t="str">
        <f>'Input and Scenario Summary'!B21</f>
        <v>HSPF 9.0</v>
      </c>
      <c r="S23" s="51">
        <f>'Input and Scenario Summary'!C21</f>
        <v>5705.630986112718</v>
      </c>
      <c r="T23" s="51">
        <f>'Input and Scenario Summary'!D21</f>
        <v>8515.209840924306</v>
      </c>
      <c r="U23" s="51">
        <f>'Input and Scenario Summary'!E21</f>
        <v>10043.78166085074</v>
      </c>
      <c r="V23" s="60">
        <f>'Input and Scenario Summary'!F21</f>
        <v>7001.761670292697</v>
      </c>
      <c r="X23" s="417" t="s">
        <v>56</v>
      </c>
      <c r="Y23" s="418" t="s">
        <v>304</v>
      </c>
      <c r="Z23" s="407">
        <f ca="1" t="shared" si="6"/>
        <v>10661196.464382658</v>
      </c>
      <c r="AA23" s="407">
        <f ca="1" t="shared" si="6"/>
        <v>11038098.198417047</v>
      </c>
      <c r="AB23" s="407">
        <f ca="1" t="shared" si="6"/>
        <v>11526660.638431106</v>
      </c>
      <c r="AC23" s="407">
        <f ca="1" t="shared" si="6"/>
        <v>11974081.29292227</v>
      </c>
      <c r="AD23" s="421">
        <f ca="1" t="shared" si="6"/>
        <v>12183040.099764023</v>
      </c>
      <c r="AE23" s="76"/>
      <c r="AF23" s="417" t="s">
        <v>56</v>
      </c>
      <c r="AG23" s="418" t="s">
        <v>304</v>
      </c>
      <c r="AH23" s="407">
        <f ca="1" t="shared" si="7"/>
        <v>12163585.715333037</v>
      </c>
      <c r="AI23" s="407">
        <f ca="1" t="shared" si="7"/>
        <v>11848898.10744863</v>
      </c>
      <c r="AJ23" s="407">
        <f ca="1" t="shared" si="7"/>
        <v>11529177.926187916</v>
      </c>
      <c r="AK23" s="407">
        <f ca="1" t="shared" si="7"/>
        <v>16630272.446950622</v>
      </c>
      <c r="AL23" s="421">
        <f ca="1" t="shared" si="7"/>
        <v>17534819.717401054</v>
      </c>
      <c r="AN23" s="415" t="s">
        <v>361</v>
      </c>
      <c r="AO23" s="416" t="s">
        <v>5</v>
      </c>
      <c r="AP23" s="407">
        <f ca="1">SUM(AP9:AP10)</f>
        <v>342098.16558381345</v>
      </c>
      <c r="AQ23" s="407">
        <f ca="1">SUM(AQ9:AQ10)</f>
        <v>388238.2204729164</v>
      </c>
      <c r="AR23" s="407">
        <f ca="1">SUM(AR9:AR10)</f>
        <v>401934.572530888</v>
      </c>
      <c r="AS23" s="407">
        <f ca="1">SUM(AS9:AS10)</f>
        <v>421576.18968904694</v>
      </c>
      <c r="AT23" s="421">
        <f ca="1">SUM(AT9:AT10)</f>
        <v>424210.6657337267</v>
      </c>
      <c r="AV23" s="415" t="str">
        <f t="shared" si="0"/>
        <v>Base</v>
      </c>
      <c r="AW23" s="416" t="str">
        <f t="shared" si="1"/>
        <v>SF</v>
      </c>
      <c r="AX23" s="714">
        <f aca="true" t="shared" si="8" ref="AX23:BB26">(AP23)/8760</f>
        <v>39.05230200728464</v>
      </c>
      <c r="AY23" s="714">
        <f ca="1" t="shared" si="8"/>
        <v>44.319431560835206</v>
      </c>
      <c r="AZ23" s="714">
        <f ca="1" t="shared" si="8"/>
        <v>45.882942069736075</v>
      </c>
      <c r="BA23" s="714">
        <f ca="1" t="shared" si="8"/>
        <v>48.12513580925194</v>
      </c>
      <c r="BB23" s="715">
        <f ca="1" t="shared" si="8"/>
        <v>48.425875083758754</v>
      </c>
    </row>
    <row r="24" spans="2:54" ht="15">
      <c r="B24" s="417" t="str">
        <f>'Market Size'!R24</f>
        <v>Air Source Heat Pump</v>
      </c>
      <c r="C24" s="418" t="str">
        <f>'Market Size'!S24</f>
        <v>HSPF_9.5</v>
      </c>
      <c r="D24" s="407">
        <f ca="1">'Market Size'!T24</f>
        <v>0</v>
      </c>
      <c r="E24" s="407">
        <f ca="1">'Market Size'!U24</f>
        <v>0</v>
      </c>
      <c r="F24" s="407">
        <f ca="1">'Market Size'!V24</f>
        <v>0</v>
      </c>
      <c r="G24" s="407">
        <f ca="1">'Market Size'!W24</f>
        <v>0</v>
      </c>
      <c r="H24" s="421">
        <f ca="1">'Market Size'!X24</f>
        <v>0</v>
      </c>
      <c r="I24" s="76"/>
      <c r="J24" s="417" t="str">
        <f>'Market Size'!Z24</f>
        <v>Air Source Heat Pump</v>
      </c>
      <c r="K24" s="418" t="str">
        <f>'Market Size'!AA24</f>
        <v>HSPF_9.5</v>
      </c>
      <c r="L24" s="407">
        <f ca="1">'Market Size'!AB24</f>
        <v>1737.2179014520154</v>
      </c>
      <c r="M24" s="407">
        <f ca="1">'Market Size'!AC24</f>
        <v>1692.2738398425531</v>
      </c>
      <c r="N24" s="407">
        <f ca="1">'Market Size'!AD24</f>
        <v>1646.6110200671765</v>
      </c>
      <c r="O24" s="407">
        <f ca="1">'Market Size'!AE24</f>
        <v>2375.155458019956</v>
      </c>
      <c r="P24" s="421">
        <f ca="1">'Market Size'!AF24</f>
        <v>2504.3439841430704</v>
      </c>
      <c r="R24" s="447" t="str">
        <f>'Input and Scenario Summary'!B22</f>
        <v>HSPF 9.5</v>
      </c>
      <c r="S24" s="51">
        <f>'Input and Scenario Summary'!C22</f>
        <v>5570.722234906453</v>
      </c>
      <c r="T24" s="51">
        <f>'Input and Scenario Summary'!D22</f>
        <v>8409.01485044885</v>
      </c>
      <c r="U24" s="51">
        <f>'Input and Scenario Summary'!E22</f>
        <v>9958.184479976993</v>
      </c>
      <c r="V24" s="60">
        <f>'Input and Scenario Summary'!F22</f>
        <v>6880.604477718405</v>
      </c>
      <c r="X24" s="417" t="s">
        <v>56</v>
      </c>
      <c r="Y24" s="418" t="s">
        <v>305</v>
      </c>
      <c r="Z24" s="407">
        <f ca="1" t="shared" si="6"/>
        <v>0</v>
      </c>
      <c r="AA24" s="407">
        <f ca="1" t="shared" si="6"/>
        <v>0</v>
      </c>
      <c r="AB24" s="407">
        <f ca="1" t="shared" si="6"/>
        <v>0</v>
      </c>
      <c r="AC24" s="407">
        <f ca="1" t="shared" si="6"/>
        <v>0</v>
      </c>
      <c r="AD24" s="421">
        <f ca="1" t="shared" si="6"/>
        <v>0</v>
      </c>
      <c r="AE24" s="76"/>
      <c r="AF24" s="417" t="s">
        <v>56</v>
      </c>
      <c r="AG24" s="418" t="s">
        <v>305</v>
      </c>
      <c r="AH24" s="407">
        <f ca="1" t="shared" si="7"/>
        <v>11953109.271503309</v>
      </c>
      <c r="AI24" s="407">
        <f ca="1" t="shared" si="7"/>
        <v>11643866.95994639</v>
      </c>
      <c r="AJ24" s="407">
        <f ca="1" t="shared" si="7"/>
        <v>11329679.157734685</v>
      </c>
      <c r="AK24" s="407">
        <f ca="1" t="shared" si="7"/>
        <v>16342505.279729418</v>
      </c>
      <c r="AL24" s="421">
        <f ca="1" t="shared" si="7"/>
        <v>17231400.43104196</v>
      </c>
      <c r="AN24" s="415" t="s">
        <v>361</v>
      </c>
      <c r="AO24" s="416" t="s">
        <v>6</v>
      </c>
      <c r="AP24" s="407">
        <f ca="1">SUM(AP16:AP17)</f>
        <v>204657.26198291397</v>
      </c>
      <c r="AQ24" s="407">
        <f ca="1">SUM(AQ16:AQ17)</f>
        <v>215868.0010492255</v>
      </c>
      <c r="AR24" s="407">
        <f ca="1">SUM(AR16:AR17)</f>
        <v>214617.79047990663</v>
      </c>
      <c r="AS24" s="407">
        <f ca="1">SUM(AS16:AS17)</f>
        <v>224793.4413552664</v>
      </c>
      <c r="AT24" s="421">
        <f ca="1">SUM(AT16:AT17)</f>
        <v>243537.20781561526</v>
      </c>
      <c r="AV24" s="415" t="str">
        <f t="shared" si="0"/>
        <v>Base</v>
      </c>
      <c r="AW24" s="416" t="str">
        <f t="shared" si="1"/>
        <v>MH</v>
      </c>
      <c r="AX24" s="714">
        <f ca="1" t="shared" si="8"/>
        <v>23.362701139602052</v>
      </c>
      <c r="AY24" s="714">
        <f ca="1" t="shared" si="8"/>
        <v>24.64246587319926</v>
      </c>
      <c r="AZ24" s="714">
        <f ca="1" t="shared" si="8"/>
        <v>24.499747771678837</v>
      </c>
      <c r="BA24" s="714">
        <f ca="1" t="shared" si="8"/>
        <v>25.661351752884293</v>
      </c>
      <c r="BB24" s="715">
        <f ca="1" t="shared" si="8"/>
        <v>27.801051120504024</v>
      </c>
    </row>
    <row r="25" spans="2:54" ht="15">
      <c r="B25" s="417" t="str">
        <f>'Market Size'!R25</f>
        <v>Air Source Heat Pump</v>
      </c>
      <c r="C25" s="418" t="str">
        <f>'Market Size'!S25</f>
        <v>HSPF_10.0</v>
      </c>
      <c r="D25" s="407">
        <f ca="1">'Market Size'!T25</f>
        <v>0</v>
      </c>
      <c r="E25" s="407">
        <f ca="1">'Market Size'!U25</f>
        <v>0</v>
      </c>
      <c r="F25" s="407">
        <f ca="1">'Market Size'!V25</f>
        <v>0</v>
      </c>
      <c r="G25" s="407">
        <f ca="1">'Market Size'!W25</f>
        <v>0</v>
      </c>
      <c r="H25" s="421">
        <f ca="1">'Market Size'!X25</f>
        <v>0</v>
      </c>
      <c r="I25" s="76"/>
      <c r="J25" s="417" t="str">
        <f>'Market Size'!Z25</f>
        <v>Air Source Heat Pump</v>
      </c>
      <c r="K25" s="418" t="str">
        <f>'Market Size'!AA25</f>
        <v>HSPF_10.0</v>
      </c>
      <c r="L25" s="407">
        <f ca="1">'Market Size'!AB25</f>
        <v>763.7768359832136</v>
      </c>
      <c r="M25" s="407">
        <f ca="1">'Market Size'!AC25</f>
        <v>466.7377890234622</v>
      </c>
      <c r="N25" s="407">
        <f ca="1">'Market Size'!AD25</f>
        <v>472.1723012419706</v>
      </c>
      <c r="O25" s="407">
        <f ca="1">'Market Size'!AE25</f>
        <v>95.69850538100123</v>
      </c>
      <c r="P25" s="421">
        <f ca="1">'Market Size'!AF25</f>
        <v>244.80565524623665</v>
      </c>
      <c r="R25" s="447" t="str">
        <f>'Input and Scenario Summary'!B23</f>
        <v>HSPF 10.0</v>
      </c>
      <c r="S25" s="51">
        <f>'Input and Scenario Summary'!C23</f>
        <v>5438.103398324993</v>
      </c>
      <c r="T25" s="51">
        <f>'Input and Scenario Summary'!D23</f>
        <v>8309.01949662702</v>
      </c>
      <c r="U25" s="51">
        <f>'Input and Scenario Summary'!E23</f>
        <v>9880.204455520752</v>
      </c>
      <c r="V25" s="60">
        <f>'Input and Scenario Summary'!F23</f>
        <v>6763.468814782032</v>
      </c>
      <c r="X25" s="417" t="s">
        <v>56</v>
      </c>
      <c r="Y25" s="418" t="s">
        <v>306</v>
      </c>
      <c r="Z25" s="407">
        <f ca="1" t="shared" si="6"/>
        <v>0</v>
      </c>
      <c r="AA25" s="407">
        <f ca="1" t="shared" si="6"/>
        <v>0</v>
      </c>
      <c r="AB25" s="407">
        <f ca="1" t="shared" si="6"/>
        <v>0</v>
      </c>
      <c r="AC25" s="407">
        <f ca="1" t="shared" si="6"/>
        <v>0</v>
      </c>
      <c r="AD25" s="421">
        <f ca="1" t="shared" si="6"/>
        <v>0</v>
      </c>
      <c r="AE25" s="76"/>
      <c r="AF25" s="417" t="s">
        <v>56</v>
      </c>
      <c r="AG25" s="418" t="s">
        <v>306</v>
      </c>
      <c r="AH25" s="407">
        <f ca="1" t="shared" si="7"/>
        <v>5165780.811625356</v>
      </c>
      <c r="AI25" s="407">
        <f ca="1" t="shared" si="7"/>
        <v>3156766.480740502</v>
      </c>
      <c r="AJ25" s="407">
        <f ca="1" t="shared" si="7"/>
        <v>3193522.634653935</v>
      </c>
      <c r="AK25" s="407">
        <f ca="1" t="shared" si="7"/>
        <v>647253.8567656522</v>
      </c>
      <c r="AL25" s="421">
        <f ca="1" t="shared" si="7"/>
        <v>1655735.4149402028</v>
      </c>
      <c r="AN25" s="415" t="s">
        <v>364</v>
      </c>
      <c r="AO25" s="416" t="s">
        <v>5</v>
      </c>
      <c r="AP25" s="407">
        <f ca="1">SUM(AP11:AP12)</f>
        <v>322244.1392580773</v>
      </c>
      <c r="AQ25" s="407">
        <f ca="1">SUM(AQ11:AQ12)</f>
        <v>360810.7624386862</v>
      </c>
      <c r="AR25" s="407">
        <f ca="1">SUM(AR11:AR12)</f>
        <v>368145.0624758807</v>
      </c>
      <c r="AS25" s="407">
        <f ca="1">SUM(AS11:AS12)</f>
        <v>387724.05259124207</v>
      </c>
      <c r="AT25" s="421">
        <f ca="1">SUM(AT11:AT12)</f>
        <v>385659.9462305531</v>
      </c>
      <c r="AV25" s="415" t="str">
        <f t="shared" si="0"/>
        <v>Actual</v>
      </c>
      <c r="AW25" s="416" t="str">
        <f t="shared" si="1"/>
        <v>SF</v>
      </c>
      <c r="AX25" s="714">
        <f ca="1" t="shared" si="8"/>
        <v>36.785860645899234</v>
      </c>
      <c r="AY25" s="714">
        <f ca="1" t="shared" si="8"/>
        <v>41.18844320076327</v>
      </c>
      <c r="AZ25" s="714">
        <f ca="1" t="shared" si="8"/>
        <v>42.0256920634567</v>
      </c>
      <c r="BA25" s="714">
        <f ca="1" t="shared" si="8"/>
        <v>44.260736597173754</v>
      </c>
      <c r="BB25" s="715">
        <f ca="1" t="shared" si="8"/>
        <v>44.025108017186426</v>
      </c>
    </row>
    <row r="26" spans="2:54" ht="15.75" thickBot="1">
      <c r="B26" s="417" t="str">
        <f>'Market Size'!R26</f>
        <v>Air Source Heat Pump</v>
      </c>
      <c r="C26" s="418" t="str">
        <f>'Market Size'!S26</f>
        <v>HSPF_10.5</v>
      </c>
      <c r="D26" s="407">
        <f ca="1">'Market Size'!T26</f>
        <v>0</v>
      </c>
      <c r="E26" s="407">
        <f ca="1">'Market Size'!U26</f>
        <v>0</v>
      </c>
      <c r="F26" s="407">
        <f ca="1">'Market Size'!V26</f>
        <v>0</v>
      </c>
      <c r="G26" s="407">
        <f ca="1">'Market Size'!W26</f>
        <v>0</v>
      </c>
      <c r="H26" s="421">
        <f ca="1">'Market Size'!X26</f>
        <v>0</v>
      </c>
      <c r="I26" s="76"/>
      <c r="J26" s="417" t="str">
        <f>'Market Size'!Z26</f>
        <v>Air Source Heat Pump</v>
      </c>
      <c r="K26" s="418" t="str">
        <f>'Market Size'!AA26</f>
        <v>HSPF_10.5</v>
      </c>
      <c r="L26" s="407">
        <f ca="1">'Market Size'!AB26</f>
        <v>763.7768359832136</v>
      </c>
      <c r="M26" s="407">
        <f ca="1">'Market Size'!AC26</f>
        <v>466.7377890234622</v>
      </c>
      <c r="N26" s="407">
        <f ca="1">'Market Size'!AD26</f>
        <v>472.1723012419706</v>
      </c>
      <c r="O26" s="407">
        <f ca="1">'Market Size'!AE26</f>
        <v>95.69850538100123</v>
      </c>
      <c r="P26" s="421">
        <f ca="1">'Market Size'!AF26</f>
        <v>244.80565524623665</v>
      </c>
      <c r="R26" s="447" t="str">
        <f>'Input and Scenario Summary'!B24</f>
        <v>HSPF 10.5</v>
      </c>
      <c r="S26" s="51">
        <f>'Input and Scenario Summary'!C24</f>
        <v>5307.672639920205</v>
      </c>
      <c r="T26" s="51">
        <f>'Input and Scenario Summary'!D24</f>
        <v>8214.944609655531</v>
      </c>
      <c r="U26" s="51">
        <f>'Input and Scenario Summary'!E24</f>
        <v>9810.042259021986</v>
      </c>
      <c r="V26" s="60">
        <f>'Input and Scenario Summary'!F24</f>
        <v>6650.229546347389</v>
      </c>
      <c r="X26" s="417" t="s">
        <v>56</v>
      </c>
      <c r="Y26" s="418" t="s">
        <v>307</v>
      </c>
      <c r="Z26" s="407">
        <f ca="1" t="shared" si="6"/>
        <v>0</v>
      </c>
      <c r="AA26" s="407">
        <f ca="1" t="shared" si="6"/>
        <v>0</v>
      </c>
      <c r="AB26" s="407">
        <f ca="1" t="shared" si="6"/>
        <v>0</v>
      </c>
      <c r="AC26" s="407">
        <f ca="1" t="shared" si="6"/>
        <v>0</v>
      </c>
      <c r="AD26" s="421">
        <f ca="1" t="shared" si="6"/>
        <v>0</v>
      </c>
      <c r="AE26" s="76"/>
      <c r="AF26" s="417" t="s">
        <v>56</v>
      </c>
      <c r="AG26" s="418" t="s">
        <v>307</v>
      </c>
      <c r="AH26" s="407">
        <f ca="1" t="shared" si="7"/>
        <v>5079291.281471291</v>
      </c>
      <c r="AI26" s="407">
        <f ca="1" t="shared" si="7"/>
        <v>3103913.4349606824</v>
      </c>
      <c r="AJ26" s="407">
        <f ca="1" t="shared" si="7"/>
        <v>3140054.188686193</v>
      </c>
      <c r="AK26" s="407">
        <f ca="1" t="shared" si="7"/>
        <v>636417.028026019</v>
      </c>
      <c r="AL26" s="421">
        <f ca="1" t="shared" si="7"/>
        <v>1628013.8016314558</v>
      </c>
      <c r="AN26" s="488" t="s">
        <v>364</v>
      </c>
      <c r="AO26" s="489" t="s">
        <v>6</v>
      </c>
      <c r="AP26" s="422">
        <f ca="1">SUM(AP18:AP19)</f>
        <v>201024.6318377005</v>
      </c>
      <c r="AQ26" s="422">
        <f ca="1">SUM(AQ18:AQ19)</f>
        <v>213329.54464657183</v>
      </c>
      <c r="AR26" s="422">
        <f ca="1">SUM(AR18:AR19)</f>
        <v>212304.578837982</v>
      </c>
      <c r="AS26" s="422">
        <f ca="1">SUM(AS18:AS19)</f>
        <v>223649.8404107851</v>
      </c>
      <c r="AT26" s="423">
        <f ca="1">SUM(AT18:AT19)</f>
        <v>244382.88565545593</v>
      </c>
      <c r="AV26" s="488" t="str">
        <f t="shared" si="0"/>
        <v>Actual</v>
      </c>
      <c r="AW26" s="489" t="str">
        <f t="shared" si="1"/>
        <v>MH</v>
      </c>
      <c r="AX26" s="437">
        <f ca="1" t="shared" si="8"/>
        <v>22.948017333070833</v>
      </c>
      <c r="AY26" s="437">
        <f ca="1" t="shared" si="8"/>
        <v>24.352687745042445</v>
      </c>
      <c r="AZ26" s="437">
        <f ca="1" t="shared" si="8"/>
        <v>24.23568251575137</v>
      </c>
      <c r="BA26" s="437">
        <f ca="1" t="shared" si="8"/>
        <v>25.530803699861313</v>
      </c>
      <c r="BB26" s="438">
        <f ca="1" t="shared" si="8"/>
        <v>27.897589686695884</v>
      </c>
    </row>
    <row r="27" spans="2:38" ht="15.75" thickBot="1">
      <c r="B27" s="419" t="str">
        <f>'Market Size'!R27</f>
        <v>Air Source Heat Pump</v>
      </c>
      <c r="C27" s="420" t="str">
        <f>'Market Size'!S27</f>
        <v>HSPF_11.5</v>
      </c>
      <c r="D27" s="422">
        <f ca="1">'Market Size'!T27</f>
        <v>0</v>
      </c>
      <c r="E27" s="422">
        <f ca="1">'Market Size'!U27</f>
        <v>0</v>
      </c>
      <c r="F27" s="422">
        <f ca="1">'Market Size'!V27</f>
        <v>0</v>
      </c>
      <c r="G27" s="422">
        <f ca="1">'Market Size'!W27</f>
        <v>0</v>
      </c>
      <c r="H27" s="423">
        <f ca="1">'Market Size'!X27</f>
        <v>0</v>
      </c>
      <c r="I27" s="76"/>
      <c r="J27" s="419" t="str">
        <f>'Market Size'!Z27</f>
        <v>Air Source Heat Pump</v>
      </c>
      <c r="K27" s="420" t="str">
        <f>'Market Size'!AA27</f>
        <v>HSPF_11.5</v>
      </c>
      <c r="L27" s="422">
        <f ca="1">'Market Size'!AB27</f>
        <v>1129.8572366723356</v>
      </c>
      <c r="M27" s="422">
        <f ca="1">'Market Size'!AC27</f>
        <v>877.5788368465097</v>
      </c>
      <c r="N27" s="422">
        <f ca="1">'Market Size'!AD27</f>
        <v>1243.946316469963</v>
      </c>
      <c r="O27" s="422">
        <f ca="1">'Market Size'!AE27</f>
        <v>1225.7553242417603</v>
      </c>
      <c r="P27" s="423"/>
      <c r="R27" s="448" t="str">
        <f>'Input and Scenario Summary'!B25</f>
        <v>HSPF 11.5</v>
      </c>
      <c r="S27" s="63">
        <f>'Input and Scenario Summary'!C25</f>
        <v>5053.4899922699615</v>
      </c>
      <c r="T27" s="63">
        <f>'Input and Scenario Summary'!D25</f>
        <v>8045.377063623466</v>
      </c>
      <c r="U27" s="63">
        <f>'Input and Scenario Summary'!E25</f>
        <v>9691.244217088422</v>
      </c>
      <c r="V27" s="52">
        <f>'Input and Scenario Summary'!F25</f>
        <v>6435.56262565869</v>
      </c>
      <c r="X27" s="419" t="s">
        <v>56</v>
      </c>
      <c r="Y27" s="420" t="s">
        <v>308</v>
      </c>
      <c r="Z27" s="422">
        <f ca="1" t="shared" si="6"/>
        <v>0</v>
      </c>
      <c r="AA27" s="422">
        <f ca="1" t="shared" si="6"/>
        <v>0</v>
      </c>
      <c r="AB27" s="422">
        <f ca="1" t="shared" si="6"/>
        <v>0</v>
      </c>
      <c r="AC27" s="422">
        <f ca="1" t="shared" si="6"/>
        <v>0</v>
      </c>
      <c r="AD27" s="423">
        <f ca="1" t="shared" si="6"/>
        <v>0</v>
      </c>
      <c r="AE27" s="76"/>
      <c r="AF27" s="419" t="s">
        <v>56</v>
      </c>
      <c r="AG27" s="420" t="s">
        <v>308</v>
      </c>
      <c r="AH27" s="422">
        <f ca="1" t="shared" si="7"/>
        <v>7271267.004658489</v>
      </c>
      <c r="AI27" s="422">
        <f ca="1" t="shared" si="7"/>
        <v>5647713.563478423</v>
      </c>
      <c r="AJ27" s="422">
        <f ca="1" t="shared" si="7"/>
        <v>8005494.422599891</v>
      </c>
      <c r="AK27" s="422">
        <f ca="1" t="shared" si="7"/>
        <v>7888425.152892422</v>
      </c>
      <c r="AL27" s="423">
        <f t="shared" si="7"/>
        <v>0</v>
      </c>
    </row>
    <row r="28" spans="2:54" ht="15.75" thickBot="1">
      <c r="B28" s="50" t="str">
        <f>'Market Size'!R28</f>
        <v>Conversions</v>
      </c>
      <c r="C28" s="50"/>
      <c r="D28" s="50"/>
      <c r="E28" s="50"/>
      <c r="F28" s="50"/>
      <c r="G28" s="50"/>
      <c r="H28" s="50"/>
      <c r="J28" s="50" t="str">
        <f>'Market Size'!Z28</f>
        <v>Conversions</v>
      </c>
      <c r="K28" s="50"/>
      <c r="L28" s="50"/>
      <c r="M28" s="50"/>
      <c r="N28" s="50"/>
      <c r="O28" s="50"/>
      <c r="P28" s="50"/>
      <c r="R28" s="59"/>
      <c r="S28" s="59"/>
      <c r="T28" s="59"/>
      <c r="U28" s="59"/>
      <c r="V28" s="59"/>
      <c r="X28" s="50" t="s">
        <v>348</v>
      </c>
      <c r="Y28" s="50"/>
      <c r="Z28" s="50"/>
      <c r="AA28" s="50"/>
      <c r="AB28" s="50"/>
      <c r="AC28" s="50"/>
      <c r="AD28" s="50"/>
      <c r="AF28" s="50" t="s">
        <v>348</v>
      </c>
      <c r="AG28" s="50"/>
      <c r="AH28" s="50"/>
      <c r="AI28" s="50"/>
      <c r="AJ28" s="50"/>
      <c r="AK28" s="50"/>
      <c r="AL28" s="50"/>
      <c r="AN28" s="830" t="s">
        <v>367</v>
      </c>
      <c r="AO28" s="831"/>
      <c r="AP28" s="831"/>
      <c r="AQ28" s="831"/>
      <c r="AR28" s="831"/>
      <c r="AS28" s="831"/>
      <c r="AT28" s="832"/>
      <c r="AV28" s="830" t="s">
        <v>472</v>
      </c>
      <c r="AW28" s="831"/>
      <c r="AX28" s="831"/>
      <c r="AY28" s="831"/>
      <c r="AZ28" s="831"/>
      <c r="BA28" s="831"/>
      <c r="BB28" s="832"/>
    </row>
    <row r="29" spans="2:54" ht="15">
      <c r="B29" s="830" t="str">
        <f>'Market Size'!R29</f>
        <v>Base Case Units Shipped by Efficiency Level - Manufactured Homes</v>
      </c>
      <c r="C29" s="831"/>
      <c r="D29" s="831"/>
      <c r="E29" s="831"/>
      <c r="F29" s="831"/>
      <c r="G29" s="831"/>
      <c r="H29" s="832"/>
      <c r="J29" s="830" t="str">
        <f>'Market Size'!Z29</f>
        <v>Efficient Case Units Shipped by Efficiency Level - Manufactured Homes</v>
      </c>
      <c r="K29" s="831"/>
      <c r="L29" s="831"/>
      <c r="M29" s="831"/>
      <c r="N29" s="831"/>
      <c r="O29" s="831"/>
      <c r="P29" s="832"/>
      <c r="R29" s="56" t="str">
        <f>'Input and Scenario Summary'!B27</f>
        <v>Manufactured Homes - Conversions</v>
      </c>
      <c r="S29" s="57"/>
      <c r="T29" s="57"/>
      <c r="U29" s="57"/>
      <c r="V29" s="58"/>
      <c r="X29" s="830" t="s">
        <v>369</v>
      </c>
      <c r="Y29" s="831"/>
      <c r="Z29" s="831"/>
      <c r="AA29" s="831"/>
      <c r="AB29" s="831"/>
      <c r="AC29" s="831"/>
      <c r="AD29" s="832"/>
      <c r="AF29" s="830" t="s">
        <v>370</v>
      </c>
      <c r="AG29" s="831"/>
      <c r="AH29" s="831"/>
      <c r="AI29" s="831"/>
      <c r="AJ29" s="831"/>
      <c r="AK29" s="831"/>
      <c r="AL29" s="832"/>
      <c r="AN29" s="404" t="s">
        <v>360</v>
      </c>
      <c r="AO29" s="405"/>
      <c r="AP29" s="406">
        <v>2010</v>
      </c>
      <c r="AQ29" s="406">
        <v>2011</v>
      </c>
      <c r="AR29" s="406">
        <v>2012</v>
      </c>
      <c r="AS29" s="406">
        <v>2013</v>
      </c>
      <c r="AT29" s="414">
        <v>2014</v>
      </c>
      <c r="AV29" s="404" t="str">
        <f t="shared" si="0"/>
        <v>Case</v>
      </c>
      <c r="AW29" s="405"/>
      <c r="AX29" s="406">
        <f>AP29</f>
        <v>2010</v>
      </c>
      <c r="AY29" s="406">
        <f>AQ29</f>
        <v>2011</v>
      </c>
      <c r="AZ29" s="406">
        <f>AR29</f>
        <v>2012</v>
      </c>
      <c r="BA29" s="406">
        <f>AS29</f>
        <v>2013</v>
      </c>
      <c r="BB29" s="414">
        <f>AT29</f>
        <v>2014</v>
      </c>
    </row>
    <row r="30" spans="2:54" ht="15">
      <c r="B30" s="404" t="str">
        <f>'Market Size'!R30</f>
        <v>Unit Type</v>
      </c>
      <c r="C30" s="405" t="str">
        <f>'Market Size'!S30</f>
        <v>Efficiency Level</v>
      </c>
      <c r="D30" s="406">
        <f>'Market Size'!T30</f>
        <v>2010</v>
      </c>
      <c r="E30" s="406">
        <f>'Market Size'!U30</f>
        <v>2011</v>
      </c>
      <c r="F30" s="406">
        <f>'Market Size'!V30</f>
        <v>2012</v>
      </c>
      <c r="G30" s="406">
        <f>'Market Size'!W30</f>
        <v>2013</v>
      </c>
      <c r="H30" s="414">
        <f>'Market Size'!X30</f>
        <v>2014</v>
      </c>
      <c r="J30" s="404" t="str">
        <f>'Market Size'!Z30</f>
        <v>Unit Type</v>
      </c>
      <c r="K30" s="405" t="str">
        <f>'Market Size'!AA30</f>
        <v>Efficiency Level</v>
      </c>
      <c r="L30" s="406">
        <f>'Market Size'!AB30</f>
        <v>2010</v>
      </c>
      <c r="M30" s="406">
        <f>'Market Size'!AC30</f>
        <v>2011</v>
      </c>
      <c r="N30" s="406">
        <f>'Market Size'!AD30</f>
        <v>2012</v>
      </c>
      <c r="O30" s="406">
        <f>'Market Size'!AE30</f>
        <v>2013</v>
      </c>
      <c r="P30" s="414">
        <f>'Market Size'!AF30</f>
        <v>2014</v>
      </c>
      <c r="R30" s="446" t="str">
        <f>'Input and Scenario Summary'!B28</f>
        <v>Heating Zone</v>
      </c>
      <c r="S30" s="449">
        <f>'Input and Scenario Summary'!C28</f>
        <v>1</v>
      </c>
      <c r="T30" s="449">
        <f>'Input and Scenario Summary'!D28</f>
        <v>2</v>
      </c>
      <c r="U30" s="449">
        <f>'Input and Scenario Summary'!E28</f>
        <v>3</v>
      </c>
      <c r="V30" s="450" t="str">
        <f>'Input and Scenario Summary'!F28</f>
        <v>PNW Region</v>
      </c>
      <c r="X30" s="404" t="s">
        <v>301</v>
      </c>
      <c r="Y30" s="405" t="s">
        <v>310</v>
      </c>
      <c r="Z30" s="406">
        <v>2010</v>
      </c>
      <c r="AA30" s="406">
        <v>2011</v>
      </c>
      <c r="AB30" s="406">
        <v>2012</v>
      </c>
      <c r="AC30" s="406">
        <v>2013</v>
      </c>
      <c r="AD30" s="414">
        <v>2014</v>
      </c>
      <c r="AF30" s="404" t="s">
        <v>301</v>
      </c>
      <c r="AG30" s="405" t="s">
        <v>310</v>
      </c>
      <c r="AH30" s="406">
        <v>2010</v>
      </c>
      <c r="AI30" s="406">
        <v>2011</v>
      </c>
      <c r="AJ30" s="406">
        <v>2012</v>
      </c>
      <c r="AK30" s="406">
        <v>2013</v>
      </c>
      <c r="AL30" s="414">
        <v>2014</v>
      </c>
      <c r="AN30" s="415" t="s">
        <v>486</v>
      </c>
      <c r="AO30" s="416"/>
      <c r="AP30" s="407">
        <f ca="1">SUM(AP23:AP24)</f>
        <v>546755.4275667274</v>
      </c>
      <c r="AQ30" s="407">
        <f ca="1">SUM(AQ23:AQ24)</f>
        <v>604106.221522142</v>
      </c>
      <c r="AR30" s="407">
        <f ca="1">SUM(AR23:AR24)</f>
        <v>616552.3630107946</v>
      </c>
      <c r="AS30" s="407">
        <f ca="1">SUM(AS23:AS24)</f>
        <v>646369.6310443133</v>
      </c>
      <c r="AT30" s="421">
        <f ca="1">SUM(AT23:AT24)</f>
        <v>667747.8735493419</v>
      </c>
      <c r="AV30" s="415" t="str">
        <f t="shared" si="0"/>
        <v>Base Market Consumption</v>
      </c>
      <c r="AW30" s="416"/>
      <c r="AX30" s="714">
        <f aca="true" t="shared" si="9" ref="AX30:BB31">(AP30)/8760</f>
        <v>62.41500314688669</v>
      </c>
      <c r="AY30" s="714">
        <f ca="1" t="shared" si="9"/>
        <v>68.96189743403447</v>
      </c>
      <c r="AZ30" s="714">
        <f ca="1" t="shared" si="9"/>
        <v>70.38268984141492</v>
      </c>
      <c r="BA30" s="714">
        <f ca="1" t="shared" si="9"/>
        <v>73.78648756213622</v>
      </c>
      <c r="BB30" s="715">
        <f ca="1" t="shared" si="9"/>
        <v>76.22692620426278</v>
      </c>
    </row>
    <row r="31" spans="2:54" ht="15.75" thickBot="1">
      <c r="B31" s="415" t="str">
        <f>'Market Size'!R31</f>
        <v>Forced Air Furnace</v>
      </c>
      <c r="C31" s="416" t="str">
        <f>'Market Size'!S31</f>
        <v>n/a</v>
      </c>
      <c r="D31" s="407">
        <f ca="1">'Market Size'!T31</f>
        <v>14327.29838329535</v>
      </c>
      <c r="E31" s="407">
        <f ca="1">'Market Size'!U31</f>
        <v>15078.465683532393</v>
      </c>
      <c r="F31" s="407">
        <f ca="1">'Market Size'!V31</f>
        <v>14865.893755595387</v>
      </c>
      <c r="G31" s="407">
        <f ca="1">'Market Size'!W31</f>
        <v>15489.493180209281</v>
      </c>
      <c r="H31" s="421">
        <f ca="1">'Market Size'!X31</f>
        <v>16823.41512065369</v>
      </c>
      <c r="J31" s="415" t="str">
        <f>'Market Size'!Z31</f>
        <v>Forced Air Furnace</v>
      </c>
      <c r="K31" s="416" t="str">
        <f>'Market Size'!AA31</f>
        <v>n/a</v>
      </c>
      <c r="L31" s="407">
        <f ca="1">'Market Size'!AB31</f>
        <v>13702.971253634012</v>
      </c>
      <c r="M31" s="407">
        <f ca="1">'Market Size'!AC31</f>
        <v>14642.761255842132</v>
      </c>
      <c r="N31" s="407">
        <f ca="1">'Market Size'!AD31</f>
        <v>14491.622890686722</v>
      </c>
      <c r="O31" s="407">
        <f ca="1">'Market Size'!AE31</f>
        <v>15343.652447239372</v>
      </c>
      <c r="P31" s="421">
        <f ca="1">'Market Size'!AF31</f>
        <v>17058.072165497717</v>
      </c>
      <c r="R31" s="447" t="str">
        <f>'Input and Scenario Summary'!B29</f>
        <v>Electric FAF</v>
      </c>
      <c r="S31" s="51">
        <f>'Input and Scenario Summary'!C29</f>
        <v>10460.183091674095</v>
      </c>
      <c r="T31" s="51">
        <f>'Input and Scenario Summary'!D29</f>
        <v>12838.941350824767</v>
      </c>
      <c r="U31" s="51">
        <f>'Input and Scenario Summary'!E29</f>
        <v>17361.73664980113</v>
      </c>
      <c r="V31" s="60">
        <f>'Input and Scenario Summary'!F29</f>
        <v>11885.34332878872</v>
      </c>
      <c r="X31" s="415" t="s">
        <v>130</v>
      </c>
      <c r="Y31" s="416" t="s">
        <v>129</v>
      </c>
      <c r="Z31" s="407">
        <f aca="true" t="shared" si="10" ref="Z31:AD38">D31*$V31</f>
        <v>170284860.2594648</v>
      </c>
      <c r="AA31" s="407">
        <f ca="1" t="shared" si="10"/>
        <v>179212741.52014136</v>
      </c>
      <c r="AB31" s="407">
        <f ca="1" t="shared" si="10"/>
        <v>176686251.17454752</v>
      </c>
      <c r="AC31" s="407">
        <f ca="1" t="shared" si="10"/>
        <v>184097944.43571877</v>
      </c>
      <c r="AD31" s="421">
        <f ca="1" t="shared" si="10"/>
        <v>199952064.67170465</v>
      </c>
      <c r="AF31" s="415" t="s">
        <v>130</v>
      </c>
      <c r="AG31" s="416" t="s">
        <v>129</v>
      </c>
      <c r="AH31" s="407">
        <f aca="true" t="shared" si="11" ref="AH31:AL38">L31*$V31</f>
        <v>162864517.9739626</v>
      </c>
      <c r="AI31" s="407">
        <f ca="1" t="shared" si="11"/>
        <v>174034244.80716923</v>
      </c>
      <c r="AJ31" s="407">
        <f ca="1" t="shared" si="11"/>
        <v>172237913.44714534</v>
      </c>
      <c r="AK31" s="407">
        <f ca="1" t="shared" si="11"/>
        <v>182364577.2530492</v>
      </c>
      <c r="AL31" s="421">
        <f ca="1" t="shared" si="11"/>
        <v>202741044.21419483</v>
      </c>
      <c r="AN31" s="488" t="s">
        <v>487</v>
      </c>
      <c r="AO31" s="489"/>
      <c r="AP31" s="422">
        <f ca="1">SUM(AP25:AP26)</f>
        <v>523268.7710957778</v>
      </c>
      <c r="AQ31" s="422">
        <f ca="1">SUM(AQ25:AQ26)</f>
        <v>574140.3070852581</v>
      </c>
      <c r="AR31" s="422">
        <f ca="1">SUM(AR25:AR26)</f>
        <v>580449.6413138628</v>
      </c>
      <c r="AS31" s="422">
        <f ca="1">SUM(AS25:AS26)</f>
        <v>611373.8930020272</v>
      </c>
      <c r="AT31" s="423">
        <f ca="1">SUM(AT25:AT26)</f>
        <v>630042.8318860091</v>
      </c>
      <c r="AV31" s="488" t="str">
        <f t="shared" si="0"/>
        <v>Actual Market Consumption</v>
      </c>
      <c r="AW31" s="489"/>
      <c r="AX31" s="437">
        <f ca="1" t="shared" si="9"/>
        <v>59.73387797897007</v>
      </c>
      <c r="AY31" s="437">
        <f ca="1" t="shared" si="9"/>
        <v>65.54113094580572</v>
      </c>
      <c r="AZ31" s="437">
        <f ca="1" t="shared" si="9"/>
        <v>66.26137457920808</v>
      </c>
      <c r="BA31" s="437">
        <f ca="1" t="shared" si="9"/>
        <v>69.79154029703507</v>
      </c>
      <c r="BB31" s="438">
        <f ca="1" t="shared" si="9"/>
        <v>71.92269770388232</v>
      </c>
    </row>
    <row r="32" spans="2:38" ht="15.75" thickBot="1">
      <c r="B32" s="417" t="str">
        <f>'Market Size'!R32</f>
        <v>Air Source Heat Pump</v>
      </c>
      <c r="C32" s="418" t="str">
        <f>'Market Size'!S32</f>
        <v>HSPF_7.7</v>
      </c>
      <c r="D32" s="407">
        <f ca="1">'Market Size'!T32</f>
        <v>0</v>
      </c>
      <c r="E32" s="407">
        <f ca="1">'Market Size'!U32</f>
        <v>0</v>
      </c>
      <c r="F32" s="407">
        <f ca="1">'Market Size'!V32</f>
        <v>0</v>
      </c>
      <c r="G32" s="407">
        <f ca="1">'Market Size'!W32</f>
        <v>0</v>
      </c>
      <c r="H32" s="421">
        <f ca="1">'Market Size'!X32</f>
        <v>0</v>
      </c>
      <c r="J32" s="417" t="str">
        <f>'Market Size'!Z32</f>
        <v>Air Source Heat Pump</v>
      </c>
      <c r="K32" s="418" t="str">
        <f>'Market Size'!AA32</f>
        <v>HSPF_7.7</v>
      </c>
      <c r="L32" s="407">
        <f ca="1">'Market Size'!AB32</f>
        <v>1051.522949840742</v>
      </c>
      <c r="M32" s="407">
        <f ca="1">'Market Size'!AC32</f>
        <v>1096.5791501515143</v>
      </c>
      <c r="N32" s="407">
        <f ca="1">'Market Size'!AD32</f>
        <v>1040.7176729134223</v>
      </c>
      <c r="O32" s="407">
        <f ca="1">'Market Size'!AE32</f>
        <v>1002.6574840762906</v>
      </c>
      <c r="P32" s="421">
        <f ca="1">'Market Size'!AF32</f>
        <v>941.0861186024305</v>
      </c>
      <c r="R32" s="447" t="str">
        <f>'Input and Scenario Summary'!B30</f>
        <v>HSPF 7.7</v>
      </c>
      <c r="S32" s="51">
        <f>'Input and Scenario Summary'!C30</f>
        <v>5711.600648418943</v>
      </c>
      <c r="T32" s="51">
        <f>'Input and Scenario Summary'!D30</f>
        <v>8372.938535159003</v>
      </c>
      <c r="U32" s="51">
        <f>'Input and Scenario Summary'!E30</f>
        <v>9952.790155599692</v>
      </c>
      <c r="V32" s="60">
        <f>'Input and Scenario Summary'!F30</f>
        <v>6952.738025820053</v>
      </c>
      <c r="X32" s="417" t="s">
        <v>56</v>
      </c>
      <c r="Y32" s="418" t="s">
        <v>302</v>
      </c>
      <c r="Z32" s="407">
        <f ca="1" t="shared" si="10"/>
        <v>0</v>
      </c>
      <c r="AA32" s="407">
        <f ca="1" t="shared" si="10"/>
        <v>0</v>
      </c>
      <c r="AB32" s="407">
        <f ca="1" t="shared" si="10"/>
        <v>0</v>
      </c>
      <c r="AC32" s="407">
        <f ca="1" t="shared" si="10"/>
        <v>0</v>
      </c>
      <c r="AD32" s="421">
        <f ca="1" t="shared" si="10"/>
        <v>0</v>
      </c>
      <c r="AF32" s="417" t="s">
        <v>56</v>
      </c>
      <c r="AG32" s="418" t="s">
        <v>302</v>
      </c>
      <c r="AH32" s="407">
        <f ca="1" t="shared" si="11"/>
        <v>7310963.5983802</v>
      </c>
      <c r="AI32" s="407">
        <f ca="1" t="shared" si="11"/>
        <v>7624227.555579871</v>
      </c>
      <c r="AJ32" s="407">
        <f ca="1" t="shared" si="11"/>
        <v>7235837.3386081075</v>
      </c>
      <c r="AK32" s="407">
        <f ca="1" t="shared" si="11"/>
        <v>6971214.81641029</v>
      </c>
      <c r="AL32" s="421">
        <f ca="1" t="shared" si="11"/>
        <v>6543125.242378519</v>
      </c>
    </row>
    <row r="33" spans="2:54" ht="15.75" thickBot="1">
      <c r="B33" s="417" t="str">
        <f>'Market Size'!R33</f>
        <v>Air Source Heat Pump</v>
      </c>
      <c r="C33" s="418" t="str">
        <f>'Market Size'!S33</f>
        <v>HSPF_8.5</v>
      </c>
      <c r="D33" s="407">
        <f ca="1">'Market Size'!T33</f>
        <v>1685.5645156818061</v>
      </c>
      <c r="E33" s="407">
        <f ca="1">'Market Size'!U33</f>
        <v>1773.9371392391051</v>
      </c>
      <c r="F33" s="407">
        <f ca="1">'Market Size'!V33</f>
        <v>1748.9286771288691</v>
      </c>
      <c r="G33" s="407">
        <f ca="1">'Market Size'!W33</f>
        <v>1822.2933153187391</v>
      </c>
      <c r="H33" s="421">
        <f ca="1">'Market Size'!X33</f>
        <v>1979.2253083121993</v>
      </c>
      <c r="J33" s="417" t="str">
        <f>'Market Size'!Z33</f>
        <v>Air Source Heat Pump</v>
      </c>
      <c r="K33" s="418" t="str">
        <f>'Market Size'!AA33</f>
        <v>HSPF_8.5</v>
      </c>
      <c r="L33" s="407">
        <f ca="1">'Market Size'!AB33</f>
        <v>1466.3439300531452</v>
      </c>
      <c r="M33" s="407">
        <f ca="1">'Market Size'!AC33</f>
        <v>1489.754579012542</v>
      </c>
      <c r="N33" s="407">
        <f ca="1">'Market Size'!AD33</f>
        <v>1457.8811065065777</v>
      </c>
      <c r="O33" s="407">
        <f ca="1">'Market Size'!AE33</f>
        <v>1357.4339577738265</v>
      </c>
      <c r="P33" s="421">
        <f ca="1">'Market Size'!AF33</f>
        <v>1295.3966550948585</v>
      </c>
      <c r="R33" s="447" t="str">
        <f>'Input and Scenario Summary'!B31</f>
        <v>HSPF 8.5</v>
      </c>
      <c r="S33" s="51">
        <f>'Input and Scenario Summary'!C31</f>
        <v>5360.685484040489</v>
      </c>
      <c r="T33" s="51">
        <f>'Input and Scenario Summary'!D31</f>
        <v>7982.519267489288</v>
      </c>
      <c r="U33" s="51">
        <f>'Input and Scenario Summary'!E31</f>
        <v>9557.567905357573</v>
      </c>
      <c r="V33" s="60">
        <f>'Input and Scenario Summary'!F31</f>
        <v>6585.292973549472</v>
      </c>
      <c r="X33" s="417" t="s">
        <v>56</v>
      </c>
      <c r="Y33" s="418" t="s">
        <v>303</v>
      </c>
      <c r="Z33" s="407">
        <f ca="1" t="shared" si="10"/>
        <v>11099936.161583716</v>
      </c>
      <c r="AA33" s="407">
        <f ca="1" t="shared" si="10"/>
        <v>11681895.77854973</v>
      </c>
      <c r="AB33" s="407">
        <f ca="1" t="shared" si="10"/>
        <v>11517207.728735914</v>
      </c>
      <c r="AC33" s="407">
        <f ca="1" t="shared" si="10"/>
        <v>12000335.365114665</v>
      </c>
      <c r="AD33" s="421">
        <f ca="1" t="shared" si="10"/>
        <v>13033778.515899613</v>
      </c>
      <c r="AF33" s="417" t="s">
        <v>56</v>
      </c>
      <c r="AG33" s="418" t="s">
        <v>303</v>
      </c>
      <c r="AH33" s="407">
        <f ca="1" t="shared" si="11"/>
        <v>9656304.379385894</v>
      </c>
      <c r="AI33" s="407">
        <f ca="1" t="shared" si="11"/>
        <v>9810470.361484446</v>
      </c>
      <c r="AJ33" s="407">
        <f ca="1" t="shared" si="11"/>
        <v>9600574.206948295</v>
      </c>
      <c r="AK33" s="407">
        <f ca="1" t="shared" si="11"/>
        <v>8939100.30418543</v>
      </c>
      <c r="AL33" s="421">
        <f ca="1" t="shared" si="11"/>
        <v>8530566.49075566</v>
      </c>
      <c r="AO33" s="424" t="s">
        <v>371</v>
      </c>
      <c r="AP33" s="80">
        <v>1000</v>
      </c>
      <c r="AQ33" s="76"/>
      <c r="AR33" s="76"/>
      <c r="AS33" s="76"/>
      <c r="AT33" s="76"/>
      <c r="AW33" s="424" t="str">
        <f t="shared" si="1"/>
        <v>kwh to Mwh</v>
      </c>
      <c r="AX33" s="80">
        <f>AP33</f>
        <v>1000</v>
      </c>
      <c r="AY33" s="76"/>
      <c r="AZ33" s="76"/>
      <c r="BA33" s="76"/>
      <c r="BB33" s="76"/>
    </row>
    <row r="34" spans="2:38" ht="15.75" thickBot="1">
      <c r="B34" s="417" t="str">
        <f>'Market Size'!R34</f>
        <v>Air Source Heat Pump</v>
      </c>
      <c r="C34" s="418" t="str">
        <f>'Market Size'!S34</f>
        <v>HSPF_9.0</v>
      </c>
      <c r="D34" s="407">
        <f ca="1">'Market Size'!T34</f>
        <v>842.7822578409031</v>
      </c>
      <c r="E34" s="407">
        <f ca="1">'Market Size'!U34</f>
        <v>886.9685696195526</v>
      </c>
      <c r="F34" s="407">
        <f ca="1">'Market Size'!V34</f>
        <v>874.4643385644346</v>
      </c>
      <c r="G34" s="407">
        <f ca="1">'Market Size'!W34</f>
        <v>911.1466576593696</v>
      </c>
      <c r="H34" s="421">
        <f ca="1">'Market Size'!X34</f>
        <v>989.6126541560997</v>
      </c>
      <c r="J34" s="417" t="str">
        <f>'Market Size'!Z34</f>
        <v>Air Source Heat Pump</v>
      </c>
      <c r="K34" s="418" t="str">
        <f>'Market Size'!AA34</f>
        <v>HSPF_9.0</v>
      </c>
      <c r="L34" s="407">
        <f ca="1">'Market Size'!AB34</f>
        <v>179.8476342781348</v>
      </c>
      <c r="M34" s="407">
        <f ca="1">'Market Size'!AC34</f>
        <v>166.20353129184247</v>
      </c>
      <c r="N34" s="407">
        <f ca="1">'Market Size'!AD34</f>
        <v>149.91592676520003</v>
      </c>
      <c r="O34" s="407">
        <f ca="1">'Market Size'!AE34</f>
        <v>199.94528774189567</v>
      </c>
      <c r="P34" s="421">
        <f ca="1">'Market Size'!AF34</f>
        <v>196.76274998975202</v>
      </c>
      <c r="R34" s="447" t="str">
        <f>'Input and Scenario Summary'!B32</f>
        <v>HSPF 9.0</v>
      </c>
      <c r="S34" s="51">
        <f>'Input and Scenario Summary'!C32</f>
        <v>5222.232515173673</v>
      </c>
      <c r="T34" s="51">
        <f>'Input and Scenario Summary'!D32</f>
        <v>7855.265725089348</v>
      </c>
      <c r="U34" s="51">
        <f>'Input and Scenario Summary'!E32</f>
        <v>9433.766087240414</v>
      </c>
      <c r="V34" s="60">
        <f>'Input and Scenario Summary'!F32</f>
        <v>6451.738423987254</v>
      </c>
      <c r="X34" s="417" t="s">
        <v>56</v>
      </c>
      <c r="Y34" s="418" t="s">
        <v>304</v>
      </c>
      <c r="Z34" s="407">
        <f ca="1" t="shared" si="10"/>
        <v>5437410.675966887</v>
      </c>
      <c r="AA34" s="407">
        <f ca="1" t="shared" si="10"/>
        <v>5722489.201483481</v>
      </c>
      <c r="AB34" s="407">
        <f ca="1" t="shared" si="10"/>
        <v>5641815.173522761</v>
      </c>
      <c r="AC34" s="407">
        <f ca="1" t="shared" si="10"/>
        <v>5878479.9011085145</v>
      </c>
      <c r="AD34" s="421">
        <f ca="1" t="shared" si="10"/>
        <v>6384721.985682918</v>
      </c>
      <c r="AF34" s="417" t="s">
        <v>56</v>
      </c>
      <c r="AG34" s="418" t="s">
        <v>304</v>
      </c>
      <c r="AH34" s="407">
        <f ca="1" t="shared" si="11"/>
        <v>1160329.8925354492</v>
      </c>
      <c r="AI34" s="407">
        <f ca="1" t="shared" si="11"/>
        <v>1072301.709037948</v>
      </c>
      <c r="AJ34" s="407">
        <f ca="1" t="shared" si="11"/>
        <v>967218.3450787001</v>
      </c>
      <c r="AK34" s="407">
        <f ca="1" t="shared" si="11"/>
        <v>1289994.695619576</v>
      </c>
      <c r="AL34" s="421">
        <f ca="1" t="shared" si="11"/>
        <v>1269461.7945182808</v>
      </c>
    </row>
    <row r="35" spans="2:54" ht="15.75" thickBot="1">
      <c r="B35" s="417" t="str">
        <f>'Market Size'!R35</f>
        <v>Air Source Heat Pump</v>
      </c>
      <c r="C35" s="418" t="str">
        <f>'Market Size'!S35</f>
        <v>HSPF_9.5</v>
      </c>
      <c r="D35" s="407">
        <f ca="1">'Market Size'!T35</f>
        <v>0</v>
      </c>
      <c r="E35" s="407">
        <f ca="1">'Market Size'!U35</f>
        <v>0</v>
      </c>
      <c r="F35" s="407">
        <f ca="1">'Market Size'!V35</f>
        <v>0</v>
      </c>
      <c r="G35" s="407">
        <f ca="1">'Market Size'!W35</f>
        <v>0</v>
      </c>
      <c r="H35" s="421">
        <f ca="1">'Market Size'!X35</f>
        <v>0</v>
      </c>
      <c r="J35" s="417" t="str">
        <f>'Market Size'!Z35</f>
        <v>Air Source Heat Pump</v>
      </c>
      <c r="K35" s="418" t="str">
        <f>'Market Size'!AA35</f>
        <v>HSPF_9.5</v>
      </c>
      <c r="L35" s="407">
        <f ca="1">'Market Size'!AB35</f>
        <v>179.8476342781348</v>
      </c>
      <c r="M35" s="407">
        <f ca="1">'Market Size'!AC35</f>
        <v>166.20353129184247</v>
      </c>
      <c r="N35" s="407">
        <f ca="1">'Market Size'!AD35</f>
        <v>149.91592676520003</v>
      </c>
      <c r="O35" s="407">
        <f ca="1">'Market Size'!AE35</f>
        <v>199.94528774189567</v>
      </c>
      <c r="P35" s="421">
        <f ca="1">'Market Size'!AF35</f>
        <v>196.76274998975202</v>
      </c>
      <c r="R35" s="447" t="str">
        <f>'Input and Scenario Summary'!B33</f>
        <v>HSPF 9.5</v>
      </c>
      <c r="S35" s="51">
        <f>'Input and Scenario Summary'!C33</f>
        <v>5086.387323495339</v>
      </c>
      <c r="T35" s="51">
        <f>'Input and Scenario Summary'!D33</f>
        <v>7735.482841419963</v>
      </c>
      <c r="U35" s="51">
        <f>'Input and Scenario Summary'!E33</f>
        <v>9320.385232652407</v>
      </c>
      <c r="V35" s="60">
        <f>'Input and Scenario Summary'!F33</f>
        <v>6323.065949173608</v>
      </c>
      <c r="X35" s="417" t="s">
        <v>56</v>
      </c>
      <c r="Y35" s="418" t="s">
        <v>305</v>
      </c>
      <c r="Z35" s="407">
        <f ca="1" t="shared" si="10"/>
        <v>0</v>
      </c>
      <c r="AA35" s="407">
        <f ca="1" t="shared" si="10"/>
        <v>0</v>
      </c>
      <c r="AB35" s="407">
        <f ca="1" t="shared" si="10"/>
        <v>0</v>
      </c>
      <c r="AC35" s="407">
        <f ca="1" t="shared" si="10"/>
        <v>0</v>
      </c>
      <c r="AD35" s="421">
        <f ca="1" t="shared" si="10"/>
        <v>0</v>
      </c>
      <c r="AF35" s="417" t="s">
        <v>56</v>
      </c>
      <c r="AG35" s="418" t="s">
        <v>305</v>
      </c>
      <c r="AH35" s="407">
        <f ca="1" t="shared" si="11"/>
        <v>1137188.4523435023</v>
      </c>
      <c r="AI35" s="407">
        <f ca="1" t="shared" si="11"/>
        <v>1050915.8893438594</v>
      </c>
      <c r="AJ35" s="407">
        <f ca="1" t="shared" si="11"/>
        <v>947928.2917678406</v>
      </c>
      <c r="AK35" s="407">
        <f ca="1" t="shared" si="11"/>
        <v>1264267.2406184997</v>
      </c>
      <c r="AL35" s="421">
        <f ca="1" t="shared" si="11"/>
        <v>1244143.8445259607</v>
      </c>
      <c r="AO35" s="741" t="s">
        <v>263</v>
      </c>
      <c r="AP35" s="742">
        <f ca="1">AP30-AP31</f>
        <v>23486.656470949587</v>
      </c>
      <c r="AQ35" s="742">
        <f ca="1">AQ30-AQ31</f>
        <v>29965.914436883875</v>
      </c>
      <c r="AR35" s="742">
        <f ca="1">AR30-AR31</f>
        <v>36102.72169693187</v>
      </c>
      <c r="AS35" s="742">
        <f ca="1">AS30-AS31</f>
        <v>34995.73804228613</v>
      </c>
      <c r="AT35" s="743">
        <f ca="1">AT30-AT31</f>
        <v>37705.04166333284</v>
      </c>
      <c r="AW35" s="741" t="str">
        <f t="shared" si="1"/>
        <v>Total Market Savings</v>
      </c>
      <c r="AX35" s="742">
        <f ca="1">(AP35)/8760</f>
        <v>2.6811251679166195</v>
      </c>
      <c r="AY35" s="742">
        <f ca="1">(AQ35)/8760</f>
        <v>3.420766488228753</v>
      </c>
      <c r="AZ35" s="742">
        <f ca="1">(AR35)/8760</f>
        <v>4.121315262206834</v>
      </c>
      <c r="BA35" s="742">
        <f ca="1">(AS35)/8760</f>
        <v>3.9949472651011564</v>
      </c>
      <c r="BB35" s="743">
        <f ca="1">(AT35)/8760</f>
        <v>4.304228500380462</v>
      </c>
    </row>
    <row r="36" spans="2:38" ht="15">
      <c r="B36" s="417" t="str">
        <f>'Market Size'!R36</f>
        <v>Air Source Heat Pump</v>
      </c>
      <c r="C36" s="418" t="str">
        <f>'Market Size'!S36</f>
        <v>HSPF_10.0</v>
      </c>
      <c r="D36" s="407">
        <f ca="1">'Market Size'!T36</f>
        <v>0</v>
      </c>
      <c r="E36" s="407">
        <f ca="1">'Market Size'!U36</f>
        <v>0</v>
      </c>
      <c r="F36" s="407">
        <f ca="1">'Market Size'!V36</f>
        <v>0</v>
      </c>
      <c r="G36" s="407">
        <f ca="1">'Market Size'!W36</f>
        <v>0</v>
      </c>
      <c r="H36" s="421">
        <f ca="1">'Market Size'!X36</f>
        <v>0</v>
      </c>
      <c r="J36" s="417" t="str">
        <f>'Market Size'!Z36</f>
        <v>Air Source Heat Pump</v>
      </c>
      <c r="K36" s="418" t="str">
        <f>'Market Size'!AA36</f>
        <v>HSPF_10.0</v>
      </c>
      <c r="L36" s="407">
        <f ca="1">'Market Size'!AB36</f>
        <v>79.07094265676616</v>
      </c>
      <c r="M36" s="407">
        <f ca="1">'Market Size'!AC36</f>
        <v>45.83978484845201</v>
      </c>
      <c r="N36" s="407">
        <f ca="1">'Market Size'!AD36</f>
        <v>42.988992100064635</v>
      </c>
      <c r="O36" s="407">
        <f ca="1">'Market Size'!AE36</f>
        <v>8.056089604688468</v>
      </c>
      <c r="P36" s="421">
        <f ca="1">'Market Size'!AF36</f>
        <v>19.234032642594386</v>
      </c>
      <c r="R36" s="447" t="str">
        <f>'Input and Scenario Summary'!B34</f>
        <v>HSPF 10.0</v>
      </c>
      <c r="S36" s="51">
        <f>'Input and Scenario Summary'!C34</f>
        <v>4952.9748347828645</v>
      </c>
      <c r="T36" s="51">
        <f>'Input and Scenario Summary'!D34</f>
        <v>7622.243755658786</v>
      </c>
      <c r="U36" s="51">
        <f>'Input and Scenario Summary'!E34</f>
        <v>9216.719592165215</v>
      </c>
      <c r="V36" s="60">
        <f>'Input and Scenario Summary'!F34</f>
        <v>6198.817628692521</v>
      </c>
      <c r="X36" s="417" t="s">
        <v>56</v>
      </c>
      <c r="Y36" s="418" t="s">
        <v>306</v>
      </c>
      <c r="Z36" s="407">
        <f ca="1" t="shared" si="10"/>
        <v>0</v>
      </c>
      <c r="AA36" s="407">
        <f ca="1" t="shared" si="10"/>
        <v>0</v>
      </c>
      <c r="AB36" s="407">
        <f ca="1" t="shared" si="10"/>
        <v>0</v>
      </c>
      <c r="AC36" s="407">
        <f ca="1" t="shared" si="10"/>
        <v>0</v>
      </c>
      <c r="AD36" s="421">
        <f ca="1" t="shared" si="10"/>
        <v>0</v>
      </c>
      <c r="AF36" s="417" t="s">
        <v>56</v>
      </c>
      <c r="AG36" s="418" t="s">
        <v>306</v>
      </c>
      <c r="AH36" s="407">
        <f ca="1" t="shared" si="11"/>
        <v>490146.35325809754</v>
      </c>
      <c r="AI36" s="407">
        <f ca="1" t="shared" si="11"/>
        <v>284152.46641405666</v>
      </c>
      <c r="AJ36" s="407">
        <f ca="1" t="shared" si="11"/>
        <v>266480.92206960416</v>
      </c>
      <c r="AK36" s="407">
        <f ca="1" t="shared" si="11"/>
        <v>49938.23025986944</v>
      </c>
      <c r="AL36" s="421">
        <f ca="1" t="shared" si="11"/>
        <v>119228.26061576146</v>
      </c>
    </row>
    <row r="37" spans="2:38" ht="15">
      <c r="B37" s="417" t="str">
        <f>'Market Size'!R37</f>
        <v>Air Source Heat Pump</v>
      </c>
      <c r="C37" s="418" t="str">
        <f>'Market Size'!S37</f>
        <v>HSPF_10.5</v>
      </c>
      <c r="D37" s="407">
        <f ca="1">'Market Size'!T37</f>
        <v>0</v>
      </c>
      <c r="E37" s="407">
        <f ca="1">'Market Size'!U37</f>
        <v>0</v>
      </c>
      <c r="F37" s="407">
        <f ca="1">'Market Size'!V37</f>
        <v>0</v>
      </c>
      <c r="G37" s="407">
        <f ca="1">'Market Size'!W37</f>
        <v>0</v>
      </c>
      <c r="H37" s="421">
        <f ca="1">'Market Size'!X37</f>
        <v>0</v>
      </c>
      <c r="J37" s="417" t="str">
        <f>'Market Size'!Z37</f>
        <v>Air Source Heat Pump</v>
      </c>
      <c r="K37" s="418" t="str">
        <f>'Market Size'!AA37</f>
        <v>HSPF_10.5</v>
      </c>
      <c r="L37" s="407">
        <f ca="1">'Market Size'!AB37</f>
        <v>79.07094265676616</v>
      </c>
      <c r="M37" s="407">
        <f ca="1">'Market Size'!AC37</f>
        <v>45.83978484845201</v>
      </c>
      <c r="N37" s="407">
        <f ca="1">'Market Size'!AD37</f>
        <v>42.988992100064635</v>
      </c>
      <c r="O37" s="407">
        <f ca="1">'Market Size'!AE37</f>
        <v>8.056089604688468</v>
      </c>
      <c r="P37" s="421">
        <f ca="1">'Market Size'!AF37</f>
        <v>19.234032642594386</v>
      </c>
      <c r="R37" s="447" t="str">
        <f>'Input and Scenario Summary'!B35</f>
        <v>HSPF 10.5</v>
      </c>
      <c r="S37" s="51">
        <f>'Input and Scenario Summary'!C35</f>
        <v>4821.747899329782</v>
      </c>
      <c r="T37" s="51">
        <f>'Input and Scenario Summary'!D35</f>
        <v>7515.244669414484</v>
      </c>
      <c r="U37" s="51">
        <f>'Input and Scenario Summary'!E35</f>
        <v>9120.84809080421</v>
      </c>
      <c r="V37" s="60">
        <f>'Input and Scenario Summary'!F35</f>
        <v>6078.559117779379</v>
      </c>
      <c r="X37" s="417" t="s">
        <v>56</v>
      </c>
      <c r="Y37" s="418" t="s">
        <v>307</v>
      </c>
      <c r="Z37" s="407">
        <f ca="1" t="shared" si="10"/>
        <v>0</v>
      </c>
      <c r="AA37" s="407">
        <f ca="1" t="shared" si="10"/>
        <v>0</v>
      </c>
      <c r="AB37" s="407">
        <f ca="1" t="shared" si="10"/>
        <v>0</v>
      </c>
      <c r="AC37" s="407">
        <f ca="1" t="shared" si="10"/>
        <v>0</v>
      </c>
      <c r="AD37" s="421">
        <f ca="1" t="shared" si="10"/>
        <v>0</v>
      </c>
      <c r="AF37" s="417" t="s">
        <v>56</v>
      </c>
      <c r="AG37" s="418" t="s">
        <v>307</v>
      </c>
      <c r="AH37" s="407">
        <f ca="1" t="shared" si="11"/>
        <v>480637.39943769644</v>
      </c>
      <c r="AI37" s="407">
        <f ca="1" t="shared" si="11"/>
        <v>278639.84214760305</v>
      </c>
      <c r="AJ37" s="407">
        <f ca="1" t="shared" si="11"/>
        <v>261311.1298939936</v>
      </c>
      <c r="AK37" s="407">
        <f ca="1" t="shared" si="11"/>
        <v>48969.416920226766</v>
      </c>
      <c r="AL37" s="421">
        <f ca="1" t="shared" si="11"/>
        <v>116915.20449130832</v>
      </c>
    </row>
    <row r="38" spans="2:38" ht="15.75" thickBot="1">
      <c r="B38" s="419" t="str">
        <f>'Market Size'!R38</f>
        <v>Air Source Heat Pump</v>
      </c>
      <c r="C38" s="420" t="str">
        <f>'Market Size'!S38</f>
        <v>HSPF_11.5</v>
      </c>
      <c r="D38" s="422">
        <f ca="1">'Market Size'!T38</f>
        <v>0</v>
      </c>
      <c r="E38" s="422">
        <f ca="1">'Market Size'!U38</f>
        <v>0</v>
      </c>
      <c r="F38" s="422">
        <f ca="1">'Market Size'!V38</f>
        <v>0</v>
      </c>
      <c r="G38" s="422">
        <f ca="1">'Market Size'!W38</f>
        <v>0</v>
      </c>
      <c r="H38" s="423">
        <f ca="1">'Market Size'!X38</f>
        <v>0</v>
      </c>
      <c r="J38" s="419" t="str">
        <f>'Market Size'!Z38</f>
        <v>Air Source Heat Pump</v>
      </c>
      <c r="K38" s="420" t="str">
        <f>'Market Size'!AA38</f>
        <v>HSPF_11.5</v>
      </c>
      <c r="L38" s="422">
        <f ca="1">'Market Size'!AB38</f>
        <v>116.96986942035778</v>
      </c>
      <c r="M38" s="422">
        <f ca="1">'Market Size'!AC38</f>
        <v>86.18977510427503</v>
      </c>
      <c r="N38" s="422">
        <f ca="1">'Market Size'!AD38</f>
        <v>113.25526345143932</v>
      </c>
      <c r="O38" s="422">
        <f ca="1">'Market Size'!AE38</f>
        <v>103.18650940473312</v>
      </c>
      <c r="P38" s="423">
        <f ca="1">'Market Size'!AF38</f>
        <v>65.70457866229323</v>
      </c>
      <c r="R38" s="448" t="str">
        <f>'Input and Scenario Summary'!B36</f>
        <v>HSPF 11.5</v>
      </c>
      <c r="S38" s="63">
        <f>'Input and Scenario Summary'!C36</f>
        <v>4565.031934897084</v>
      </c>
      <c r="T38" s="63">
        <f>'Input and Scenario Summary'!D36</f>
        <v>7317.7440136567775</v>
      </c>
      <c r="U38" s="63">
        <f>'Input and Scenario Summary'!E36</f>
        <v>8950.142282264294</v>
      </c>
      <c r="V38" s="52">
        <f>'Input and Scenario Summary'!F36</f>
        <v>5848.610268262191</v>
      </c>
      <c r="X38" s="419" t="s">
        <v>56</v>
      </c>
      <c r="Y38" s="420" t="s">
        <v>308</v>
      </c>
      <c r="Z38" s="422">
        <f ca="1" t="shared" si="10"/>
        <v>0</v>
      </c>
      <c r="AA38" s="422">
        <f ca="1" t="shared" si="10"/>
        <v>0</v>
      </c>
      <c r="AB38" s="422">
        <f ca="1" t="shared" si="10"/>
        <v>0</v>
      </c>
      <c r="AC38" s="422">
        <f ca="1" t="shared" si="10"/>
        <v>0</v>
      </c>
      <c r="AD38" s="423">
        <f ca="1" t="shared" si="10"/>
        <v>0</v>
      </c>
      <c r="AF38" s="419" t="s">
        <v>56</v>
      </c>
      <c r="AG38" s="420" t="s">
        <v>308</v>
      </c>
      <c r="AH38" s="422">
        <f ca="1" t="shared" si="11"/>
        <v>684111.1793691922</v>
      </c>
      <c r="AI38" s="422">
        <f ca="1" t="shared" si="11"/>
        <v>504090.4036940719</v>
      </c>
      <c r="AJ38" s="422">
        <f ca="1" t="shared" si="11"/>
        <v>662385.8967568277</v>
      </c>
      <c r="AK38" s="422">
        <f ca="1" t="shared" si="11"/>
        <v>603497.6784506553</v>
      </c>
      <c r="AL38" s="423">
        <f ca="1" t="shared" si="11"/>
        <v>384280.47343612905</v>
      </c>
    </row>
    <row r="39" spans="2:38" ht="15.75" thickBot="1">
      <c r="B39" s="50" t="str">
        <f>'Market Size'!R39</f>
        <v>Upgrades</v>
      </c>
      <c r="C39" s="50"/>
      <c r="D39" s="50"/>
      <c r="E39" s="50"/>
      <c r="F39" s="50"/>
      <c r="G39" s="50"/>
      <c r="H39" s="50"/>
      <c r="J39" s="50" t="str">
        <f>'Market Size'!Z39</f>
        <v>Upgrades</v>
      </c>
      <c r="K39" s="50"/>
      <c r="L39" s="50"/>
      <c r="M39" s="50"/>
      <c r="N39" s="50"/>
      <c r="O39" s="50"/>
      <c r="P39" s="50"/>
      <c r="X39" s="50" t="s">
        <v>351</v>
      </c>
      <c r="Y39" s="50"/>
      <c r="Z39" s="50"/>
      <c r="AA39" s="50"/>
      <c r="AB39" s="50"/>
      <c r="AC39" s="50"/>
      <c r="AD39" s="50"/>
      <c r="AF39" s="50" t="s">
        <v>351</v>
      </c>
      <c r="AG39" s="50"/>
      <c r="AH39" s="50"/>
      <c r="AI39" s="50"/>
      <c r="AJ39" s="50"/>
      <c r="AK39" s="50"/>
      <c r="AL39" s="50"/>
    </row>
    <row r="40" spans="2:38" ht="15">
      <c r="B40" s="830" t="str">
        <f>'Market Size'!R40</f>
        <v>Base Case Units Shipped by Efficiency Level - Manufactured Homes</v>
      </c>
      <c r="C40" s="831"/>
      <c r="D40" s="831"/>
      <c r="E40" s="831"/>
      <c r="F40" s="831"/>
      <c r="G40" s="831"/>
      <c r="H40" s="832"/>
      <c r="J40" s="830" t="str">
        <f>'Market Size'!Z40</f>
        <v>Efficient Case Units Shipped by Efficiency Level - Manufactured Homes</v>
      </c>
      <c r="K40" s="831"/>
      <c r="L40" s="831"/>
      <c r="M40" s="831"/>
      <c r="N40" s="831"/>
      <c r="O40" s="831"/>
      <c r="P40" s="832"/>
      <c r="R40" s="56" t="str">
        <f>'Input and Scenario Summary'!B38</f>
        <v>Manufactured Homes - Upgrades</v>
      </c>
      <c r="S40" s="57"/>
      <c r="T40" s="57"/>
      <c r="U40" s="57"/>
      <c r="V40" s="58"/>
      <c r="X40" s="830" t="s">
        <v>369</v>
      </c>
      <c r="Y40" s="831"/>
      <c r="Z40" s="831"/>
      <c r="AA40" s="831"/>
      <c r="AB40" s="831"/>
      <c r="AC40" s="831"/>
      <c r="AD40" s="832"/>
      <c r="AF40" s="830" t="s">
        <v>370</v>
      </c>
      <c r="AG40" s="831"/>
      <c r="AH40" s="831"/>
      <c r="AI40" s="831"/>
      <c r="AJ40" s="831"/>
      <c r="AK40" s="831"/>
      <c r="AL40" s="832"/>
    </row>
    <row r="41" spans="2:38" ht="15">
      <c r="B41" s="404" t="str">
        <f>'Market Size'!R41</f>
        <v>Unit Type</v>
      </c>
      <c r="C41" s="405" t="str">
        <f>'Market Size'!S41</f>
        <v>Efficiency Level</v>
      </c>
      <c r="D41" s="406">
        <f>'Market Size'!T41</f>
        <v>2010</v>
      </c>
      <c r="E41" s="406">
        <f>'Market Size'!U41</f>
        <v>2011</v>
      </c>
      <c r="F41" s="406">
        <f>'Market Size'!V41</f>
        <v>2012</v>
      </c>
      <c r="G41" s="406">
        <f>'Market Size'!W41</f>
        <v>2013</v>
      </c>
      <c r="H41" s="414">
        <f>'Market Size'!X41</f>
        <v>2014</v>
      </c>
      <c r="J41" s="404" t="str">
        <f>'Market Size'!Z41</f>
        <v>Unit Type</v>
      </c>
      <c r="K41" s="405" t="str">
        <f>'Market Size'!AA41</f>
        <v>Efficiency Level</v>
      </c>
      <c r="L41" s="406">
        <f>'Market Size'!AB41</f>
        <v>2010</v>
      </c>
      <c r="M41" s="406">
        <f>'Market Size'!AC41</f>
        <v>2011</v>
      </c>
      <c r="N41" s="406">
        <f>'Market Size'!AD41</f>
        <v>2012</v>
      </c>
      <c r="O41" s="406">
        <f>'Market Size'!AE41</f>
        <v>2013</v>
      </c>
      <c r="P41" s="414">
        <f>'Market Size'!AF41</f>
        <v>2014</v>
      </c>
      <c r="R41" s="446" t="str">
        <f>'Input and Scenario Summary'!B39</f>
        <v>Heating Zone</v>
      </c>
      <c r="S41" s="449">
        <f>'Input and Scenario Summary'!C39</f>
        <v>1</v>
      </c>
      <c r="T41" s="449">
        <f>'Input and Scenario Summary'!D39</f>
        <v>2</v>
      </c>
      <c r="U41" s="449">
        <f>'Input and Scenario Summary'!E39</f>
        <v>3</v>
      </c>
      <c r="V41" s="450" t="str">
        <f>'Input and Scenario Summary'!F39</f>
        <v>PNW Region</v>
      </c>
      <c r="X41" s="404" t="s">
        <v>301</v>
      </c>
      <c r="Y41" s="405" t="s">
        <v>310</v>
      </c>
      <c r="Z41" s="406">
        <v>2010</v>
      </c>
      <c r="AA41" s="406">
        <v>2011</v>
      </c>
      <c r="AB41" s="406">
        <v>2012</v>
      </c>
      <c r="AC41" s="406">
        <v>2013</v>
      </c>
      <c r="AD41" s="414">
        <v>2014</v>
      </c>
      <c r="AF41" s="404" t="s">
        <v>301</v>
      </c>
      <c r="AG41" s="405" t="s">
        <v>310</v>
      </c>
      <c r="AH41" s="406">
        <v>2010</v>
      </c>
      <c r="AI41" s="406">
        <v>2011</v>
      </c>
      <c r="AJ41" s="406">
        <v>2012</v>
      </c>
      <c r="AK41" s="406">
        <v>2013</v>
      </c>
      <c r="AL41" s="414">
        <v>2014</v>
      </c>
    </row>
    <row r="42" spans="2:38" ht="15">
      <c r="B42" s="415" t="str">
        <f>'Market Size'!R42</f>
        <v>Forced Air Furnace</v>
      </c>
      <c r="C42" s="416" t="str">
        <f>'Market Size'!S42</f>
        <v>n/a</v>
      </c>
      <c r="D42" s="407">
        <f ca="1">'Market Size'!T42</f>
        <v>0</v>
      </c>
      <c r="E42" s="407">
        <f ca="1">'Market Size'!U42</f>
        <v>0</v>
      </c>
      <c r="F42" s="407">
        <f ca="1">'Market Size'!V42</f>
        <v>0</v>
      </c>
      <c r="G42" s="407">
        <f ca="1">'Market Size'!W42</f>
        <v>0</v>
      </c>
      <c r="H42" s="421">
        <f ca="1">'Market Size'!X42</f>
        <v>0</v>
      </c>
      <c r="J42" s="415" t="str">
        <f>'Market Size'!Z42</f>
        <v>Forced Air Furnace</v>
      </c>
      <c r="K42" s="416" t="str">
        <f>'Market Size'!AA42</f>
        <v>n/a</v>
      </c>
      <c r="L42" s="407">
        <f ca="1">'Market Size'!AB42</f>
        <v>0</v>
      </c>
      <c r="M42" s="407">
        <f ca="1">'Market Size'!AC42</f>
        <v>0</v>
      </c>
      <c r="N42" s="407">
        <f ca="1">'Market Size'!AD42</f>
        <v>0</v>
      </c>
      <c r="O42" s="407">
        <f ca="1">'Market Size'!AE42</f>
        <v>0</v>
      </c>
      <c r="P42" s="421">
        <f ca="1">'Market Size'!AF42</f>
        <v>0</v>
      </c>
      <c r="R42" s="447" t="str">
        <f>'Input and Scenario Summary'!B40</f>
        <v>Electric FAF</v>
      </c>
      <c r="S42" s="65">
        <f>'Input and Scenario Summary'!C40</f>
        <v>0</v>
      </c>
      <c r="T42" s="65">
        <f>'Input and Scenario Summary'!D40</f>
        <v>0</v>
      </c>
      <c r="U42" s="65">
        <f>'Input and Scenario Summary'!E40</f>
        <v>0</v>
      </c>
      <c r="V42" s="66">
        <f>'Input and Scenario Summary'!F40</f>
        <v>0</v>
      </c>
      <c r="X42" s="415" t="s">
        <v>130</v>
      </c>
      <c r="Y42" s="416" t="s">
        <v>129</v>
      </c>
      <c r="Z42" s="407">
        <f aca="true" t="shared" si="12" ref="Z42:AD49">D42*$V42</f>
        <v>0</v>
      </c>
      <c r="AA42" s="407">
        <f ca="1" t="shared" si="12"/>
        <v>0</v>
      </c>
      <c r="AB42" s="407">
        <f ca="1" t="shared" si="12"/>
        <v>0</v>
      </c>
      <c r="AC42" s="407">
        <f ca="1" t="shared" si="12"/>
        <v>0</v>
      </c>
      <c r="AD42" s="421">
        <f ca="1" t="shared" si="12"/>
        <v>0</v>
      </c>
      <c r="AF42" s="415" t="s">
        <v>130</v>
      </c>
      <c r="AG42" s="416" t="s">
        <v>129</v>
      </c>
      <c r="AH42" s="407">
        <f aca="true" t="shared" si="13" ref="AH42:AL49">L42*$V42</f>
        <v>0</v>
      </c>
      <c r="AI42" s="407">
        <f ca="1" t="shared" si="13"/>
        <v>0</v>
      </c>
      <c r="AJ42" s="407">
        <f ca="1" t="shared" si="13"/>
        <v>0</v>
      </c>
      <c r="AK42" s="407">
        <f ca="1" t="shared" si="13"/>
        <v>0</v>
      </c>
      <c r="AL42" s="421">
        <f ca="1" t="shared" si="13"/>
        <v>0</v>
      </c>
    </row>
    <row r="43" spans="2:38" ht="15">
      <c r="B43" s="417" t="str">
        <f>'Market Size'!R43</f>
        <v>Air Source Heat Pump</v>
      </c>
      <c r="C43" s="418" t="str">
        <f>'Market Size'!S43</f>
        <v>HSPF_7.7</v>
      </c>
      <c r="D43" s="407">
        <f ca="1">'Market Size'!T43</f>
        <v>2401.4813866100294</v>
      </c>
      <c r="E43" s="407">
        <f ca="1">'Market Size'!U43</f>
        <v>2592.1208093429054</v>
      </c>
      <c r="F43" s="407">
        <f ca="1">'Market Size'!V43</f>
        <v>2797.0091381405864</v>
      </c>
      <c r="G43" s="407">
        <f ca="1">'Market Size'!W43</f>
        <v>3072.254985768978</v>
      </c>
      <c r="H43" s="421">
        <f ca="1">'Market Size'!X43</f>
        <v>3254.026570352391</v>
      </c>
      <c r="J43" s="417" t="str">
        <f>'Market Size'!Z43</f>
        <v>Air Source Heat Pump</v>
      </c>
      <c r="K43" s="418" t="str">
        <f>'Market Size'!AA43</f>
        <v>HSPF_7.7</v>
      </c>
      <c r="L43" s="407">
        <f ca="1">'Market Size'!AB43</f>
        <v>942.3234592688679</v>
      </c>
      <c r="M43" s="407">
        <f ca="1">'Market Size'!AC43</f>
        <v>1079.9154782952212</v>
      </c>
      <c r="N43" s="407">
        <f ca="1">'Market Size'!AD43</f>
        <v>1142.41778119673</v>
      </c>
      <c r="O43" s="407">
        <f ca="1">'Market Size'!AE43</f>
        <v>1258.6556358077792</v>
      </c>
      <c r="P43" s="421">
        <f ca="1">'Market Size'!AF43</f>
        <v>1317.662810258904</v>
      </c>
      <c r="R43" s="447" t="str">
        <f>'Input and Scenario Summary'!B41</f>
        <v>HSPF 7.7</v>
      </c>
      <c r="S43" s="51">
        <f>'Input and Scenario Summary'!C41</f>
        <v>5270.312062329025</v>
      </c>
      <c r="T43" s="51">
        <f>'Input and Scenario Summary'!D41</f>
        <v>7648.522804337056</v>
      </c>
      <c r="U43" s="51">
        <f>'Input and Scenario Summary'!E41</f>
        <v>8907.623614132292</v>
      </c>
      <c r="V43" s="60">
        <f>'Input and Scenario Summary'!F41</f>
        <v>6363.910415407944</v>
      </c>
      <c r="X43" s="417" t="s">
        <v>56</v>
      </c>
      <c r="Y43" s="418" t="s">
        <v>302</v>
      </c>
      <c r="Z43" s="407">
        <f ca="1" t="shared" si="12"/>
        <v>15282812.408655878</v>
      </c>
      <c r="AA43" s="407">
        <f ca="1" t="shared" si="12"/>
        <v>16496024.616572985</v>
      </c>
      <c r="AB43" s="407">
        <f ca="1" t="shared" si="12"/>
        <v>17799915.586204074</v>
      </c>
      <c r="AC43" s="407">
        <f ca="1" t="shared" si="12"/>
        <v>19551555.50272418</v>
      </c>
      <c r="AD43" s="421">
        <f ca="1" t="shared" si="12"/>
        <v>20708333.583079774</v>
      </c>
      <c r="AF43" s="417" t="s">
        <v>56</v>
      </c>
      <c r="AG43" s="418" t="s">
        <v>302</v>
      </c>
      <c r="AH43" s="407">
        <f ca="1" t="shared" si="13"/>
        <v>5996862.077124392</v>
      </c>
      <c r="AI43" s="407">
        <f ca="1" t="shared" si="13"/>
        <v>6872485.360083209</v>
      </c>
      <c r="AJ43" s="407">
        <f ca="1" t="shared" si="13"/>
        <v>7270244.416505104</v>
      </c>
      <c r="AK43" s="407">
        <f ca="1" t="shared" si="13"/>
        <v>8009971.710129034</v>
      </c>
      <c r="AL43" s="421">
        <f ca="1" t="shared" si="13"/>
        <v>8385488.082202341</v>
      </c>
    </row>
    <row r="44" spans="2:38" ht="15">
      <c r="B44" s="417" t="str">
        <f>'Market Size'!R44</f>
        <v>Air Source Heat Pump</v>
      </c>
      <c r="C44" s="418" t="str">
        <f>'Market Size'!S44</f>
        <v>HSPF_8.5</v>
      </c>
      <c r="D44" s="407">
        <f ca="1">'Market Size'!T44</f>
        <v>282.5272219541211</v>
      </c>
      <c r="E44" s="407">
        <f ca="1">'Market Size'!U44</f>
        <v>304.9553893344595</v>
      </c>
      <c r="F44" s="407">
        <f ca="1">'Market Size'!V44</f>
        <v>329.0598986047749</v>
      </c>
      <c r="G44" s="407">
        <f ca="1">'Market Size'!W44</f>
        <v>361.4417630316445</v>
      </c>
      <c r="H44" s="421">
        <f ca="1">'Market Size'!X44</f>
        <v>382.8266553355754</v>
      </c>
      <c r="J44" s="417" t="str">
        <f>'Market Size'!Z44</f>
        <v>Air Source Heat Pump</v>
      </c>
      <c r="K44" s="418" t="str">
        <f>'Market Size'!AA44</f>
        <v>HSPF_8.5</v>
      </c>
      <c r="L44" s="407">
        <f ca="1">'Market Size'!AB44</f>
        <v>1314.0657413657607</v>
      </c>
      <c r="M44" s="407">
        <f ca="1">'Market Size'!AC44</f>
        <v>1467.1161935866974</v>
      </c>
      <c r="N44" s="407">
        <f ca="1">'Market Size'!AD44</f>
        <v>1600.3468974264572</v>
      </c>
      <c r="O44" s="407">
        <f ca="1">'Market Size'!AE44</f>
        <v>1704.0135124138617</v>
      </c>
      <c r="P44" s="421">
        <f ca="1">'Market Size'!AF44</f>
        <v>1813.7511150277282</v>
      </c>
      <c r="R44" s="447" t="str">
        <f>'Input and Scenario Summary'!B42</f>
        <v>HSPF 8.5</v>
      </c>
      <c r="S44" s="51">
        <f>'Input and Scenario Summary'!C42</f>
        <v>4966.561161739183</v>
      </c>
      <c r="T44" s="51">
        <f>'Input and Scenario Summary'!D42</f>
        <v>7333.24384513514</v>
      </c>
      <c r="U44" s="51">
        <f>'Input and Scenario Summary'!E42</f>
        <v>8615.880029776119</v>
      </c>
      <c r="V44" s="60">
        <f>'Input and Scenario Summary'!F42</f>
        <v>6057.867447853378</v>
      </c>
      <c r="X44" s="417" t="s">
        <v>56</v>
      </c>
      <c r="Y44" s="418" t="s">
        <v>303</v>
      </c>
      <c r="Z44" s="407">
        <f ca="1" t="shared" si="12"/>
        <v>1711512.4610083164</v>
      </c>
      <c r="AA44" s="407">
        <f ca="1" t="shared" si="12"/>
        <v>1847379.3260966751</v>
      </c>
      <c r="AB44" s="407">
        <f ca="1" t="shared" si="12"/>
        <v>1993401.248151799</v>
      </c>
      <c r="AC44" s="407">
        <f ca="1" t="shared" si="12"/>
        <v>2189566.2905641333</v>
      </c>
      <c r="AD44" s="421">
        <f ca="1" t="shared" si="12"/>
        <v>2319113.1335279667</v>
      </c>
      <c r="AF44" s="417" t="s">
        <v>56</v>
      </c>
      <c r="AG44" s="418" t="s">
        <v>303</v>
      </c>
      <c r="AH44" s="407">
        <f ca="1" t="shared" si="13"/>
        <v>7960436.078958957</v>
      </c>
      <c r="AI44" s="407">
        <f ca="1" t="shared" si="13"/>
        <v>8887595.431347407</v>
      </c>
      <c r="AJ44" s="407">
        <f ca="1" t="shared" si="13"/>
        <v>9694689.375192882</v>
      </c>
      <c r="AK44" s="407">
        <f ca="1" t="shared" si="13"/>
        <v>10322687.98755423</v>
      </c>
      <c r="AL44" s="421">
        <f ca="1" t="shared" si="13"/>
        <v>10987463.838234242</v>
      </c>
    </row>
    <row r="45" spans="2:38" ht="12.75">
      <c r="B45" s="417" t="str">
        <f>'Market Size'!R45</f>
        <v>Air Source Heat Pump</v>
      </c>
      <c r="C45" s="418" t="str">
        <f>'Market Size'!S45</f>
        <v>HSPF_9.0</v>
      </c>
      <c r="D45" s="407">
        <f ca="1">'Market Size'!T45</f>
        <v>141.26361097706055</v>
      </c>
      <c r="E45" s="407">
        <f ca="1">'Market Size'!U45</f>
        <v>152.47769466722974</v>
      </c>
      <c r="F45" s="407">
        <f ca="1">'Market Size'!V45</f>
        <v>164.52994930238745</v>
      </c>
      <c r="G45" s="407">
        <f ca="1">'Market Size'!W45</f>
        <v>180.72088151582224</v>
      </c>
      <c r="H45" s="421">
        <f ca="1">'Market Size'!X45</f>
        <v>191.4133276677877</v>
      </c>
      <c r="J45" s="417" t="str">
        <f>'Market Size'!Z45</f>
        <v>Air Source Heat Pump</v>
      </c>
      <c r="K45" s="418" t="str">
        <f>'Market Size'!AA45</f>
        <v>HSPF_9.0</v>
      </c>
      <c r="L45" s="407">
        <f ca="1">'Market Size'!AB45</f>
        <v>161.17065718818776</v>
      </c>
      <c r="M45" s="407">
        <f ca="1">'Market Size'!AC45</f>
        <v>163.6778940805005</v>
      </c>
      <c r="N45" s="407">
        <f ca="1">'Market Size'!AD45</f>
        <v>164.56588071739125</v>
      </c>
      <c r="O45" s="407">
        <f ca="1">'Market Size'!AE45</f>
        <v>250.99524739636462</v>
      </c>
      <c r="P45" s="421">
        <f ca="1">'Market Size'!AF45</f>
        <v>275.4975904764102</v>
      </c>
      <c r="R45" s="447" t="str">
        <f>'Input and Scenario Summary'!B43</f>
        <v>HSPF 9.0</v>
      </c>
      <c r="S45" s="51">
        <f>'Input and Scenario Summary'!C43</f>
        <v>4849.7863381958105</v>
      </c>
      <c r="T45" s="51">
        <f>'Input and Scenario Summary'!D43</f>
        <v>7237.92836478566</v>
      </c>
      <c r="U45" s="51">
        <f>'Input and Scenario Summary'!E43</f>
        <v>8537.21441172313</v>
      </c>
      <c r="V45" s="60">
        <f>'Input and Scenario Summary'!F43</f>
        <v>5951.497419748793</v>
      </c>
      <c r="X45" s="417" t="s">
        <v>56</v>
      </c>
      <c r="Y45" s="418" t="s">
        <v>304</v>
      </c>
      <c r="Z45" s="407">
        <f ca="1" t="shared" si="12"/>
        <v>840730.0162343731</v>
      </c>
      <c r="AA45" s="407">
        <f ca="1" t="shared" si="12"/>
        <v>907470.6063812621</v>
      </c>
      <c r="AB45" s="407">
        <f ca="1" t="shared" si="12"/>
        <v>979199.5687445586</v>
      </c>
      <c r="AC45" s="407">
        <f ca="1" t="shared" si="12"/>
        <v>1075559.8600361433</v>
      </c>
      <c r="AD45" s="421">
        <f ca="1" t="shared" si="12"/>
        <v>1139195.9257203687</v>
      </c>
      <c r="AF45" s="417" t="s">
        <v>56</v>
      </c>
      <c r="AG45" s="418" t="s">
        <v>304</v>
      </c>
      <c r="AH45" s="407">
        <f ca="1" t="shared" si="13"/>
        <v>959206.7503947166</v>
      </c>
      <c r="AI45" s="407">
        <f ca="1" t="shared" si="13"/>
        <v>974128.5642900149</v>
      </c>
      <c r="AJ45" s="407">
        <f ca="1" t="shared" si="13"/>
        <v>979413.4144682416</v>
      </c>
      <c r="AK45" s="407">
        <f ca="1" t="shared" si="13"/>
        <v>1493797.5672486739</v>
      </c>
      <c r="AL45" s="421">
        <f ca="1" t="shared" si="13"/>
        <v>1639623.198867365</v>
      </c>
    </row>
    <row r="46" spans="2:38" ht="12.75">
      <c r="B46" s="417" t="str">
        <f>'Market Size'!R46</f>
        <v>Air Source Heat Pump</v>
      </c>
      <c r="C46" s="418" t="str">
        <f>'Market Size'!S46</f>
        <v>HSPF_9.5</v>
      </c>
      <c r="D46" s="407">
        <f ca="1">'Market Size'!T46</f>
        <v>0</v>
      </c>
      <c r="E46" s="407">
        <f ca="1">'Market Size'!U46</f>
        <v>0</v>
      </c>
      <c r="F46" s="407">
        <f ca="1">'Market Size'!V46</f>
        <v>0</v>
      </c>
      <c r="G46" s="407">
        <f ca="1">'Market Size'!W46</f>
        <v>0</v>
      </c>
      <c r="H46" s="421">
        <f ca="1">'Market Size'!X46</f>
        <v>0</v>
      </c>
      <c r="J46" s="417" t="str">
        <f>'Market Size'!Z46</f>
        <v>Air Source Heat Pump</v>
      </c>
      <c r="K46" s="418" t="str">
        <f>'Market Size'!AA46</f>
        <v>HSPF_9.5</v>
      </c>
      <c r="L46" s="407">
        <f ca="1">'Market Size'!AB46</f>
        <v>161.17065718818776</v>
      </c>
      <c r="M46" s="407">
        <f ca="1">'Market Size'!AC46</f>
        <v>163.6778940805005</v>
      </c>
      <c r="N46" s="407">
        <f ca="1">'Market Size'!AD46</f>
        <v>164.56588071739125</v>
      </c>
      <c r="O46" s="407">
        <f ca="1">'Market Size'!AE46</f>
        <v>250.99524739636462</v>
      </c>
      <c r="P46" s="421">
        <f ca="1">'Market Size'!AF46</f>
        <v>275.4975904764102</v>
      </c>
      <c r="R46" s="447" t="str">
        <f>'Input and Scenario Summary'!B44</f>
        <v>HSPF 9.5</v>
      </c>
      <c r="S46" s="51">
        <f>'Input and Scenario Summary'!C44</f>
        <v>4735.113899670485</v>
      </c>
      <c r="T46" s="51">
        <f>'Input and Scenario Summary'!D44</f>
        <v>7147.662622881522</v>
      </c>
      <c r="U46" s="51">
        <f>'Input and Scenario Summary'!E44</f>
        <v>8464.456807980445</v>
      </c>
      <c r="V46" s="60">
        <f>'Input and Scenario Summary'!F44</f>
        <v>5848.513806060644</v>
      </c>
      <c r="X46" s="417" t="s">
        <v>56</v>
      </c>
      <c r="Y46" s="418" t="s">
        <v>305</v>
      </c>
      <c r="Z46" s="407">
        <f ca="1" t="shared" si="12"/>
        <v>0</v>
      </c>
      <c r="AA46" s="407">
        <f ca="1" t="shared" si="12"/>
        <v>0</v>
      </c>
      <c r="AB46" s="407">
        <f ca="1" t="shared" si="12"/>
        <v>0</v>
      </c>
      <c r="AC46" s="407">
        <f ca="1" t="shared" si="12"/>
        <v>0</v>
      </c>
      <c r="AD46" s="421">
        <f ca="1" t="shared" si="12"/>
        <v>0</v>
      </c>
      <c r="AF46" s="417" t="s">
        <v>56</v>
      </c>
      <c r="AG46" s="418" t="s">
        <v>305</v>
      </c>
      <c r="AH46" s="407">
        <f ca="1" t="shared" si="13"/>
        <v>942608.8136969833</v>
      </c>
      <c r="AI46" s="407">
        <f ca="1" t="shared" si="13"/>
        <v>957272.423276739</v>
      </c>
      <c r="AJ46" s="407">
        <f ca="1" t="shared" si="13"/>
        <v>962465.8253821919</v>
      </c>
      <c r="AK46" s="407">
        <f ca="1" t="shared" si="13"/>
        <v>1467949.1696532455</v>
      </c>
      <c r="AL46" s="421">
        <f ca="1" t="shared" si="13"/>
        <v>1611251.4614377266</v>
      </c>
    </row>
    <row r="47" spans="2:38" ht="12.75">
      <c r="B47" s="417" t="str">
        <f>'Market Size'!R47</f>
        <v>Air Source Heat Pump</v>
      </c>
      <c r="C47" s="418" t="str">
        <f>'Market Size'!S47</f>
        <v>HSPF_10.0</v>
      </c>
      <c r="D47" s="407">
        <f ca="1">'Market Size'!T47</f>
        <v>0</v>
      </c>
      <c r="E47" s="407">
        <f ca="1">'Market Size'!U47</f>
        <v>0</v>
      </c>
      <c r="F47" s="407">
        <f ca="1">'Market Size'!V47</f>
        <v>0</v>
      </c>
      <c r="G47" s="407">
        <f ca="1">'Market Size'!W47</f>
        <v>0</v>
      </c>
      <c r="H47" s="421">
        <f ca="1">'Market Size'!X47</f>
        <v>0</v>
      </c>
      <c r="J47" s="417" t="str">
        <f>'Market Size'!Z47</f>
        <v>Air Source Heat Pump</v>
      </c>
      <c r="K47" s="418" t="str">
        <f>'Market Size'!AA47</f>
        <v>HSPF_10.0</v>
      </c>
      <c r="L47" s="407">
        <f ca="1">'Market Size'!AB47</f>
        <v>70.85951307411703</v>
      </c>
      <c r="M47" s="407">
        <f ca="1">'Market Size'!AC47</f>
        <v>45.14320117496876</v>
      </c>
      <c r="N47" s="407">
        <f ca="1">'Market Size'!AD47</f>
        <v>47.18992503832035</v>
      </c>
      <c r="O47" s="407">
        <f ca="1">'Market Size'!AE47</f>
        <v>10.112967533329735</v>
      </c>
      <c r="P47" s="421">
        <f ca="1">'Market Size'!AF47</f>
        <v>26.930552904222765</v>
      </c>
      <c r="R47" s="447" t="str">
        <f>'Input and Scenario Summary'!B45</f>
        <v>HSPF 10.0</v>
      </c>
      <c r="S47" s="51">
        <f>'Input and Scenario Summary'!C45</f>
        <v>4622.387888576243</v>
      </c>
      <c r="T47" s="51">
        <f>'Input and Scenario Summary'!D45</f>
        <v>7062.666572132966</v>
      </c>
      <c r="U47" s="51">
        <f>'Input and Scenario Summary'!E45</f>
        <v>8398.17378719264</v>
      </c>
      <c r="V47" s="60">
        <f>'Input and Scenario Summary'!F45</f>
        <v>5748.948492564727</v>
      </c>
      <c r="X47" s="417" t="s">
        <v>56</v>
      </c>
      <c r="Y47" s="418" t="s">
        <v>306</v>
      </c>
      <c r="Z47" s="407">
        <f ca="1" t="shared" si="12"/>
        <v>0</v>
      </c>
      <c r="AA47" s="407">
        <f ca="1" t="shared" si="12"/>
        <v>0</v>
      </c>
      <c r="AB47" s="407">
        <f ca="1" t="shared" si="12"/>
        <v>0</v>
      </c>
      <c r="AC47" s="407">
        <f ca="1" t="shared" si="12"/>
        <v>0</v>
      </c>
      <c r="AD47" s="421">
        <f ca="1" t="shared" si="12"/>
        <v>0</v>
      </c>
      <c r="AF47" s="417" t="s">
        <v>56</v>
      </c>
      <c r="AG47" s="418" t="s">
        <v>306</v>
      </c>
      <c r="AH47" s="407">
        <f ca="1" t="shared" si="13"/>
        <v>407367.69087131566</v>
      </c>
      <c r="AI47" s="407">
        <f ca="1" t="shared" si="13"/>
        <v>259525.93834438286</v>
      </c>
      <c r="AJ47" s="407">
        <f ca="1" t="shared" si="13"/>
        <v>271292.4484132942</v>
      </c>
      <c r="AK47" s="407">
        <f ca="1" t="shared" si="13"/>
        <v>58138.929456092</v>
      </c>
      <c r="AL47" s="421">
        <f ca="1" t="shared" si="13"/>
        <v>154822.3615226661</v>
      </c>
    </row>
    <row r="48" spans="2:38" ht="12.75">
      <c r="B48" s="417" t="str">
        <f>'Market Size'!R48</f>
        <v>Air Source Heat Pump</v>
      </c>
      <c r="C48" s="418" t="str">
        <f>'Market Size'!S48</f>
        <v>HSPF_10.5</v>
      </c>
      <c r="D48" s="407">
        <f ca="1">'Market Size'!T48</f>
        <v>0</v>
      </c>
      <c r="E48" s="407">
        <f ca="1">'Market Size'!U48</f>
        <v>0</v>
      </c>
      <c r="F48" s="407">
        <f ca="1">'Market Size'!V48</f>
        <v>0</v>
      </c>
      <c r="G48" s="407">
        <f ca="1">'Market Size'!W48</f>
        <v>0</v>
      </c>
      <c r="H48" s="421">
        <f ca="1">'Market Size'!X48</f>
        <v>0</v>
      </c>
      <c r="J48" s="417" t="str">
        <f>'Market Size'!Z48</f>
        <v>Air Source Heat Pump</v>
      </c>
      <c r="K48" s="418" t="str">
        <f>'Market Size'!AA48</f>
        <v>HSPF_10.5</v>
      </c>
      <c r="L48" s="407">
        <f ca="1">'Market Size'!AB48</f>
        <v>70.85951307411703</v>
      </c>
      <c r="M48" s="407">
        <f ca="1">'Market Size'!AC48</f>
        <v>45.14320117496876</v>
      </c>
      <c r="N48" s="407">
        <f ca="1">'Market Size'!AD48</f>
        <v>47.18992503832035</v>
      </c>
      <c r="O48" s="407">
        <f ca="1">'Market Size'!AE48</f>
        <v>10.112967533329735</v>
      </c>
      <c r="P48" s="421">
        <f ca="1">'Market Size'!AF48</f>
        <v>26.930552904222765</v>
      </c>
      <c r="R48" s="447" t="str">
        <f>'Input and Scenario Summary'!B46</f>
        <v>HSPF 10.5</v>
      </c>
      <c r="S48" s="51">
        <f>'Input and Scenario Summary'!C46</f>
        <v>4511.521743932174</v>
      </c>
      <c r="T48" s="51">
        <f>'Input and Scenario Summary'!D46</f>
        <v>6982.702918207201</v>
      </c>
      <c r="U48" s="51">
        <f>'Input and Scenario Summary'!E46</f>
        <v>8338.535920168688</v>
      </c>
      <c r="V48" s="60">
        <f>'Input and Scenario Summary'!F46</f>
        <v>5652.695114395281</v>
      </c>
      <c r="X48" s="417" t="s">
        <v>56</v>
      </c>
      <c r="Y48" s="418" t="s">
        <v>307</v>
      </c>
      <c r="Z48" s="407">
        <f ca="1" t="shared" si="12"/>
        <v>0</v>
      </c>
      <c r="AA48" s="407">
        <f ca="1" t="shared" si="12"/>
        <v>0</v>
      </c>
      <c r="AB48" s="407">
        <f ca="1" t="shared" si="12"/>
        <v>0</v>
      </c>
      <c r="AC48" s="407">
        <f ca="1" t="shared" si="12"/>
        <v>0</v>
      </c>
      <c r="AD48" s="421">
        <f ca="1" t="shared" si="12"/>
        <v>0</v>
      </c>
      <c r="AF48" s="417" t="s">
        <v>56</v>
      </c>
      <c r="AG48" s="418" t="s">
        <v>307</v>
      </c>
      <c r="AH48" s="407">
        <f ca="1" t="shared" si="13"/>
        <v>400547.2233624899</v>
      </c>
      <c r="AI48" s="407">
        <f ca="1" t="shared" si="13"/>
        <v>255180.7527299092</v>
      </c>
      <c r="AJ48" s="407">
        <f ca="1" t="shared" si="13"/>
        <v>266750.25871279294</v>
      </c>
      <c r="AK48" s="407">
        <f ca="1" t="shared" si="13"/>
        <v>57165.52216769109</v>
      </c>
      <c r="AL48" s="421">
        <f ca="1" t="shared" si="13"/>
        <v>152230.20482966368</v>
      </c>
    </row>
    <row r="49" spans="2:38" ht="15.75" thickBot="1">
      <c r="B49" s="419" t="str">
        <f>'Market Size'!R49</f>
        <v>Air Source Heat Pump</v>
      </c>
      <c r="C49" s="420" t="str">
        <f>'Market Size'!S49</f>
        <v>HSPF_11.5</v>
      </c>
      <c r="D49" s="422">
        <f ca="1">'Market Size'!T49</f>
        <v>0</v>
      </c>
      <c r="E49" s="422">
        <f ca="1">'Market Size'!U49</f>
        <v>0</v>
      </c>
      <c r="F49" s="422">
        <f ca="1">'Market Size'!V49</f>
        <v>0</v>
      </c>
      <c r="G49" s="422">
        <f ca="1">'Market Size'!W49</f>
        <v>0</v>
      </c>
      <c r="H49" s="423">
        <f ca="1">'Market Size'!X49</f>
        <v>0</v>
      </c>
      <c r="J49" s="419" t="str">
        <f>'Market Size'!Z49</f>
        <v>Air Source Heat Pump</v>
      </c>
      <c r="K49" s="420" t="str">
        <f>'Market Size'!AA49</f>
        <v>HSPF_11.5</v>
      </c>
      <c r="L49" s="422">
        <f ca="1">'Market Size'!AB49</f>
        <v>104.8226783819727</v>
      </c>
      <c r="M49" s="422">
        <f ca="1">'Market Size'!AC49</f>
        <v>84.88003095173767</v>
      </c>
      <c r="N49" s="422">
        <f ca="1">'Market Size'!AD49</f>
        <v>124.32269591313836</v>
      </c>
      <c r="O49" s="422">
        <f ca="1">'Market Size'!AE49</f>
        <v>129.5320522354149</v>
      </c>
      <c r="P49" s="423">
        <f ca="1">'Market Size'!AF49</f>
        <v>91.99634130785587</v>
      </c>
      <c r="R49" s="448" t="str">
        <f>'Input and Scenario Summary'!B47</f>
        <v>HSPF 11.5</v>
      </c>
      <c r="S49" s="63">
        <f>'Input and Scenario Summary'!C47</f>
        <v>4295.466493429467</v>
      </c>
      <c r="T49" s="63">
        <f>'Input and Scenario Summary'!D47</f>
        <v>6838.570504079946</v>
      </c>
      <c r="U49" s="63">
        <f>'Input and Scenario Summary'!E47</f>
        <v>8237.557584525159</v>
      </c>
      <c r="V49" s="52">
        <f>'Input and Scenario Summary'!F47</f>
        <v>5470.228231809887</v>
      </c>
      <c r="X49" s="419" t="s">
        <v>56</v>
      </c>
      <c r="Y49" s="420" t="s">
        <v>308</v>
      </c>
      <c r="Z49" s="422">
        <f ca="1" t="shared" si="12"/>
        <v>0</v>
      </c>
      <c r="AA49" s="422">
        <f ca="1" t="shared" si="12"/>
        <v>0</v>
      </c>
      <c r="AB49" s="422">
        <f ca="1" t="shared" si="12"/>
        <v>0</v>
      </c>
      <c r="AC49" s="422">
        <f ca="1" t="shared" si="12"/>
        <v>0</v>
      </c>
      <c r="AD49" s="423">
        <f ca="1" t="shared" si="12"/>
        <v>0</v>
      </c>
      <c r="AF49" s="419" t="s">
        <v>56</v>
      </c>
      <c r="AG49" s="420" t="s">
        <v>308</v>
      </c>
      <c r="AH49" s="422">
        <f ca="1" t="shared" si="13"/>
        <v>573403.974618995</v>
      </c>
      <c r="AI49" s="422">
        <f ca="1" t="shared" si="13"/>
        <v>464313.1416290924</v>
      </c>
      <c r="AJ49" s="422">
        <f ca="1" t="shared" si="13"/>
        <v>680073.5210387651</v>
      </c>
      <c r="AK49" s="422">
        <f ca="1" t="shared" si="13"/>
        <v>708569.8890624396</v>
      </c>
      <c r="AL49" s="423">
        <f ca="1" t="shared" si="13"/>
        <v>503240.9834454513</v>
      </c>
    </row>
  </sheetData>
  <mergeCells count="38">
    <mergeCell ref="AV28:BB28"/>
    <mergeCell ref="AU2:AU3"/>
    <mergeCell ref="AV2:BB3"/>
    <mergeCell ref="AV4:BB4"/>
    <mergeCell ref="AV7:BB7"/>
    <mergeCell ref="AV14:BB14"/>
    <mergeCell ref="AV21:BB21"/>
    <mergeCell ref="AN7:AT7"/>
    <mergeCell ref="AN14:AT14"/>
    <mergeCell ref="AN21:AT21"/>
    <mergeCell ref="AN28:AT28"/>
    <mergeCell ref="X40:AD40"/>
    <mergeCell ref="X29:AD29"/>
    <mergeCell ref="X18:AD18"/>
    <mergeCell ref="X7:AD7"/>
    <mergeCell ref="AF7:AL7"/>
    <mergeCell ref="AF18:AL18"/>
    <mergeCell ref="AF29:AL29"/>
    <mergeCell ref="AF40:AL40"/>
    <mergeCell ref="B7:H7"/>
    <mergeCell ref="B18:H18"/>
    <mergeCell ref="B29:H29"/>
    <mergeCell ref="B40:H40"/>
    <mergeCell ref="J7:P7"/>
    <mergeCell ref="J18:P18"/>
    <mergeCell ref="J29:P29"/>
    <mergeCell ref="J40:P40"/>
    <mergeCell ref="AN2:AT3"/>
    <mergeCell ref="B4:P4"/>
    <mergeCell ref="R4:V4"/>
    <mergeCell ref="X4:AL4"/>
    <mergeCell ref="AN4:AT4"/>
    <mergeCell ref="B2:P3"/>
    <mergeCell ref="Q2:Q3"/>
    <mergeCell ref="R2:V3"/>
    <mergeCell ref="W2:W3"/>
    <mergeCell ref="X2:AL3"/>
    <mergeCell ref="AM2:AM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AD29"/>
  <sheetViews>
    <sheetView showGridLines="0" zoomScale="70" zoomScaleNormal="70" workbookViewId="0" topLeftCell="A1"/>
  </sheetViews>
  <sheetFormatPr defaultColWidth="9.140625" defaultRowHeight="12.75"/>
  <cols>
    <col min="1" max="1" width="2.57421875" style="44" customWidth="1"/>
    <col min="2" max="2" width="9.140625" style="44" customWidth="1"/>
    <col min="3" max="3" width="14.7109375" style="44" customWidth="1"/>
    <col min="4" max="8" width="12.7109375" style="44" customWidth="1"/>
    <col min="9" max="9" width="3.421875" style="44" customWidth="1"/>
    <col min="10" max="16384" width="9.140625" style="44" customWidth="1"/>
  </cols>
  <sheetData>
    <row r="2" spans="2:30" ht="12.75">
      <c r="B2" s="837" t="s">
        <v>356</v>
      </c>
      <c r="C2" s="837"/>
      <c r="D2" s="837"/>
      <c r="E2" s="837"/>
      <c r="F2" s="837"/>
      <c r="G2" s="837"/>
      <c r="H2" s="837"/>
      <c r="J2" s="837" t="s">
        <v>265</v>
      </c>
      <c r="K2" s="837"/>
      <c r="L2" s="837"/>
      <c r="M2" s="837"/>
      <c r="N2" s="837"/>
      <c r="O2" s="837"/>
      <c r="P2" s="837"/>
      <c r="Q2" s="859" t="s">
        <v>372</v>
      </c>
      <c r="R2" s="837" t="s">
        <v>268</v>
      </c>
      <c r="S2" s="837"/>
      <c r="T2" s="837"/>
      <c r="U2" s="837"/>
      <c r="V2" s="837"/>
      <c r="W2" s="837"/>
      <c r="X2" s="837"/>
      <c r="Y2" s="859" t="s">
        <v>216</v>
      </c>
      <c r="Z2" s="837" t="s">
        <v>263</v>
      </c>
      <c r="AA2" s="837"/>
      <c r="AB2" s="837"/>
      <c r="AC2" s="837"/>
      <c r="AD2" s="837"/>
    </row>
    <row r="3" spans="2:30" ht="12.75">
      <c r="B3" s="837"/>
      <c r="C3" s="837"/>
      <c r="D3" s="837"/>
      <c r="E3" s="837"/>
      <c r="F3" s="837"/>
      <c r="G3" s="837"/>
      <c r="H3" s="837"/>
      <c r="J3" s="837"/>
      <c r="K3" s="837"/>
      <c r="L3" s="837"/>
      <c r="M3" s="837"/>
      <c r="N3" s="837"/>
      <c r="O3" s="837"/>
      <c r="P3" s="837"/>
      <c r="Q3" s="859"/>
      <c r="R3" s="837"/>
      <c r="S3" s="837"/>
      <c r="T3" s="837"/>
      <c r="U3" s="837"/>
      <c r="V3" s="837"/>
      <c r="W3" s="837"/>
      <c r="X3" s="837"/>
      <c r="Y3" s="859"/>
      <c r="Z3" s="837"/>
      <c r="AA3" s="837"/>
      <c r="AB3" s="837"/>
      <c r="AC3" s="837"/>
      <c r="AD3" s="837"/>
    </row>
    <row r="4" spans="2:30" s="81" customFormat="1" ht="26.25" customHeight="1" thickBot="1">
      <c r="B4" s="838" t="str">
        <f>'Analysis Overview'!$C$15</f>
        <v>Total energy consumption (MWh/yr) in the market by market case. Calculation to remove the dimensionality of the 'Total Market Consumption' variable and convert to MWh</v>
      </c>
      <c r="C4" s="838"/>
      <c r="D4" s="838"/>
      <c r="E4" s="838"/>
      <c r="F4" s="838"/>
      <c r="G4" s="838"/>
      <c r="H4" s="838"/>
      <c r="J4" s="838" t="str">
        <f>'Analysis Overview'!$C$18</f>
        <v>Total energy consumption (MWh/yr) in the Sixth Plan Baseline market case</v>
      </c>
      <c r="K4" s="838"/>
      <c r="L4" s="838"/>
      <c r="M4" s="838"/>
      <c r="N4" s="838"/>
      <c r="O4" s="838"/>
      <c r="P4" s="838"/>
      <c r="Q4" s="82"/>
      <c r="R4" s="838" t="str">
        <f>'Analysis Overview'!$C$19</f>
        <v>Total energy consumption (MWh/yr) in the actual market case</v>
      </c>
      <c r="S4" s="838"/>
      <c r="T4" s="838"/>
      <c r="U4" s="838"/>
      <c r="V4" s="838"/>
      <c r="W4" s="838"/>
      <c r="X4" s="838"/>
      <c r="Z4" s="838" t="str">
        <f>'Analysis Overview'!$C$20</f>
        <v>Savings (MWh/yr) in the residential ASHP HVAC market by year</v>
      </c>
      <c r="AA4" s="838"/>
      <c r="AB4" s="838"/>
      <c r="AC4" s="838"/>
      <c r="AD4" s="838"/>
    </row>
    <row r="5" spans="2:30" ht="12.75">
      <c r="B5" s="830" t="str">
        <f>'Total Market Consumption'!AN7</f>
        <v>Single Family (MWh)</v>
      </c>
      <c r="C5" s="831"/>
      <c r="D5" s="831"/>
      <c r="E5" s="831"/>
      <c r="F5" s="831"/>
      <c r="G5" s="831"/>
      <c r="H5" s="832"/>
      <c r="J5" s="830" t="str">
        <f>B26</f>
        <v>Total Market Consumption (MWh)</v>
      </c>
      <c r="K5" s="831"/>
      <c r="L5" s="831"/>
      <c r="M5" s="831"/>
      <c r="N5" s="831"/>
      <c r="O5" s="831"/>
      <c r="P5" s="832"/>
      <c r="R5" s="830" t="s">
        <v>367</v>
      </c>
      <c r="S5" s="831"/>
      <c r="T5" s="831"/>
      <c r="U5" s="831"/>
      <c r="V5" s="831"/>
      <c r="W5" s="831"/>
      <c r="X5" s="832"/>
      <c r="Z5" s="830" t="s">
        <v>373</v>
      </c>
      <c r="AA5" s="831"/>
      <c r="AB5" s="831"/>
      <c r="AC5" s="831"/>
      <c r="AD5" s="832"/>
    </row>
    <row r="6" spans="2:30" ht="12.75">
      <c r="B6" s="404" t="str">
        <f>'Total Market Consumption'!AN8</f>
        <v>Case</v>
      </c>
      <c r="C6" s="405" t="str">
        <f>'Total Market Consumption'!AO8</f>
        <v>Efficiency Level</v>
      </c>
      <c r="D6" s="406">
        <f>'Total Market Consumption'!AP8</f>
        <v>2010</v>
      </c>
      <c r="E6" s="406">
        <f>'Total Market Consumption'!AQ8</f>
        <v>2011</v>
      </c>
      <c r="F6" s="406">
        <f>'Total Market Consumption'!AR8</f>
        <v>2012</v>
      </c>
      <c r="G6" s="406">
        <f>'Total Market Consumption'!AS8</f>
        <v>2013</v>
      </c>
      <c r="H6" s="414">
        <f>'Total Market Consumption'!AT8</f>
        <v>2014</v>
      </c>
      <c r="J6" s="404" t="str">
        <f>B27</f>
        <v>Case</v>
      </c>
      <c r="K6" s="405"/>
      <c r="L6" s="406">
        <f aca="true" t="shared" si="0" ref="L6:P7">D27</f>
        <v>2010</v>
      </c>
      <c r="M6" s="406">
        <f t="shared" si="0"/>
        <v>2011</v>
      </c>
      <c r="N6" s="406">
        <f t="shared" si="0"/>
        <v>2012</v>
      </c>
      <c r="O6" s="406">
        <f t="shared" si="0"/>
        <v>2013</v>
      </c>
      <c r="P6" s="414">
        <f t="shared" si="0"/>
        <v>2014</v>
      </c>
      <c r="R6" s="404" t="s">
        <v>360</v>
      </c>
      <c r="S6" s="405"/>
      <c r="T6" s="406">
        <v>2010</v>
      </c>
      <c r="U6" s="406">
        <v>2011</v>
      </c>
      <c r="V6" s="406">
        <v>2012</v>
      </c>
      <c r="W6" s="406">
        <v>2013</v>
      </c>
      <c r="X6" s="414">
        <v>2014</v>
      </c>
      <c r="Z6" s="404">
        <v>2010</v>
      </c>
      <c r="AA6" s="405">
        <v>2011</v>
      </c>
      <c r="AB6" s="406">
        <v>2012</v>
      </c>
      <c r="AC6" s="406">
        <v>2013</v>
      </c>
      <c r="AD6" s="414">
        <v>2014</v>
      </c>
    </row>
    <row r="7" spans="2:30" ht="15.75" thickBot="1">
      <c r="B7" s="415" t="str">
        <f>'Total Market Consumption'!AN9</f>
        <v>Base</v>
      </c>
      <c r="C7" s="416" t="str">
        <f>'Total Market Consumption'!AO9</f>
        <v>Conversion</v>
      </c>
      <c r="D7" s="407">
        <f ca="1">'Total Market Consumption'!AP9</f>
        <v>115933.97444042777</v>
      </c>
      <c r="E7" s="407">
        <f ca="1">'Total Market Consumption'!AQ9</f>
        <v>154078.52187375826</v>
      </c>
      <c r="F7" s="407">
        <f ca="1">'Total Market Consumption'!AR9</f>
        <v>157410.62171689028</v>
      </c>
      <c r="G7" s="407">
        <f ca="1">'Total Market Consumption'!AS9</f>
        <v>167560.75911835398</v>
      </c>
      <c r="H7" s="421">
        <f ca="1">'Total Market Consumption'!AT9</f>
        <v>165762.4306753257</v>
      </c>
      <c r="J7" s="488" t="str">
        <f>B28</f>
        <v>Base Market Consumption</v>
      </c>
      <c r="K7" s="489"/>
      <c r="L7" s="422">
        <f ca="1" t="shared" si="0"/>
        <v>546755.4275667274</v>
      </c>
      <c r="M7" s="422">
        <f ca="1" t="shared" si="0"/>
        <v>604106.221522142</v>
      </c>
      <c r="N7" s="422">
        <f ca="1" t="shared" si="0"/>
        <v>616552.3630107946</v>
      </c>
      <c r="O7" s="422">
        <f ca="1" t="shared" si="0"/>
        <v>646369.6310443133</v>
      </c>
      <c r="P7" s="423">
        <f ca="1" t="shared" si="0"/>
        <v>667747.8735493419</v>
      </c>
      <c r="R7" s="488" t="str">
        <f aca="true" t="shared" si="1" ref="R7:X7">B29</f>
        <v>Actual Market Consumption</v>
      </c>
      <c r="S7" s="489"/>
      <c r="T7" s="422">
        <f ca="1" t="shared" si="1"/>
        <v>523268.7710957778</v>
      </c>
      <c r="U7" s="422">
        <f ca="1" t="shared" si="1"/>
        <v>574140.3070852581</v>
      </c>
      <c r="V7" s="422">
        <f ca="1" t="shared" si="1"/>
        <v>580449.6413138628</v>
      </c>
      <c r="W7" s="422">
        <f ca="1" t="shared" si="1"/>
        <v>611373.8930020272</v>
      </c>
      <c r="X7" s="423">
        <f ca="1" t="shared" si="1"/>
        <v>630042.8318860091</v>
      </c>
      <c r="Z7" s="396">
        <f ca="1">L7-T7</f>
        <v>23486.656470949587</v>
      </c>
      <c r="AA7" s="397">
        <f ca="1">M7-U7</f>
        <v>29965.914436883875</v>
      </c>
      <c r="AB7" s="397">
        <f ca="1">N7-V7</f>
        <v>36102.72169693187</v>
      </c>
      <c r="AC7" s="397">
        <f ca="1">O7-W7</f>
        <v>34995.73804228613</v>
      </c>
      <c r="AD7" s="385">
        <f ca="1">P7-X7</f>
        <v>37705.04166333284</v>
      </c>
    </row>
    <row r="8" spans="2:8" ht="12.75">
      <c r="B8" s="415" t="str">
        <f>'Total Market Consumption'!AN10</f>
        <v>Base</v>
      </c>
      <c r="C8" s="416" t="str">
        <f>'Total Market Consumption'!AO10</f>
        <v>Upgrade</v>
      </c>
      <c r="D8" s="407">
        <f ca="1">'Total Market Consumption'!AP10</f>
        <v>226164.19114338566</v>
      </c>
      <c r="E8" s="407">
        <f ca="1">'Total Market Consumption'!AQ10</f>
        <v>234159.69859915812</v>
      </c>
      <c r="F8" s="407">
        <f ca="1">'Total Market Consumption'!AR10</f>
        <v>244523.95081399777</v>
      </c>
      <c r="G8" s="407">
        <f ca="1">'Total Market Consumption'!AS10</f>
        <v>254015.43057069296</v>
      </c>
      <c r="H8" s="421">
        <f ca="1">'Total Market Consumption'!AT10</f>
        <v>258448.23505840095</v>
      </c>
    </row>
    <row r="9" spans="2:8" ht="12.75">
      <c r="B9" s="415" t="str">
        <f>'Total Market Consumption'!AN11</f>
        <v>Actual</v>
      </c>
      <c r="C9" s="416" t="str">
        <f>'Total Market Consumption'!AO11</f>
        <v>Conversion</v>
      </c>
      <c r="D9" s="407">
        <f ca="1">'Total Market Consumption'!AP11</f>
        <v>103620.2818644147</v>
      </c>
      <c r="E9" s="407">
        <f ca="1">'Total Market Consumption'!AQ11</f>
        <v>133710.48089295867</v>
      </c>
      <c r="F9" s="407">
        <f ca="1">'Total Market Consumption'!AR11</f>
        <v>131244.19226148445</v>
      </c>
      <c r="G9" s="407">
        <f ca="1">'Total Market Consumption'!AS11</f>
        <v>141483.83677110195</v>
      </c>
      <c r="H9" s="421">
        <f ca="1">'Total Market Consumption'!AT11</f>
        <v>140427.48545324555</v>
      </c>
    </row>
    <row r="10" spans="2:8" ht="15.75" thickBot="1">
      <c r="B10" s="488" t="str">
        <f>'Total Market Consumption'!AN12</f>
        <v>Actual</v>
      </c>
      <c r="C10" s="489" t="str">
        <f>'Total Market Consumption'!AO12</f>
        <v>Upgrade</v>
      </c>
      <c r="D10" s="422">
        <f ca="1">'Total Market Consumption'!AP12</f>
        <v>218623.8573936626</v>
      </c>
      <c r="E10" s="422">
        <f ca="1">'Total Market Consumption'!AQ12</f>
        <v>227100.2815457275</v>
      </c>
      <c r="F10" s="422">
        <f ca="1">'Total Market Consumption'!AR12</f>
        <v>236900.87021439624</v>
      </c>
      <c r="G10" s="422">
        <f ca="1">'Total Market Consumption'!AS12</f>
        <v>246240.21582014012</v>
      </c>
      <c r="H10" s="423">
        <f ca="1">'Total Market Consumption'!AT12</f>
        <v>245232.4607773075</v>
      </c>
    </row>
    <row r="11" spans="4:8" ht="15.75" thickBot="1">
      <c r="D11" s="76"/>
      <c r="E11" s="76"/>
      <c r="F11" s="76"/>
      <c r="G11" s="76"/>
      <c r="H11" s="76"/>
    </row>
    <row r="12" spans="2:8" ht="12.75">
      <c r="B12" s="830" t="str">
        <f>'Total Market Consumption'!AN14</f>
        <v>Manufactured Home (MWh)</v>
      </c>
      <c r="C12" s="831"/>
      <c r="D12" s="831"/>
      <c r="E12" s="831"/>
      <c r="F12" s="831"/>
      <c r="G12" s="831"/>
      <c r="H12" s="832"/>
    </row>
    <row r="13" spans="2:8" ht="12.75">
      <c r="B13" s="404" t="str">
        <f>'Total Market Consumption'!AN15</f>
        <v>Case</v>
      </c>
      <c r="C13" s="405" t="str">
        <f>'Total Market Consumption'!AO15</f>
        <v>Install Type</v>
      </c>
      <c r="D13" s="406">
        <f>'Total Market Consumption'!AP15</f>
        <v>2010</v>
      </c>
      <c r="E13" s="406">
        <f>'Total Market Consumption'!AQ15</f>
        <v>2011</v>
      </c>
      <c r="F13" s="406">
        <f>'Total Market Consumption'!AR15</f>
        <v>2012</v>
      </c>
      <c r="G13" s="406">
        <f>'Total Market Consumption'!AS15</f>
        <v>2013</v>
      </c>
      <c r="H13" s="414">
        <f>'Total Market Consumption'!AT15</f>
        <v>2014</v>
      </c>
    </row>
    <row r="14" spans="2:8" ht="12.75">
      <c r="B14" s="415" t="str">
        <f>'Total Market Consumption'!AN16</f>
        <v>Base</v>
      </c>
      <c r="C14" s="416" t="str">
        <f>'Total Market Consumption'!AO16</f>
        <v>Conversion</v>
      </c>
      <c r="D14" s="407">
        <f ca="1">'Total Market Consumption'!AP16</f>
        <v>186822.2070970154</v>
      </c>
      <c r="E14" s="407">
        <f ca="1">'Total Market Consumption'!AQ16</f>
        <v>196617.12650017458</v>
      </c>
      <c r="F14" s="407">
        <f ca="1">'Total Market Consumption'!AR16</f>
        <v>193845.2740768062</v>
      </c>
      <c r="G14" s="407">
        <f ca="1">'Total Market Consumption'!AS16</f>
        <v>201976.75970194195</v>
      </c>
      <c r="H14" s="421">
        <f ca="1">'Total Market Consumption'!AT16</f>
        <v>219370.56517328715</v>
      </c>
    </row>
    <row r="15" spans="2:8" ht="12.75">
      <c r="B15" s="415" t="str">
        <f>'Total Market Consumption'!AN17</f>
        <v>Base</v>
      </c>
      <c r="C15" s="416" t="str">
        <f>'Total Market Consumption'!AO17</f>
        <v>Upgrade</v>
      </c>
      <c r="D15" s="407">
        <f ca="1">'Total Market Consumption'!AP17</f>
        <v>17835.054885898568</v>
      </c>
      <c r="E15" s="407">
        <f ca="1">'Total Market Consumption'!AQ17</f>
        <v>19250.874549050925</v>
      </c>
      <c r="F15" s="407">
        <f ca="1">'Total Market Consumption'!AR17</f>
        <v>20772.51640310043</v>
      </c>
      <c r="G15" s="407">
        <f ca="1">'Total Market Consumption'!AS17</f>
        <v>22816.68165332446</v>
      </c>
      <c r="H15" s="421">
        <f ca="1">'Total Market Consumption'!AT17</f>
        <v>24166.64264232811</v>
      </c>
    </row>
    <row r="16" spans="2:8" ht="12.75">
      <c r="B16" s="415" t="str">
        <f>'Total Market Consumption'!AN18</f>
        <v>Actual</v>
      </c>
      <c r="C16" s="416" t="str">
        <f>'Total Market Consumption'!AO18</f>
        <v>Conversion</v>
      </c>
      <c r="D16" s="407">
        <f ca="1">'Total Market Consumption'!AP18</f>
        <v>183784.19922867263</v>
      </c>
      <c r="E16" s="407">
        <f ca="1">'Total Market Consumption'!AQ18</f>
        <v>194659.04303487108</v>
      </c>
      <c r="F16" s="407">
        <f ca="1">'Total Market Consumption'!AR18</f>
        <v>192179.64957826873</v>
      </c>
      <c r="G16" s="407">
        <f ca="1">'Total Market Consumption'!AS18</f>
        <v>201531.55963551372</v>
      </c>
      <c r="H16" s="421">
        <f ca="1">'Total Market Consumption'!AT18</f>
        <v>220948.76552491647</v>
      </c>
    </row>
    <row r="17" spans="2:8" ht="15.75" thickBot="1">
      <c r="B17" s="488" t="str">
        <f>'Total Market Consumption'!AN19</f>
        <v>Actual</v>
      </c>
      <c r="C17" s="489" t="str">
        <f>'Total Market Consumption'!AO19</f>
        <v>Upgrade</v>
      </c>
      <c r="D17" s="422">
        <f ca="1">'Total Market Consumption'!AP19</f>
        <v>17240.432609027852</v>
      </c>
      <c r="E17" s="422">
        <f ca="1">'Total Market Consumption'!AQ19</f>
        <v>18670.50161170075</v>
      </c>
      <c r="F17" s="422">
        <f ca="1">'Total Market Consumption'!AR19</f>
        <v>20124.92925971327</v>
      </c>
      <c r="G17" s="422">
        <f ca="1">'Total Market Consumption'!AS19</f>
        <v>22118.2807752714</v>
      </c>
      <c r="H17" s="423">
        <f ca="1">'Total Market Consumption'!AT19</f>
        <v>23434.120130539457</v>
      </c>
    </row>
    <row r="18" spans="4:8" ht="15.75" thickBot="1">
      <c r="D18" s="76"/>
      <c r="E18" s="76"/>
      <c r="F18" s="76"/>
      <c r="G18" s="76"/>
      <c r="H18" s="76"/>
    </row>
    <row r="19" spans="2:8" ht="12.75">
      <c r="B19" s="830" t="str">
        <f>'Total Market Consumption'!AN21</f>
        <v>Total Market Consumption (MWh)</v>
      </c>
      <c r="C19" s="831"/>
      <c r="D19" s="831"/>
      <c r="E19" s="831"/>
      <c r="F19" s="831"/>
      <c r="G19" s="831"/>
      <c r="H19" s="832"/>
    </row>
    <row r="20" spans="2:8" ht="12.75">
      <c r="B20" s="404" t="str">
        <f>'Total Market Consumption'!AN22</f>
        <v>Case</v>
      </c>
      <c r="C20" s="405" t="str">
        <f>'Total Market Consumption'!AO22</f>
        <v>House Type</v>
      </c>
      <c r="D20" s="406">
        <f>'Total Market Consumption'!AP22</f>
        <v>2010</v>
      </c>
      <c r="E20" s="406">
        <f>'Total Market Consumption'!AQ22</f>
        <v>2011</v>
      </c>
      <c r="F20" s="406">
        <f>'Total Market Consumption'!AR22</f>
        <v>2012</v>
      </c>
      <c r="G20" s="406">
        <f>'Total Market Consumption'!AS22</f>
        <v>2013</v>
      </c>
      <c r="H20" s="414">
        <f>'Total Market Consumption'!AT22</f>
        <v>2014</v>
      </c>
    </row>
    <row r="21" spans="2:8" ht="12.75">
      <c r="B21" s="415" t="str">
        <f>'Total Market Consumption'!AN23</f>
        <v>Base</v>
      </c>
      <c r="C21" s="416" t="str">
        <f>'Total Market Consumption'!AO23</f>
        <v>SF</v>
      </c>
      <c r="D21" s="407">
        <f ca="1">'Total Market Consumption'!AP23</f>
        <v>342098.16558381345</v>
      </c>
      <c r="E21" s="407">
        <f ca="1">'Total Market Consumption'!AQ23</f>
        <v>388238.2204729164</v>
      </c>
      <c r="F21" s="407">
        <f ca="1">'Total Market Consumption'!AR23</f>
        <v>401934.572530888</v>
      </c>
      <c r="G21" s="407">
        <f ca="1">'Total Market Consumption'!AS23</f>
        <v>421576.18968904694</v>
      </c>
      <c r="H21" s="421">
        <f ca="1">'Total Market Consumption'!AT23</f>
        <v>424210.6657337267</v>
      </c>
    </row>
    <row r="22" spans="2:8" ht="12.75">
      <c r="B22" s="415" t="str">
        <f>'Total Market Consumption'!AN24</f>
        <v>Base</v>
      </c>
      <c r="C22" s="416" t="str">
        <f>'Total Market Consumption'!AO24</f>
        <v>MH</v>
      </c>
      <c r="D22" s="407">
        <f ca="1">'Total Market Consumption'!AP24</f>
        <v>204657.26198291397</v>
      </c>
      <c r="E22" s="407">
        <f ca="1">'Total Market Consumption'!AQ24</f>
        <v>215868.0010492255</v>
      </c>
      <c r="F22" s="407">
        <f ca="1">'Total Market Consumption'!AR24</f>
        <v>214617.79047990663</v>
      </c>
      <c r="G22" s="407">
        <f ca="1">'Total Market Consumption'!AS24</f>
        <v>224793.4413552664</v>
      </c>
      <c r="H22" s="421">
        <f ca="1">'Total Market Consumption'!AT24</f>
        <v>243537.20781561526</v>
      </c>
    </row>
    <row r="23" spans="2:8" ht="12.75">
      <c r="B23" s="415" t="str">
        <f>'Total Market Consumption'!AN25</f>
        <v>Actual</v>
      </c>
      <c r="C23" s="416" t="str">
        <f>'Total Market Consumption'!AO25</f>
        <v>SF</v>
      </c>
      <c r="D23" s="407">
        <f ca="1">'Total Market Consumption'!AP25</f>
        <v>322244.1392580773</v>
      </c>
      <c r="E23" s="407">
        <f ca="1">'Total Market Consumption'!AQ25</f>
        <v>360810.7624386862</v>
      </c>
      <c r="F23" s="407">
        <f ca="1">'Total Market Consumption'!AR25</f>
        <v>368145.0624758807</v>
      </c>
      <c r="G23" s="407">
        <f ca="1">'Total Market Consumption'!AS25</f>
        <v>387724.05259124207</v>
      </c>
      <c r="H23" s="421">
        <f ca="1">'Total Market Consumption'!AT25</f>
        <v>385659.9462305531</v>
      </c>
    </row>
    <row r="24" spans="2:8" ht="15.75" thickBot="1">
      <c r="B24" s="488" t="str">
        <f>'Total Market Consumption'!AN26</f>
        <v>Actual</v>
      </c>
      <c r="C24" s="489" t="str">
        <f>'Total Market Consumption'!AO26</f>
        <v>MH</v>
      </c>
      <c r="D24" s="422">
        <f ca="1">'Total Market Consumption'!AP26</f>
        <v>201024.6318377005</v>
      </c>
      <c r="E24" s="422">
        <f ca="1">'Total Market Consumption'!AQ26</f>
        <v>213329.54464657183</v>
      </c>
      <c r="F24" s="422">
        <f ca="1">'Total Market Consumption'!AR26</f>
        <v>212304.578837982</v>
      </c>
      <c r="G24" s="422">
        <f ca="1">'Total Market Consumption'!AS26</f>
        <v>223649.8404107851</v>
      </c>
      <c r="H24" s="423">
        <f ca="1">'Total Market Consumption'!AT26</f>
        <v>244382.88565545593</v>
      </c>
    </row>
    <row r="25" ht="15.75" thickBot="1"/>
    <row r="26" spans="2:8" ht="12.75">
      <c r="B26" s="830" t="str">
        <f>'Total Market Consumption'!AN28</f>
        <v>Total Market Consumption (MWh)</v>
      </c>
      <c r="C26" s="831"/>
      <c r="D26" s="831"/>
      <c r="E26" s="831"/>
      <c r="F26" s="831"/>
      <c r="G26" s="831"/>
      <c r="H26" s="832"/>
    </row>
    <row r="27" spans="2:8" ht="12.75">
      <c r="B27" s="404" t="str">
        <f>'Total Market Consumption'!AN29</f>
        <v>Case</v>
      </c>
      <c r="C27" s="405"/>
      <c r="D27" s="406">
        <f>'Total Market Consumption'!AP29</f>
        <v>2010</v>
      </c>
      <c r="E27" s="406">
        <f>'Total Market Consumption'!AQ29</f>
        <v>2011</v>
      </c>
      <c r="F27" s="406">
        <f>'Total Market Consumption'!AR29</f>
        <v>2012</v>
      </c>
      <c r="G27" s="406">
        <f>'Total Market Consumption'!AS29</f>
        <v>2013</v>
      </c>
      <c r="H27" s="414">
        <f>'Total Market Consumption'!AT29</f>
        <v>2014</v>
      </c>
    </row>
    <row r="28" spans="2:8" ht="12.75">
      <c r="B28" s="415" t="str">
        <f>'Total Market Consumption'!AN30</f>
        <v>Base Market Consumption</v>
      </c>
      <c r="C28" s="416"/>
      <c r="D28" s="407">
        <f ca="1">'Total Market Consumption'!AP30</f>
        <v>546755.4275667274</v>
      </c>
      <c r="E28" s="407">
        <f ca="1">'Total Market Consumption'!AQ30</f>
        <v>604106.221522142</v>
      </c>
      <c r="F28" s="407">
        <f ca="1">'Total Market Consumption'!AR30</f>
        <v>616552.3630107946</v>
      </c>
      <c r="G28" s="407">
        <f ca="1">'Total Market Consumption'!AS30</f>
        <v>646369.6310443133</v>
      </c>
      <c r="H28" s="421">
        <f ca="1">'Total Market Consumption'!AT30</f>
        <v>667747.8735493419</v>
      </c>
    </row>
    <row r="29" spans="2:8" ht="15.75" thickBot="1">
      <c r="B29" s="488" t="str">
        <f>'Total Market Consumption'!AN31</f>
        <v>Actual Market Consumption</v>
      </c>
      <c r="C29" s="489"/>
      <c r="D29" s="422">
        <f ca="1">'Total Market Consumption'!AP31</f>
        <v>523268.7710957778</v>
      </c>
      <c r="E29" s="422">
        <f ca="1">'Total Market Consumption'!AQ31</f>
        <v>574140.3070852581</v>
      </c>
      <c r="F29" s="422">
        <f ca="1">'Total Market Consumption'!AR31</f>
        <v>580449.6413138628</v>
      </c>
      <c r="G29" s="422">
        <f ca="1">'Total Market Consumption'!AS31</f>
        <v>611373.8930020272</v>
      </c>
      <c r="H29" s="423">
        <f ca="1">'Total Market Consumption'!AT31</f>
        <v>630042.8318860091</v>
      </c>
    </row>
  </sheetData>
  <mergeCells count="17">
    <mergeCell ref="B19:H19"/>
    <mergeCell ref="B26:H26"/>
    <mergeCell ref="J5:P5"/>
    <mergeCell ref="R5:X5"/>
    <mergeCell ref="Z5:AD5"/>
    <mergeCell ref="B5:H5"/>
    <mergeCell ref="B12:H12"/>
    <mergeCell ref="Z4:AD4"/>
    <mergeCell ref="B2:H3"/>
    <mergeCell ref="J2:P3"/>
    <mergeCell ref="Q2:Q3"/>
    <mergeCell ref="R2:X3"/>
    <mergeCell ref="Y2:Y3"/>
    <mergeCell ref="Z2:AD3"/>
    <mergeCell ref="B4:H4"/>
    <mergeCell ref="J4:P4"/>
    <mergeCell ref="R4:X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V11"/>
  <sheetViews>
    <sheetView showGridLines="0" zoomScale="70" zoomScaleNormal="70" workbookViewId="0" topLeftCell="A1">
      <selection activeCell="O17" sqref="O17"/>
    </sheetView>
  </sheetViews>
  <sheetFormatPr defaultColWidth="9.140625" defaultRowHeight="12.75"/>
  <cols>
    <col min="1" max="1" width="3.00390625" style="44" customWidth="1"/>
    <col min="2" max="16384" width="9.140625" style="44" customWidth="1"/>
  </cols>
  <sheetData>
    <row r="2" spans="2:22" ht="15" customHeight="1">
      <c r="B2" s="837" t="s">
        <v>263</v>
      </c>
      <c r="C2" s="837"/>
      <c r="D2" s="837"/>
      <c r="E2" s="837"/>
      <c r="F2" s="837"/>
      <c r="G2" s="859" t="s">
        <v>372</v>
      </c>
      <c r="H2" s="837" t="s">
        <v>249</v>
      </c>
      <c r="I2" s="837"/>
      <c r="J2" s="837"/>
      <c r="K2" s="837"/>
      <c r="L2" s="837"/>
      <c r="M2" s="837"/>
      <c r="N2" s="837"/>
      <c r="O2" s="859" t="s">
        <v>216</v>
      </c>
      <c r="P2" s="837" t="s">
        <v>271</v>
      </c>
      <c r="Q2" s="837"/>
      <c r="R2" s="837"/>
      <c r="S2" s="837"/>
      <c r="T2" s="837"/>
      <c r="U2" s="83"/>
      <c r="V2" s="83"/>
    </row>
    <row r="3" spans="2:22" ht="15" customHeight="1">
      <c r="B3" s="837"/>
      <c r="C3" s="837"/>
      <c r="D3" s="837"/>
      <c r="E3" s="837"/>
      <c r="F3" s="837"/>
      <c r="G3" s="859"/>
      <c r="H3" s="837"/>
      <c r="I3" s="837"/>
      <c r="J3" s="837"/>
      <c r="K3" s="837"/>
      <c r="L3" s="837"/>
      <c r="M3" s="837"/>
      <c r="N3" s="837"/>
      <c r="O3" s="859"/>
      <c r="P3" s="837"/>
      <c r="Q3" s="837"/>
      <c r="R3" s="837"/>
      <c r="S3" s="837"/>
      <c r="T3" s="837"/>
      <c r="U3" s="83"/>
      <c r="V3" s="83"/>
    </row>
    <row r="4" spans="2:20" s="54" customFormat="1" ht="33" customHeight="1" thickBot="1">
      <c r="B4" s="838" t="str">
        <f>'Analysis Overview'!$C$20</f>
        <v>Savings (MWh/yr) in the residential ASHP HVAC market by year</v>
      </c>
      <c r="C4" s="838"/>
      <c r="D4" s="838"/>
      <c r="E4" s="838"/>
      <c r="F4" s="838"/>
      <c r="H4" s="838" t="str">
        <f>'Analysis Overview'!$C$23</f>
        <v>Savings from all ASHP res HVAC utility programs in the region, by year and service territory, measured against the Sixth Plan Baseline</v>
      </c>
      <c r="I4" s="838"/>
      <c r="J4" s="838"/>
      <c r="K4" s="838"/>
      <c r="L4" s="838"/>
      <c r="M4" s="838"/>
      <c r="N4" s="838"/>
      <c r="P4" s="838" t="str">
        <f>'Analysis Overview'!$C$24</f>
        <v>Momentum savings in the residential ASHP HVAC market by year</v>
      </c>
      <c r="Q4" s="838"/>
      <c r="R4" s="838"/>
      <c r="S4" s="838"/>
      <c r="T4" s="838"/>
    </row>
    <row r="5" spans="2:20" ht="12.75">
      <c r="B5" s="830" t="str">
        <f>'Total Market Savings'!Z5</f>
        <v>Total Market Savings (MWh)</v>
      </c>
      <c r="C5" s="831"/>
      <c r="D5" s="831"/>
      <c r="E5" s="831"/>
      <c r="F5" s="832"/>
      <c r="H5" s="443" t="s">
        <v>313</v>
      </c>
      <c r="I5" s="444"/>
      <c r="J5" s="444"/>
      <c r="K5" s="444"/>
      <c r="L5" s="444"/>
      <c r="M5" s="444"/>
      <c r="N5" s="445"/>
      <c r="P5" s="830" t="s">
        <v>337</v>
      </c>
      <c r="Q5" s="831"/>
      <c r="R5" s="831"/>
      <c r="S5" s="831"/>
      <c r="T5" s="832"/>
    </row>
    <row r="6" spans="2:20" ht="12.75">
      <c r="B6" s="394">
        <f>'Total Market Savings'!Z6</f>
        <v>2010</v>
      </c>
      <c r="C6" s="157">
        <f>'Total Market Savings'!AA6</f>
        <v>2011</v>
      </c>
      <c r="D6" s="157">
        <f>'Total Market Savings'!AB6</f>
        <v>2012</v>
      </c>
      <c r="E6" s="157">
        <f>'Total Market Savings'!AC6</f>
        <v>2013</v>
      </c>
      <c r="F6" s="180">
        <f>'Total Market Savings'!AD6</f>
        <v>2014</v>
      </c>
      <c r="H6" s="179" t="s">
        <v>319</v>
      </c>
      <c r="I6" s="152"/>
      <c r="J6" s="157">
        <v>2010</v>
      </c>
      <c r="K6" s="157">
        <v>2011</v>
      </c>
      <c r="L6" s="157">
        <v>2012</v>
      </c>
      <c r="M6" s="157">
        <v>2013</v>
      </c>
      <c r="N6" s="180">
        <v>2014</v>
      </c>
      <c r="P6" s="394">
        <v>2010</v>
      </c>
      <c r="Q6" s="157">
        <v>2011</v>
      </c>
      <c r="R6" s="157">
        <v>2012</v>
      </c>
      <c r="S6" s="157">
        <v>2013</v>
      </c>
      <c r="T6" s="180">
        <v>2014</v>
      </c>
    </row>
    <row r="7" spans="2:20" ht="15.75" thickBot="1">
      <c r="B7" s="396">
        <f ca="1">'Total Market Savings'!Z7</f>
        <v>23486.656470949587</v>
      </c>
      <c r="C7" s="397">
        <f ca="1">'Total Market Savings'!AA7</f>
        <v>29965.914436883875</v>
      </c>
      <c r="D7" s="397">
        <f ca="1">'Total Market Savings'!AB7</f>
        <v>36102.72169693187</v>
      </c>
      <c r="E7" s="397">
        <f ca="1">'Total Market Savings'!AC7</f>
        <v>34995.73804228613</v>
      </c>
      <c r="F7" s="385">
        <f ca="1">'Total Market Savings'!AD7</f>
        <v>37705.04166333284</v>
      </c>
      <c r="H7" s="182" t="s">
        <v>323</v>
      </c>
      <c r="I7" s="183"/>
      <c r="J7" s="397">
        <f>'Input and Scenario Summary'!Z7</f>
        <v>10997.2149989483</v>
      </c>
      <c r="K7" s="397">
        <f>'Input and Scenario Summary'!AA7</f>
        <v>14077.291494792247</v>
      </c>
      <c r="L7" s="397">
        <f>'Input and Scenario Summary'!AB7</f>
        <v>12143.294580602786</v>
      </c>
      <c r="M7" s="397">
        <f>'Input and Scenario Summary'!AC7</f>
        <v>12887.70380193404</v>
      </c>
      <c r="N7" s="385">
        <f>'Input and Scenario Summary'!AD7</f>
        <v>9800.231371121616</v>
      </c>
      <c r="P7" s="396">
        <f ca="1">B7-J7</f>
        <v>12489.441472001286</v>
      </c>
      <c r="Q7" s="397">
        <f ca="1">C7-K7</f>
        <v>15888.622942091628</v>
      </c>
      <c r="R7" s="397">
        <f ca="1">D7-L7</f>
        <v>23959.427116329083</v>
      </c>
      <c r="S7" s="397">
        <f ca="1">E7-M7</f>
        <v>22108.03424035209</v>
      </c>
      <c r="T7" s="385">
        <f ca="1">F7-N7</f>
        <v>27904.810292211227</v>
      </c>
    </row>
    <row r="8" ht="15.75" thickBot="1"/>
    <row r="9" spans="16:20" ht="12.75">
      <c r="P9" s="830" t="s">
        <v>338</v>
      </c>
      <c r="Q9" s="831"/>
      <c r="R9" s="831"/>
      <c r="S9" s="831"/>
      <c r="T9" s="832"/>
    </row>
    <row r="10" spans="16:20" ht="12.75">
      <c r="P10" s="394">
        <v>2010</v>
      </c>
      <c r="Q10" s="157">
        <v>2011</v>
      </c>
      <c r="R10" s="157">
        <v>2012</v>
      </c>
      <c r="S10" s="157">
        <v>2013</v>
      </c>
      <c r="T10" s="180">
        <v>2014</v>
      </c>
    </row>
    <row r="11" spans="16:20" ht="15.75" thickBot="1">
      <c r="P11" s="398">
        <f ca="1">P7/8760</f>
        <v>1.4257353278540281</v>
      </c>
      <c r="Q11" s="399">
        <f ca="1">Q7/8760</f>
        <v>1.8137697422479027</v>
      </c>
      <c r="R11" s="399">
        <f ca="1">R7/8760</f>
        <v>2.73509441967227</v>
      </c>
      <c r="S11" s="399">
        <f ca="1">S7/8760</f>
        <v>2.523748200953435</v>
      </c>
      <c r="T11" s="400">
        <f ca="1">T7/8760</f>
        <v>3.1854806269647518</v>
      </c>
    </row>
  </sheetData>
  <mergeCells count="11">
    <mergeCell ref="B5:F5"/>
    <mergeCell ref="P5:T5"/>
    <mergeCell ref="P9:T9"/>
    <mergeCell ref="B4:F4"/>
    <mergeCell ref="H4:N4"/>
    <mergeCell ref="P4:T4"/>
    <mergeCell ref="B2:F3"/>
    <mergeCell ref="G2:G3"/>
    <mergeCell ref="H2:N3"/>
    <mergeCell ref="O2:O3"/>
    <mergeCell ref="P2:T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1:AB34"/>
  <sheetViews>
    <sheetView zoomScale="70" zoomScaleNormal="70" workbookViewId="0" topLeftCell="A1"/>
  </sheetViews>
  <sheetFormatPr defaultColWidth="9.140625" defaultRowHeight="12.75"/>
  <cols>
    <col min="1" max="1" width="3.28125" style="44" customWidth="1"/>
    <col min="2" max="2" width="13.8515625" style="44" bestFit="1" customWidth="1"/>
    <col min="3" max="3" width="8.8515625" style="44" bestFit="1" customWidth="1"/>
    <col min="4" max="4" width="13.57421875" style="44" bestFit="1" customWidth="1"/>
    <col min="5" max="7" width="10.8515625" style="44" bestFit="1" customWidth="1"/>
    <col min="8" max="10" width="11.7109375" style="44" bestFit="1" customWidth="1"/>
    <col min="11" max="11" width="11.28125" style="44" bestFit="1" customWidth="1"/>
    <col min="12" max="12" width="29.28125" style="44" bestFit="1" customWidth="1"/>
    <col min="13" max="13" width="15.57421875" style="44" bestFit="1" customWidth="1"/>
    <col min="14" max="14" width="12.28125" style="44" bestFit="1" customWidth="1"/>
    <col min="15" max="15" width="13.57421875" style="44" bestFit="1" customWidth="1"/>
    <col min="16" max="18" width="10.8515625" style="44" bestFit="1" customWidth="1"/>
    <col min="19" max="21" width="11.7109375" style="44" bestFit="1" customWidth="1"/>
    <col min="22" max="22" width="11.28125" style="44" bestFit="1" customWidth="1"/>
    <col min="23" max="24" width="9.140625" style="44" customWidth="1"/>
    <col min="25" max="25" width="17.57421875" style="44" customWidth="1"/>
    <col min="26" max="26" width="13.421875" style="44" customWidth="1"/>
    <col min="27" max="27" width="34.421875" style="44" customWidth="1"/>
    <col min="28" max="28" width="42.8515625" style="44" customWidth="1"/>
    <col min="29" max="16384" width="9.140625" style="44" customWidth="1"/>
  </cols>
  <sheetData>
    <row r="1" spans="2:22" ht="12.75">
      <c r="B1" s="859" t="s">
        <v>374</v>
      </c>
      <c r="C1" s="859"/>
      <c r="D1" s="859"/>
      <c r="E1" s="859"/>
      <c r="F1" s="859"/>
      <c r="G1" s="859"/>
      <c r="H1" s="859"/>
      <c r="I1" s="859"/>
      <c r="J1" s="859"/>
      <c r="K1" s="859"/>
      <c r="M1" s="859" t="s">
        <v>463</v>
      </c>
      <c r="N1" s="859"/>
      <c r="O1" s="859"/>
      <c r="P1" s="859"/>
      <c r="Q1" s="859"/>
      <c r="R1" s="859"/>
      <c r="S1" s="859"/>
      <c r="T1" s="859"/>
      <c r="U1" s="859"/>
      <c r="V1" s="859"/>
    </row>
    <row r="2" spans="2:28" ht="12.75">
      <c r="B2" s="859"/>
      <c r="C2" s="859"/>
      <c r="D2" s="859"/>
      <c r="E2" s="859"/>
      <c r="F2" s="859"/>
      <c r="G2" s="859"/>
      <c r="H2" s="859"/>
      <c r="I2" s="859"/>
      <c r="J2" s="859"/>
      <c r="K2" s="859"/>
      <c r="M2" s="859"/>
      <c r="N2" s="859"/>
      <c r="O2" s="859"/>
      <c r="P2" s="859"/>
      <c r="Q2" s="859"/>
      <c r="R2" s="859"/>
      <c r="S2" s="859"/>
      <c r="T2" s="859"/>
      <c r="U2" s="859"/>
      <c r="V2" s="859"/>
      <c r="Y2" s="790" t="s">
        <v>511</v>
      </c>
      <c r="Z2" s="791"/>
      <c r="AA2" s="791"/>
      <c r="AB2" s="792"/>
    </row>
    <row r="3" spans="2:28" ht="15.75" thickBot="1">
      <c r="B3" s="860" t="s">
        <v>375</v>
      </c>
      <c r="C3" s="860"/>
      <c r="D3" s="860"/>
      <c r="E3" s="860"/>
      <c r="F3" s="860"/>
      <c r="G3" s="860"/>
      <c r="H3" s="860"/>
      <c r="I3" s="860"/>
      <c r="J3" s="860"/>
      <c r="K3" s="59"/>
      <c r="M3" s="860" t="s">
        <v>375</v>
      </c>
      <c r="N3" s="860"/>
      <c r="O3" s="860"/>
      <c r="P3" s="860"/>
      <c r="Q3" s="860"/>
      <c r="R3" s="860"/>
      <c r="S3" s="860"/>
      <c r="T3" s="860"/>
      <c r="U3" s="860"/>
      <c r="V3" s="59"/>
      <c r="Y3" s="793">
        <v>0</v>
      </c>
      <c r="Z3" s="794" t="s">
        <v>512</v>
      </c>
      <c r="AA3" s="795"/>
      <c r="AB3" s="796"/>
    </row>
    <row r="4" spans="2:28" ht="15.75" thickBot="1">
      <c r="B4" s="589"/>
      <c r="C4" s="590"/>
      <c r="D4" s="591" t="s">
        <v>302</v>
      </c>
      <c r="E4" s="591" t="s">
        <v>303</v>
      </c>
      <c r="F4" s="591" t="s">
        <v>304</v>
      </c>
      <c r="G4" s="591" t="s">
        <v>305</v>
      </c>
      <c r="H4" s="591" t="s">
        <v>306</v>
      </c>
      <c r="I4" s="591" t="s">
        <v>307</v>
      </c>
      <c r="J4" s="592" t="s">
        <v>308</v>
      </c>
      <c r="K4" s="59"/>
      <c r="M4" s="589"/>
      <c r="N4" s="590"/>
      <c r="O4" s="591" t="s">
        <v>302</v>
      </c>
      <c r="P4" s="591" t="s">
        <v>303</v>
      </c>
      <c r="Q4" s="591" t="s">
        <v>304</v>
      </c>
      <c r="R4" s="591" t="s">
        <v>305</v>
      </c>
      <c r="S4" s="591" t="s">
        <v>306</v>
      </c>
      <c r="T4" s="591" t="s">
        <v>307</v>
      </c>
      <c r="U4" s="592" t="s">
        <v>308</v>
      </c>
      <c r="V4" s="59"/>
      <c r="Y4" s="793">
        <v>1</v>
      </c>
      <c r="Z4" s="797" t="s">
        <v>513</v>
      </c>
      <c r="AA4" s="795"/>
      <c r="AB4" s="796"/>
    </row>
    <row r="5" spans="2:28" ht="12.75">
      <c r="B5" s="92">
        <v>1</v>
      </c>
      <c r="C5" s="451" t="s">
        <v>376</v>
      </c>
      <c r="D5" s="594">
        <v>6200.367132151794</v>
      </c>
      <c r="E5" s="594">
        <v>5843.013131457863</v>
      </c>
      <c r="F5" s="594">
        <v>5705.630986112718</v>
      </c>
      <c r="G5" s="594">
        <v>5570.722234906453</v>
      </c>
      <c r="H5" s="594">
        <v>5438.103398324993</v>
      </c>
      <c r="I5" s="594">
        <v>5307.672639920205</v>
      </c>
      <c r="J5" s="595">
        <v>5053.4899922699615</v>
      </c>
      <c r="K5" s="59"/>
      <c r="M5" s="92">
        <v>1</v>
      </c>
      <c r="N5" s="451" t="s">
        <v>376</v>
      </c>
      <c r="O5" s="594">
        <v>5517.8420339781505</v>
      </c>
      <c r="P5" s="594">
        <v>4956.641103005686</v>
      </c>
      <c r="Q5" s="594">
        <v>4703.003709697088</v>
      </c>
      <c r="R5" s="594">
        <v>4449.519117592747</v>
      </c>
      <c r="S5" s="594">
        <v>4178.017543235539</v>
      </c>
      <c r="T5" s="594">
        <v>3933.7813004400664</v>
      </c>
      <c r="U5" s="595">
        <v>3455.251964358209</v>
      </c>
      <c r="V5" s="59"/>
      <c r="Y5" s="793">
        <v>2</v>
      </c>
      <c r="Z5" s="797" t="s">
        <v>514</v>
      </c>
      <c r="AA5" s="795"/>
      <c r="AB5" s="796"/>
    </row>
    <row r="6" spans="2:28" ht="12.75">
      <c r="B6" s="93">
        <v>2</v>
      </c>
      <c r="C6" s="452" t="s">
        <v>376</v>
      </c>
      <c r="D6" s="594">
        <v>8998.262122749478</v>
      </c>
      <c r="E6" s="594">
        <v>8627.345700158989</v>
      </c>
      <c r="F6" s="594">
        <v>8515.209840924306</v>
      </c>
      <c r="G6" s="594">
        <v>8409.01485044885</v>
      </c>
      <c r="H6" s="594">
        <v>8309.01949662702</v>
      </c>
      <c r="I6" s="594">
        <v>8214.944609655531</v>
      </c>
      <c r="J6" s="595">
        <v>8045.377063623466</v>
      </c>
      <c r="K6" s="59"/>
      <c r="M6" s="93">
        <v>2</v>
      </c>
      <c r="N6" s="452" t="s">
        <v>376</v>
      </c>
      <c r="O6" s="594">
        <v>7889.885890414569</v>
      </c>
      <c r="P6" s="594">
        <v>7199.503084902319</v>
      </c>
      <c r="Q6" s="594">
        <v>6924.701457122072</v>
      </c>
      <c r="R6" s="594">
        <v>6657.846925852177</v>
      </c>
      <c r="S6" s="594">
        <v>6398.8098424445725</v>
      </c>
      <c r="T6" s="594">
        <v>6147.357466022185</v>
      </c>
      <c r="U6" s="595">
        <v>5667.613995058432</v>
      </c>
      <c r="V6" s="59"/>
      <c r="Y6" s="793">
        <v>3</v>
      </c>
      <c r="Z6" s="797" t="s">
        <v>515</v>
      </c>
      <c r="AA6" s="795"/>
      <c r="AB6" s="796"/>
    </row>
    <row r="7" spans="2:28" ht="12.75">
      <c r="B7" s="93">
        <v>3</v>
      </c>
      <c r="C7" s="452" t="s">
        <v>376</v>
      </c>
      <c r="D7" s="594">
        <v>10479.557193096814</v>
      </c>
      <c r="E7" s="594">
        <v>10136.329446795435</v>
      </c>
      <c r="F7" s="594">
        <v>10043.78166085074</v>
      </c>
      <c r="G7" s="594">
        <v>9958.184479976993</v>
      </c>
      <c r="H7" s="594">
        <v>9880.204455520752</v>
      </c>
      <c r="I7" s="594">
        <v>9810.042259021986</v>
      </c>
      <c r="J7" s="595">
        <v>9691.244217088422</v>
      </c>
      <c r="K7" s="59"/>
      <c r="M7" s="93">
        <v>3</v>
      </c>
      <c r="N7" s="452" t="s">
        <v>376</v>
      </c>
      <c r="O7" s="594">
        <v>9203.251474490573</v>
      </c>
      <c r="P7" s="594">
        <v>8501.420060841183</v>
      </c>
      <c r="Q7" s="594">
        <v>8242.030881481514</v>
      </c>
      <c r="R7" s="594">
        <v>7993.75142349612</v>
      </c>
      <c r="S7" s="594">
        <v>7756.5853608352745</v>
      </c>
      <c r="T7" s="594">
        <v>7530.638448727667</v>
      </c>
      <c r="U7" s="595">
        <v>7113.105790652029</v>
      </c>
      <c r="V7" s="59"/>
      <c r="Y7" s="793">
        <v>4</v>
      </c>
      <c r="Z7" s="794" t="s">
        <v>516</v>
      </c>
      <c r="AA7" s="795"/>
      <c r="AB7" s="796"/>
    </row>
    <row r="8" spans="2:28" ht="15.75" thickBot="1">
      <c r="B8" s="593" t="s">
        <v>318</v>
      </c>
      <c r="C8" s="453" t="s">
        <v>376</v>
      </c>
      <c r="D8" s="596">
        <f aca="true" t="shared" si="0" ref="D8:J8">SUMPRODUCT(D5:D7,$C$26:$C$28)</f>
        <v>7486.9534298917</v>
      </c>
      <c r="E8" s="596">
        <f t="shared" si="0"/>
        <v>7126.902879827503</v>
      </c>
      <c r="F8" s="596">
        <f t="shared" si="0"/>
        <v>7001.761670292697</v>
      </c>
      <c r="G8" s="596">
        <f t="shared" si="0"/>
        <v>6880.604477718405</v>
      </c>
      <c r="H8" s="596">
        <f t="shared" si="0"/>
        <v>6763.468814782032</v>
      </c>
      <c r="I8" s="596">
        <f t="shared" si="0"/>
        <v>6650.229546347389</v>
      </c>
      <c r="J8" s="597">
        <f t="shared" si="0"/>
        <v>6435.56262565869</v>
      </c>
      <c r="K8" s="59"/>
      <c r="M8" s="593" t="s">
        <v>318</v>
      </c>
      <c r="N8" s="453" t="s">
        <v>376</v>
      </c>
      <c r="O8" s="596">
        <f aca="true" t="shared" si="1" ref="O8:U8">SUMPRODUCT(O5:O7,$C$26:$C$28)</f>
        <v>6614.445182183397</v>
      </c>
      <c r="P8" s="596">
        <f t="shared" si="1"/>
        <v>5999.622311485422</v>
      </c>
      <c r="Q8" s="596">
        <f t="shared" si="1"/>
        <v>5738.955020769106</v>
      </c>
      <c r="R8" s="596">
        <f t="shared" si="1"/>
        <v>5481.926805986825</v>
      </c>
      <c r="S8" s="596">
        <f t="shared" si="1"/>
        <v>5217.707362040293</v>
      </c>
      <c r="T8" s="596">
        <f t="shared" si="1"/>
        <v>4973.130096890215</v>
      </c>
      <c r="U8" s="597">
        <f t="shared" si="1"/>
        <v>4500.423529677447</v>
      </c>
      <c r="V8" s="59"/>
      <c r="Y8" s="793">
        <v>10</v>
      </c>
      <c r="Z8" s="794" t="s">
        <v>517</v>
      </c>
      <c r="AA8" s="795"/>
      <c r="AB8" s="796"/>
    </row>
    <row r="9" spans="2:28" ht="12.75">
      <c r="B9" s="59"/>
      <c r="C9" s="59"/>
      <c r="D9" s="59"/>
      <c r="E9" s="59"/>
      <c r="F9" s="59"/>
      <c r="G9" s="59"/>
      <c r="H9" s="59"/>
      <c r="I9" s="59"/>
      <c r="J9" s="59"/>
      <c r="K9" s="59"/>
      <c r="M9" s="59"/>
      <c r="N9" s="59"/>
      <c r="O9" s="59"/>
      <c r="P9" s="59"/>
      <c r="Q9" s="59"/>
      <c r="R9" s="59"/>
      <c r="S9" s="59"/>
      <c r="T9" s="59"/>
      <c r="U9" s="59"/>
      <c r="V9" s="59"/>
      <c r="Y9" s="793"/>
      <c r="Z9" s="794" t="s">
        <v>518</v>
      </c>
      <c r="AA9" s="795"/>
      <c r="AB9" s="796"/>
    </row>
    <row r="10" spans="2:28" ht="15.75" thickBot="1">
      <c r="B10" s="860" t="s">
        <v>377</v>
      </c>
      <c r="C10" s="860"/>
      <c r="D10" s="860"/>
      <c r="E10" s="860"/>
      <c r="F10" s="860"/>
      <c r="G10" s="860"/>
      <c r="H10" s="860"/>
      <c r="I10" s="860"/>
      <c r="J10" s="860"/>
      <c r="K10" s="598"/>
      <c r="M10" s="860" t="s">
        <v>377</v>
      </c>
      <c r="N10" s="860"/>
      <c r="O10" s="860"/>
      <c r="P10" s="860"/>
      <c r="Q10" s="860"/>
      <c r="R10" s="860"/>
      <c r="S10" s="860"/>
      <c r="T10" s="860"/>
      <c r="U10" s="860"/>
      <c r="V10" s="598"/>
      <c r="Y10" s="793">
        <v>100</v>
      </c>
      <c r="Z10" s="794" t="s">
        <v>519</v>
      </c>
      <c r="AA10" s="795"/>
      <c r="AB10" s="796"/>
    </row>
    <row r="11" spans="2:28" ht="15.75" thickBot="1">
      <c r="B11" s="589"/>
      <c r="C11" s="590"/>
      <c r="D11" s="591" t="s">
        <v>320</v>
      </c>
      <c r="E11" s="591" t="s">
        <v>302</v>
      </c>
      <c r="F11" s="591" t="s">
        <v>303</v>
      </c>
      <c r="G11" s="591" t="s">
        <v>304</v>
      </c>
      <c r="H11" s="591" t="s">
        <v>305</v>
      </c>
      <c r="I11" s="591" t="s">
        <v>306</v>
      </c>
      <c r="J11" s="591" t="s">
        <v>307</v>
      </c>
      <c r="K11" s="592" t="s">
        <v>308</v>
      </c>
      <c r="M11" s="589"/>
      <c r="N11" s="590"/>
      <c r="O11" s="591" t="s">
        <v>320</v>
      </c>
      <c r="P11" s="591" t="s">
        <v>302</v>
      </c>
      <c r="Q11" s="591" t="s">
        <v>303</v>
      </c>
      <c r="R11" s="591" t="s">
        <v>304</v>
      </c>
      <c r="S11" s="591" t="s">
        <v>305</v>
      </c>
      <c r="T11" s="591" t="s">
        <v>306</v>
      </c>
      <c r="U11" s="591" t="s">
        <v>307</v>
      </c>
      <c r="V11" s="592" t="s">
        <v>308</v>
      </c>
      <c r="Y11" s="793"/>
      <c r="Z11" s="798" t="s">
        <v>520</v>
      </c>
      <c r="AA11" s="799" t="s">
        <v>521</v>
      </c>
      <c r="AB11" s="800" t="s">
        <v>522</v>
      </c>
    </row>
    <row r="12" spans="2:28" ht="12.75">
      <c r="B12" s="92">
        <v>1</v>
      </c>
      <c r="C12" s="451" t="s">
        <v>376</v>
      </c>
      <c r="D12" s="594">
        <v>12306.0977549107</v>
      </c>
      <c r="E12" s="594">
        <v>6719.5301746105215</v>
      </c>
      <c r="F12" s="594">
        <v>6306.688804753517</v>
      </c>
      <c r="G12" s="594">
        <v>6143.802959027851</v>
      </c>
      <c r="H12" s="594">
        <v>5983.985086465105</v>
      </c>
      <c r="I12" s="594">
        <v>5827.029217391605</v>
      </c>
      <c r="J12" s="594">
        <v>5672.644587446802</v>
      </c>
      <c r="K12" s="595">
        <v>5370.625805761276</v>
      </c>
      <c r="M12" s="92">
        <v>1</v>
      </c>
      <c r="N12" s="451" t="s">
        <v>376</v>
      </c>
      <c r="O12" s="594">
        <v>12130.117201754336</v>
      </c>
      <c r="P12" s="594">
        <v>6124.373483050584</v>
      </c>
      <c r="Q12" s="594">
        <v>5470.250151247283</v>
      </c>
      <c r="R12" s="594">
        <v>5170.273653828644</v>
      </c>
      <c r="S12" s="594">
        <v>4871.858808241159</v>
      </c>
      <c r="T12" s="594">
        <v>4575.05077769337</v>
      </c>
      <c r="U12" s="594">
        <v>4280.290057751333</v>
      </c>
      <c r="V12" s="595">
        <v>3694.561431597996</v>
      </c>
      <c r="Y12" s="793"/>
      <c r="Z12" s="798">
        <v>0.4</v>
      </c>
      <c r="AA12" s="799">
        <v>0</v>
      </c>
      <c r="AB12" s="800" t="s">
        <v>523</v>
      </c>
    </row>
    <row r="13" spans="2:28" ht="12.75">
      <c r="B13" s="93">
        <v>2</v>
      </c>
      <c r="C13" s="452" t="s">
        <v>376</v>
      </c>
      <c r="D13" s="594">
        <v>15104.636883323255</v>
      </c>
      <c r="E13" s="594">
        <v>9850.515923716473</v>
      </c>
      <c r="F13" s="594">
        <v>9391.199138222692</v>
      </c>
      <c r="G13" s="594">
        <v>9241.48908834041</v>
      </c>
      <c r="H13" s="594">
        <v>9100.568048729368</v>
      </c>
      <c r="I13" s="594">
        <v>8967.34559489269</v>
      </c>
      <c r="J13" s="594">
        <v>8841.464316958216</v>
      </c>
      <c r="K13" s="595">
        <v>8609.110604302092</v>
      </c>
      <c r="M13" s="93">
        <v>2</v>
      </c>
      <c r="N13" s="452" t="s">
        <v>376</v>
      </c>
      <c r="O13" s="594">
        <v>15058.088721331727</v>
      </c>
      <c r="P13" s="594">
        <v>9015.398599748916</v>
      </c>
      <c r="Q13" s="594">
        <v>8120.247710525226</v>
      </c>
      <c r="R13" s="594">
        <v>7746.410577051893</v>
      </c>
      <c r="S13" s="594">
        <v>7388.96304082071</v>
      </c>
      <c r="T13" s="594">
        <v>7047.552061852826</v>
      </c>
      <c r="U13" s="594">
        <v>6721.466798088963</v>
      </c>
      <c r="V13" s="595">
        <v>6115.154983514535</v>
      </c>
      <c r="Y13" s="793"/>
      <c r="Z13" s="798">
        <v>0.15</v>
      </c>
      <c r="AA13" s="799">
        <v>1</v>
      </c>
      <c r="AB13" s="800">
        <v>30</v>
      </c>
    </row>
    <row r="14" spans="2:28" ht="12.75">
      <c r="B14" s="93">
        <v>3</v>
      </c>
      <c r="C14" s="452" t="s">
        <v>376</v>
      </c>
      <c r="D14" s="594">
        <v>20425.5725291778</v>
      </c>
      <c r="E14" s="594">
        <v>11709.164888940815</v>
      </c>
      <c r="F14" s="594">
        <v>11244.197535714791</v>
      </c>
      <c r="G14" s="594">
        <v>11098.548337929898</v>
      </c>
      <c r="H14" s="594">
        <v>10965.159097238125</v>
      </c>
      <c r="I14" s="594">
        <v>10843.19952019437</v>
      </c>
      <c r="J14" s="594">
        <v>10730.409518593187</v>
      </c>
      <c r="K14" s="595">
        <v>10529.579155605054</v>
      </c>
      <c r="M14" s="93">
        <v>3</v>
      </c>
      <c r="N14" s="452" t="s">
        <v>376</v>
      </c>
      <c r="O14" s="594">
        <v>20558.660067898178</v>
      </c>
      <c r="P14" s="594">
        <v>10890.55878262052</v>
      </c>
      <c r="Q14" s="594">
        <v>9876.131096935902</v>
      </c>
      <c r="R14" s="594">
        <v>9466.946938885256</v>
      </c>
      <c r="S14" s="594">
        <v>9084.251745356656</v>
      </c>
      <c r="T14" s="594">
        <v>8726.700476646654</v>
      </c>
      <c r="U14" s="594">
        <v>8392.920531126996</v>
      </c>
      <c r="V14" s="595">
        <v>7789.655970918152</v>
      </c>
      <c r="Y14" s="793"/>
      <c r="Z14" s="798">
        <v>0.05</v>
      </c>
      <c r="AA14" s="799">
        <v>2</v>
      </c>
      <c r="AB14" s="800">
        <v>40</v>
      </c>
    </row>
    <row r="15" spans="2:28" ht="15.75" thickBot="1">
      <c r="B15" s="593" t="s">
        <v>318</v>
      </c>
      <c r="C15" s="453" t="s">
        <v>376</v>
      </c>
      <c r="D15" s="596">
        <f aca="true" t="shared" si="2" ref="D15:K15">SUMPRODUCT(D12:D14,$C$26:$C$28)</f>
        <v>13982.756857398494</v>
      </c>
      <c r="E15" s="596">
        <f t="shared" si="2"/>
        <v>8179.691795082415</v>
      </c>
      <c r="F15" s="596">
        <f t="shared" si="2"/>
        <v>7747.403498293496</v>
      </c>
      <c r="G15" s="596">
        <f t="shared" si="2"/>
        <v>7590.280498808534</v>
      </c>
      <c r="H15" s="596">
        <f t="shared" si="2"/>
        <v>7438.901116674833</v>
      </c>
      <c r="I15" s="596">
        <f t="shared" si="2"/>
        <v>7292.726621991201</v>
      </c>
      <c r="J15" s="596">
        <f t="shared" si="2"/>
        <v>7151.246020916917</v>
      </c>
      <c r="K15" s="597">
        <f t="shared" si="2"/>
        <v>6880.7179626614015</v>
      </c>
      <c r="M15" s="593" t="s">
        <v>318</v>
      </c>
      <c r="N15" s="453" t="s">
        <v>376</v>
      </c>
      <c r="O15" s="596">
        <f aca="true" t="shared" si="3" ref="O15:V15">SUMPRODUCT(O12:O14,$C$26:$C$28)</f>
        <v>13877.574808340734</v>
      </c>
      <c r="P15" s="596">
        <f t="shared" si="3"/>
        <v>7488.765427179003</v>
      </c>
      <c r="Q15" s="596">
        <f t="shared" si="3"/>
        <v>6724.653564802862</v>
      </c>
      <c r="R15" s="596">
        <f t="shared" si="3"/>
        <v>6391.094370044518</v>
      </c>
      <c r="S15" s="596">
        <f t="shared" si="3"/>
        <v>6066.143644266962</v>
      </c>
      <c r="T15" s="596">
        <f t="shared" si="3"/>
        <v>5749.584133168664</v>
      </c>
      <c r="U15" s="596">
        <f t="shared" si="3"/>
        <v>5441.321600328851</v>
      </c>
      <c r="V15" s="597">
        <f t="shared" si="3"/>
        <v>4847.543684904573</v>
      </c>
      <c r="Y15" s="793"/>
      <c r="Z15" s="798">
        <v>0.15</v>
      </c>
      <c r="AA15" s="799">
        <v>3</v>
      </c>
      <c r="AB15" s="800">
        <v>30</v>
      </c>
    </row>
    <row r="16" spans="2:28" ht="12.75">
      <c r="B16" s="59"/>
      <c r="C16" s="59"/>
      <c r="D16" s="59"/>
      <c r="E16" s="59"/>
      <c r="F16" s="59"/>
      <c r="G16" s="59"/>
      <c r="H16" s="59"/>
      <c r="I16" s="59"/>
      <c r="J16" s="59"/>
      <c r="K16" s="59"/>
      <c r="M16" s="59"/>
      <c r="N16" s="59"/>
      <c r="O16" s="59"/>
      <c r="P16" s="59"/>
      <c r="Q16" s="59"/>
      <c r="R16" s="59"/>
      <c r="S16" s="59"/>
      <c r="T16" s="59"/>
      <c r="U16" s="59"/>
      <c r="V16" s="59"/>
      <c r="Y16" s="793"/>
      <c r="Z16" s="798">
        <v>0.25</v>
      </c>
      <c r="AA16" s="799">
        <v>3</v>
      </c>
      <c r="AB16" s="800">
        <v>50</v>
      </c>
    </row>
    <row r="17" spans="2:28" ht="15.75" thickBot="1">
      <c r="B17" s="860" t="s">
        <v>378</v>
      </c>
      <c r="C17" s="860"/>
      <c r="D17" s="860"/>
      <c r="E17" s="860"/>
      <c r="F17" s="860"/>
      <c r="G17" s="860"/>
      <c r="H17" s="860"/>
      <c r="I17" s="860"/>
      <c r="J17" s="860"/>
      <c r="K17" s="598"/>
      <c r="M17" s="860" t="s">
        <v>378</v>
      </c>
      <c r="N17" s="860"/>
      <c r="O17" s="860"/>
      <c r="P17" s="860"/>
      <c r="Q17" s="860"/>
      <c r="R17" s="860"/>
      <c r="S17" s="860"/>
      <c r="T17" s="860"/>
      <c r="U17" s="860"/>
      <c r="V17" s="598"/>
      <c r="Y17" s="793">
        <v>101</v>
      </c>
      <c r="Z17" s="794" t="s">
        <v>524</v>
      </c>
      <c r="AA17" s="795"/>
      <c r="AB17" s="796"/>
    </row>
    <row r="18" spans="2:28" ht="15.75" thickBot="1">
      <c r="B18" s="589"/>
      <c r="C18" s="590"/>
      <c r="D18" s="591" t="s">
        <v>320</v>
      </c>
      <c r="E18" s="591" t="s">
        <v>302</v>
      </c>
      <c r="F18" s="591" t="s">
        <v>303</v>
      </c>
      <c r="G18" s="591" t="s">
        <v>304</v>
      </c>
      <c r="H18" s="591" t="s">
        <v>305</v>
      </c>
      <c r="I18" s="591" t="s">
        <v>306</v>
      </c>
      <c r="J18" s="591" t="s">
        <v>307</v>
      </c>
      <c r="K18" s="592" t="s">
        <v>308</v>
      </c>
      <c r="M18" s="589"/>
      <c r="N18" s="590"/>
      <c r="O18" s="591" t="s">
        <v>320</v>
      </c>
      <c r="P18" s="591" t="s">
        <v>302</v>
      </c>
      <c r="Q18" s="591" t="s">
        <v>303</v>
      </c>
      <c r="R18" s="591" t="s">
        <v>304</v>
      </c>
      <c r="S18" s="591" t="s">
        <v>305</v>
      </c>
      <c r="T18" s="591" t="s">
        <v>306</v>
      </c>
      <c r="U18" s="591" t="s">
        <v>307</v>
      </c>
      <c r="V18" s="592" t="s">
        <v>308</v>
      </c>
      <c r="Y18" s="793"/>
      <c r="Z18" s="798" t="s">
        <v>520</v>
      </c>
      <c r="AA18" s="799" t="s">
        <v>521</v>
      </c>
      <c r="AB18" s="800" t="s">
        <v>522</v>
      </c>
    </row>
    <row r="19" spans="2:28" ht="12.75">
      <c r="B19" s="92" t="s">
        <v>379</v>
      </c>
      <c r="C19" s="451" t="s">
        <v>376</v>
      </c>
      <c r="D19" s="594">
        <v>14080.517662083852</v>
      </c>
      <c r="E19" s="594">
        <v>7570.140011758354</v>
      </c>
      <c r="F19" s="594">
        <v>6868.310129160836</v>
      </c>
      <c r="G19" s="594">
        <v>6467.349790203593</v>
      </c>
      <c r="H19" s="594">
        <v>6066.389451234167</v>
      </c>
      <c r="I19" s="594">
        <v>5665.429112250922</v>
      </c>
      <c r="J19" s="594">
        <v>5264.46877327675</v>
      </c>
      <c r="K19" s="595">
        <v>4462.548095383174</v>
      </c>
      <c r="M19" s="92" t="s">
        <v>379</v>
      </c>
      <c r="N19" s="451" t="s">
        <v>376</v>
      </c>
      <c r="O19" s="594"/>
      <c r="P19" s="594"/>
      <c r="Q19" s="594"/>
      <c r="R19" s="594"/>
      <c r="S19" s="594"/>
      <c r="T19" s="594"/>
      <c r="U19" s="594"/>
      <c r="V19" s="595"/>
      <c r="Y19" s="793"/>
      <c r="Z19" s="798">
        <v>0.1</v>
      </c>
      <c r="AA19" s="799">
        <v>0</v>
      </c>
      <c r="AB19" s="800">
        <v>30</v>
      </c>
    </row>
    <row r="20" spans="2:28" ht="12.75">
      <c r="B20" s="93" t="s">
        <v>380</v>
      </c>
      <c r="C20" s="452" t="s">
        <v>376</v>
      </c>
      <c r="D20" s="594">
        <v>17922.001730793727</v>
      </c>
      <c r="E20" s="594">
        <v>11432.907696896658</v>
      </c>
      <c r="F20" s="594">
        <v>10607.288995230037</v>
      </c>
      <c r="G20" s="594">
        <v>10136.60201793873</v>
      </c>
      <c r="H20" s="594">
        <v>9665.915040530686</v>
      </c>
      <c r="I20" s="594">
        <v>9195.228063215049</v>
      </c>
      <c r="J20" s="594">
        <v>8724.54108587401</v>
      </c>
      <c r="K20" s="595">
        <v>7783.167131020156</v>
      </c>
      <c r="M20" s="93" t="s">
        <v>380</v>
      </c>
      <c r="N20" s="452" t="s">
        <v>376</v>
      </c>
      <c r="O20" s="594"/>
      <c r="P20" s="594"/>
      <c r="Q20" s="594"/>
      <c r="R20" s="594"/>
      <c r="S20" s="594"/>
      <c r="T20" s="594"/>
      <c r="U20" s="594"/>
      <c r="V20" s="595"/>
      <c r="Y20" s="793"/>
      <c r="Z20" s="798">
        <v>0.9</v>
      </c>
      <c r="AA20" s="799">
        <v>2</v>
      </c>
      <c r="AB20" s="800">
        <v>40</v>
      </c>
    </row>
    <row r="21" spans="2:28" ht="12.75">
      <c r="B21" s="93" t="s">
        <v>381</v>
      </c>
      <c r="C21" s="452" t="s">
        <v>376</v>
      </c>
      <c r="D21" s="594">
        <v>21958.793996067252</v>
      </c>
      <c r="E21" s="594">
        <v>15561.457282407451</v>
      </c>
      <c r="F21" s="594">
        <v>14478.604448322998</v>
      </c>
      <c r="G21" s="594">
        <v>13845.73261375291</v>
      </c>
      <c r="H21" s="594">
        <v>13212.86077899923</v>
      </c>
      <c r="I21" s="594">
        <v>12579.988944442723</v>
      </c>
      <c r="J21" s="594">
        <v>11947.117109931078</v>
      </c>
      <c r="K21" s="595">
        <v>10681.373440652182</v>
      </c>
      <c r="M21" s="93" t="s">
        <v>381</v>
      </c>
      <c r="N21" s="452" t="s">
        <v>376</v>
      </c>
      <c r="O21" s="594"/>
      <c r="P21" s="594"/>
      <c r="Q21" s="594"/>
      <c r="R21" s="594"/>
      <c r="S21" s="594"/>
      <c r="T21" s="594"/>
      <c r="U21" s="594"/>
      <c r="V21" s="595"/>
      <c r="Y21" s="793">
        <v>102</v>
      </c>
      <c r="Z21" s="794" t="s">
        <v>525</v>
      </c>
      <c r="AA21" s="795"/>
      <c r="AB21" s="796"/>
    </row>
    <row r="22" spans="2:28" ht="15.75" thickBot="1">
      <c r="B22" s="593" t="s">
        <v>318</v>
      </c>
      <c r="C22" s="453" t="s">
        <v>376</v>
      </c>
      <c r="D22" s="596">
        <f aca="true" t="shared" si="4" ref="D22:K22">SUMPRODUCT(D19:D21,$C$26:$C$28)</f>
        <v>16050.337818440505</v>
      </c>
      <c r="E22" s="596">
        <f t="shared" si="4"/>
        <v>9557.918725064344</v>
      </c>
      <c r="F22" s="596">
        <f t="shared" si="4"/>
        <v>8779.704130924265</v>
      </c>
      <c r="G22" s="596">
        <f t="shared" si="4"/>
        <v>8333.962938097475</v>
      </c>
      <c r="H22" s="596">
        <f t="shared" si="4"/>
        <v>7888.2217452092555</v>
      </c>
      <c r="I22" s="596">
        <f t="shared" si="4"/>
        <v>7442.480552360992</v>
      </c>
      <c r="J22" s="596">
        <f t="shared" si="4"/>
        <v>6996.739359514933</v>
      </c>
      <c r="K22" s="597">
        <f t="shared" si="4"/>
        <v>6105.256973777078</v>
      </c>
      <c r="M22" s="593" t="s">
        <v>318</v>
      </c>
      <c r="N22" s="453" t="s">
        <v>376</v>
      </c>
      <c r="O22" s="596"/>
      <c r="P22" s="596"/>
      <c r="Q22" s="596"/>
      <c r="R22" s="596"/>
      <c r="S22" s="596"/>
      <c r="T22" s="596"/>
      <c r="U22" s="596"/>
      <c r="V22" s="597"/>
      <c r="Y22" s="793"/>
      <c r="Z22" s="798" t="s">
        <v>520</v>
      </c>
      <c r="AA22" s="799" t="s">
        <v>521</v>
      </c>
      <c r="AB22" s="800" t="s">
        <v>522</v>
      </c>
    </row>
    <row r="23" spans="2:28" ht="45" customHeight="1">
      <c r="B23" s="865" t="s">
        <v>529</v>
      </c>
      <c r="C23" s="866"/>
      <c r="D23" s="866"/>
      <c r="E23" s="866"/>
      <c r="F23" s="866"/>
      <c r="G23" s="866"/>
      <c r="H23" s="866"/>
      <c r="I23" s="866"/>
      <c r="J23" s="866"/>
      <c r="K23" s="866"/>
      <c r="M23" s="865" t="s">
        <v>528</v>
      </c>
      <c r="N23" s="866"/>
      <c r="O23" s="866"/>
      <c r="P23" s="866"/>
      <c r="Q23" s="866"/>
      <c r="R23" s="866"/>
      <c r="S23" s="866"/>
      <c r="T23" s="866"/>
      <c r="U23" s="866"/>
      <c r="V23" s="866"/>
      <c r="Y23" s="793"/>
      <c r="Z23" s="798">
        <v>0.05</v>
      </c>
      <c r="AA23" s="799">
        <v>1</v>
      </c>
      <c r="AB23" s="800">
        <v>30</v>
      </c>
    </row>
    <row r="24" spans="2:28" ht="15.75" thickBot="1">
      <c r="B24" s="59"/>
      <c r="C24" s="59"/>
      <c r="D24" s="59"/>
      <c r="E24" s="59"/>
      <c r="F24" s="59"/>
      <c r="G24" s="59"/>
      <c r="H24" s="59"/>
      <c r="I24" s="59"/>
      <c r="J24" s="59"/>
      <c r="Y24" s="793"/>
      <c r="Z24" s="798">
        <v>0.65</v>
      </c>
      <c r="AA24" s="799">
        <v>2</v>
      </c>
      <c r="AB24" s="800">
        <v>40</v>
      </c>
    </row>
    <row r="25" spans="2:28" ht="12.75">
      <c r="B25" s="861" t="s">
        <v>383</v>
      </c>
      <c r="C25" s="862"/>
      <c r="D25" s="59"/>
      <c r="E25" s="59"/>
      <c r="F25" s="59"/>
      <c r="G25" s="59"/>
      <c r="H25" s="59"/>
      <c r="I25" s="59"/>
      <c r="J25" s="59"/>
      <c r="L25" s="701"/>
      <c r="M25" s="702" t="s">
        <v>457</v>
      </c>
      <c r="N25" s="702" t="s">
        <v>458</v>
      </c>
      <c r="O25" s="703" t="s">
        <v>462</v>
      </c>
      <c r="Y25" s="793"/>
      <c r="Z25" s="798">
        <v>0.1</v>
      </c>
      <c r="AA25" s="799">
        <v>3</v>
      </c>
      <c r="AB25" s="800">
        <v>30</v>
      </c>
    </row>
    <row r="26" spans="2:28" ht="12.75">
      <c r="B26" s="84" t="s">
        <v>100</v>
      </c>
      <c r="C26" s="61">
        <v>0.5939086294416244</v>
      </c>
      <c r="D26" s="59"/>
      <c r="E26" s="59"/>
      <c r="F26" s="59"/>
      <c r="G26" s="59"/>
      <c r="H26" s="59"/>
      <c r="I26" s="59"/>
      <c r="J26" s="59"/>
      <c r="L26" s="454" t="s">
        <v>100</v>
      </c>
      <c r="M26" s="700">
        <f>AVERAGE(D5:J5)</f>
        <v>5588.428502163427</v>
      </c>
      <c r="N26" s="700">
        <f>AVERAGE(O5:U5)</f>
        <v>4456.293824615355</v>
      </c>
      <c r="O26" s="704">
        <f>(M26-N26)/M26</f>
        <v>0.20258551703932376</v>
      </c>
      <c r="Y26" s="793"/>
      <c r="Z26" s="798">
        <v>0.2</v>
      </c>
      <c r="AA26" s="799">
        <v>3</v>
      </c>
      <c r="AB26" s="800">
        <v>50</v>
      </c>
    </row>
    <row r="27" spans="2:28" ht="12.75">
      <c r="B27" s="84" t="s">
        <v>101</v>
      </c>
      <c r="C27" s="61">
        <v>0.30456852791878175</v>
      </c>
      <c r="D27" s="59"/>
      <c r="E27" s="59"/>
      <c r="F27" s="59"/>
      <c r="G27" s="59"/>
      <c r="H27" s="59"/>
      <c r="I27" s="59"/>
      <c r="J27" s="59"/>
      <c r="L27" s="454" t="s">
        <v>101</v>
      </c>
      <c r="M27" s="700">
        <f>AVERAGE(D6:J6)</f>
        <v>8445.596240598234</v>
      </c>
      <c r="N27" s="700">
        <f>AVERAGE(O6:U6)</f>
        <v>6697.959808830904</v>
      </c>
      <c r="O27" s="704">
        <f>(M27-N27)/M27</f>
        <v>0.2069287214283805</v>
      </c>
      <c r="Y27" s="793">
        <v>103</v>
      </c>
      <c r="Z27" s="801" t="s">
        <v>526</v>
      </c>
      <c r="AA27" s="802"/>
      <c r="AB27" s="803"/>
    </row>
    <row r="28" spans="2:28" ht="12.75">
      <c r="B28" s="84" t="s">
        <v>102</v>
      </c>
      <c r="C28" s="61">
        <v>0.10152284263959392</v>
      </c>
      <c r="D28" s="59"/>
      <c r="E28" s="59"/>
      <c r="F28" s="59"/>
      <c r="G28" s="59"/>
      <c r="H28" s="59"/>
      <c r="I28" s="59"/>
      <c r="J28" s="59"/>
      <c r="L28" s="454" t="s">
        <v>102</v>
      </c>
      <c r="M28" s="700">
        <f>AVERAGE(D7:J7)</f>
        <v>9999.906244621592</v>
      </c>
      <c r="N28" s="700">
        <f>AVERAGE(O7:U7)</f>
        <v>8048.683348646337</v>
      </c>
      <c r="O28" s="704">
        <f>(M28-N28)/M28</f>
        <v>0.19512411899108673</v>
      </c>
      <c r="Y28" s="793"/>
      <c r="Z28" s="801" t="s">
        <v>527</v>
      </c>
      <c r="AA28" s="802"/>
      <c r="AB28" s="803"/>
    </row>
    <row r="29" spans="2:15" ht="15.75" thickBot="1">
      <c r="B29" s="84" t="s">
        <v>318</v>
      </c>
      <c r="C29" s="61">
        <v>1</v>
      </c>
      <c r="D29" s="59"/>
      <c r="E29" s="59"/>
      <c r="F29" s="59"/>
      <c r="G29" s="59"/>
      <c r="H29" s="59"/>
      <c r="I29" s="59"/>
      <c r="J29" s="59"/>
      <c r="L29" s="705" t="s">
        <v>382</v>
      </c>
      <c r="M29" s="706">
        <f>AVERAGE(D8:J8)</f>
        <v>6906.497634931203</v>
      </c>
      <c r="N29" s="706">
        <f>AVERAGE(O8:U8)</f>
        <v>5503.7443298618155</v>
      </c>
      <c r="O29" s="707">
        <f>(M29-N29)/M29</f>
        <v>0.20310631802357237</v>
      </c>
    </row>
    <row r="30" spans="2:10" ht="12.75">
      <c r="B30" s="863" t="s">
        <v>383</v>
      </c>
      <c r="C30" s="864"/>
      <c r="D30" s="59"/>
      <c r="E30" s="59"/>
      <c r="F30" s="59"/>
      <c r="G30" s="59"/>
      <c r="H30" s="59"/>
      <c r="I30" s="59"/>
      <c r="J30" s="59"/>
    </row>
    <row r="31" spans="2:10" ht="12.75">
      <c r="B31" s="84" t="s">
        <v>82</v>
      </c>
      <c r="C31" s="61">
        <v>0.4753521126760565</v>
      </c>
      <c r="D31" s="59"/>
      <c r="E31" s="59"/>
      <c r="F31" s="59"/>
      <c r="G31" s="59"/>
      <c r="H31" s="59"/>
      <c r="I31" s="59"/>
      <c r="J31" s="59"/>
    </row>
    <row r="32" spans="2:10" ht="12.75">
      <c r="B32" s="84" t="s">
        <v>83</v>
      </c>
      <c r="C32" s="61">
        <v>0.24295774647887322</v>
      </c>
      <c r="D32" s="59"/>
      <c r="E32" s="59"/>
      <c r="F32" s="59"/>
      <c r="G32" s="59"/>
      <c r="H32" s="59"/>
      <c r="I32" s="59"/>
      <c r="J32" s="59"/>
    </row>
    <row r="33" spans="2:10" ht="15">
      <c r="B33" s="84" t="s">
        <v>84</v>
      </c>
      <c r="C33" s="61">
        <v>0.28169014084507044</v>
      </c>
      <c r="D33" s="59"/>
      <c r="E33" s="59"/>
      <c r="F33" s="59"/>
      <c r="G33" s="59"/>
      <c r="H33" s="59"/>
      <c r="I33" s="59"/>
      <c r="J33" s="59"/>
    </row>
    <row r="34" spans="2:10" ht="15.75" thickBot="1">
      <c r="B34" s="85" t="s">
        <v>318</v>
      </c>
      <c r="C34" s="64">
        <v>1.0000000000000002</v>
      </c>
      <c r="D34" s="59"/>
      <c r="E34" s="59"/>
      <c r="F34" s="59"/>
      <c r="G34" s="59"/>
      <c r="H34" s="59"/>
      <c r="I34" s="59"/>
      <c r="J34" s="59"/>
    </row>
  </sheetData>
  <mergeCells count="12">
    <mergeCell ref="B25:C25"/>
    <mergeCell ref="B30:C30"/>
    <mergeCell ref="B17:J17"/>
    <mergeCell ref="B23:K23"/>
    <mergeCell ref="M23:V23"/>
    <mergeCell ref="M17:U17"/>
    <mergeCell ref="B1:K2"/>
    <mergeCell ref="M1:V2"/>
    <mergeCell ref="B3:J3"/>
    <mergeCell ref="M3:U3"/>
    <mergeCell ref="B10:J10"/>
    <mergeCell ref="M10:U1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L86"/>
  <sheetViews>
    <sheetView zoomScale="70" zoomScaleNormal="70" workbookViewId="0" topLeftCell="A1"/>
  </sheetViews>
  <sheetFormatPr defaultColWidth="8.7109375" defaultRowHeight="12.75"/>
  <cols>
    <col min="1" max="1" width="3.57421875" style="459" customWidth="1"/>
    <col min="2" max="2" width="9.57421875" style="459" bestFit="1" customWidth="1"/>
    <col min="3" max="7" width="10.7109375" style="459" customWidth="1"/>
    <col min="8" max="8" width="7.00390625" style="459" customWidth="1"/>
    <col min="9" max="9" width="17.7109375" style="459" customWidth="1"/>
    <col min="10" max="18" width="9.140625" style="459" customWidth="1"/>
    <col min="19" max="19" width="12.7109375" style="459" customWidth="1"/>
    <col min="20" max="29" width="9.140625" style="459" customWidth="1"/>
    <col min="30" max="30" width="14.28125" style="459" bestFit="1" customWidth="1"/>
    <col min="31" max="32" width="8.7109375" style="459" customWidth="1"/>
    <col min="33" max="33" width="27.28125" style="459" bestFit="1" customWidth="1"/>
    <col min="34" max="16384" width="8.7109375" style="459" customWidth="1"/>
  </cols>
  <sheetData>
    <row r="1" ht="15" thickBot="1"/>
    <row r="2" spans="9:14" ht="18.75" customHeight="1" thickBot="1">
      <c r="I2" s="870" t="s">
        <v>406</v>
      </c>
      <c r="J2" s="871"/>
      <c r="K2" s="871"/>
      <c r="L2" s="871"/>
      <c r="M2" s="871"/>
      <c r="N2" s="872"/>
    </row>
    <row r="3" spans="9:14" ht="14.45" customHeight="1" thickBot="1">
      <c r="I3" s="873" t="s">
        <v>407</v>
      </c>
      <c r="J3" s="874"/>
      <c r="K3" s="874"/>
      <c r="L3" s="874"/>
      <c r="M3" s="874"/>
      <c r="N3" s="875"/>
    </row>
    <row r="4" ht="9.6" customHeight="1" thickBot="1"/>
    <row r="5" spans="2:7" ht="15" thickBot="1">
      <c r="B5" s="876" t="s">
        <v>402</v>
      </c>
      <c r="C5" s="877"/>
      <c r="D5" s="877"/>
      <c r="E5" s="877"/>
      <c r="F5" s="877"/>
      <c r="G5" s="878"/>
    </row>
    <row r="6" spans="2:38" ht="15" thickBot="1">
      <c r="B6" s="460"/>
      <c r="C6" s="635">
        <v>2010</v>
      </c>
      <c r="D6" s="635">
        <v>2011</v>
      </c>
      <c r="E6" s="635">
        <v>2012</v>
      </c>
      <c r="F6" s="635">
        <v>2013</v>
      </c>
      <c r="G6" s="636">
        <v>2014</v>
      </c>
      <c r="I6" s="463" t="s">
        <v>386</v>
      </c>
      <c r="J6" s="464"/>
      <c r="K6" s="464"/>
      <c r="L6" s="464"/>
      <c r="M6" s="464"/>
      <c r="N6" s="464"/>
      <c r="O6" s="464"/>
      <c r="P6" s="464"/>
      <c r="Q6" s="464"/>
      <c r="R6" s="464"/>
      <c r="S6" s="464"/>
      <c r="T6" s="464"/>
      <c r="U6" s="464"/>
      <c r="V6" s="464"/>
      <c r="W6" s="464"/>
      <c r="X6" s="464"/>
      <c r="Y6" s="464"/>
      <c r="Z6" s="464"/>
      <c r="AA6" s="464"/>
      <c r="AB6" s="464"/>
      <c r="AC6" s="652"/>
      <c r="AG6" s="471"/>
      <c r="AH6" s="472" t="s">
        <v>408</v>
      </c>
      <c r="AI6" s="473"/>
      <c r="AJ6" s="473"/>
      <c r="AK6" s="473"/>
      <c r="AL6" s="474"/>
    </row>
    <row r="7" spans="2:38" ht="15" thickBot="1">
      <c r="B7" s="460" t="s">
        <v>302</v>
      </c>
      <c r="C7" s="455">
        <f>M9</f>
        <v>57</v>
      </c>
      <c r="D7" s="455">
        <f>Q9</f>
        <v>2219</v>
      </c>
      <c r="E7" s="455">
        <f>U9</f>
        <v>2427.16</v>
      </c>
      <c r="F7" s="455">
        <f>Y9</f>
        <v>5849.6</v>
      </c>
      <c r="G7" s="456">
        <f>AC9</f>
        <v>6703.16</v>
      </c>
      <c r="I7" s="651"/>
      <c r="J7" s="879">
        <v>2010</v>
      </c>
      <c r="K7" s="880"/>
      <c r="L7" s="880"/>
      <c r="M7" s="881"/>
      <c r="N7" s="879">
        <v>2011</v>
      </c>
      <c r="O7" s="880"/>
      <c r="P7" s="880"/>
      <c r="Q7" s="881"/>
      <c r="R7" s="879">
        <v>2012</v>
      </c>
      <c r="S7" s="880"/>
      <c r="T7" s="880"/>
      <c r="U7" s="881"/>
      <c r="V7" s="879">
        <v>2013</v>
      </c>
      <c r="W7" s="880"/>
      <c r="X7" s="880"/>
      <c r="Y7" s="881"/>
      <c r="Z7" s="879">
        <v>2014</v>
      </c>
      <c r="AA7" s="880"/>
      <c r="AB7" s="880"/>
      <c r="AC7" s="881"/>
      <c r="AG7" s="460"/>
      <c r="AH7" s="461">
        <v>2010</v>
      </c>
      <c r="AI7" s="461">
        <v>2011</v>
      </c>
      <c r="AJ7" s="461">
        <v>2012</v>
      </c>
      <c r="AK7" s="461">
        <v>2013</v>
      </c>
      <c r="AL7" s="462">
        <v>2014</v>
      </c>
    </row>
    <row r="8" spans="2:38" ht="28.5">
      <c r="B8" s="460" t="s">
        <v>303</v>
      </c>
      <c r="C8" s="455">
        <f>M10</f>
        <v>306</v>
      </c>
      <c r="D8" s="455">
        <f>Q10</f>
        <v>213</v>
      </c>
      <c r="E8" s="455">
        <f>U10</f>
        <v>224.83999999999997</v>
      </c>
      <c r="F8" s="455">
        <f>Y10</f>
        <v>7919.4</v>
      </c>
      <c r="G8" s="456">
        <f>AC10</f>
        <v>9226.84</v>
      </c>
      <c r="I8" s="650" t="s">
        <v>387</v>
      </c>
      <c r="J8" s="641" t="s">
        <v>388</v>
      </c>
      <c r="K8" s="642" t="s">
        <v>389</v>
      </c>
      <c r="L8" s="643" t="s">
        <v>390</v>
      </c>
      <c r="M8" s="644" t="s">
        <v>1</v>
      </c>
      <c r="N8" s="641" t="s">
        <v>388</v>
      </c>
      <c r="O8" s="642" t="s">
        <v>389</v>
      </c>
      <c r="P8" s="643" t="s">
        <v>390</v>
      </c>
      <c r="Q8" s="644" t="s">
        <v>1</v>
      </c>
      <c r="R8" s="641" t="s">
        <v>388</v>
      </c>
      <c r="S8" s="642" t="s">
        <v>389</v>
      </c>
      <c r="T8" s="643" t="s">
        <v>390</v>
      </c>
      <c r="U8" s="644" t="s">
        <v>1</v>
      </c>
      <c r="V8" s="641" t="s">
        <v>388</v>
      </c>
      <c r="W8" s="642" t="s">
        <v>389</v>
      </c>
      <c r="X8" s="643" t="s">
        <v>390</v>
      </c>
      <c r="Y8" s="644" t="s">
        <v>1</v>
      </c>
      <c r="Z8" s="641" t="s">
        <v>388</v>
      </c>
      <c r="AA8" s="642" t="s">
        <v>389</v>
      </c>
      <c r="AB8" s="643" t="s">
        <v>390</v>
      </c>
      <c r="AC8" s="644" t="s">
        <v>1</v>
      </c>
      <c r="AG8" s="460"/>
      <c r="AH8" s="478"/>
      <c r="AI8" s="478"/>
      <c r="AJ8" s="478"/>
      <c r="AK8" s="478"/>
      <c r="AL8" s="475"/>
    </row>
    <row r="9" spans="2:38" ht="12.75">
      <c r="B9" s="460" t="s">
        <v>304</v>
      </c>
      <c r="C9" s="455">
        <f>M11/2</f>
        <v>142.5</v>
      </c>
      <c r="D9" s="455">
        <f>Q11/2</f>
        <v>521</v>
      </c>
      <c r="E9" s="455">
        <f>$U$11/2</f>
        <v>303.5</v>
      </c>
      <c r="F9" s="455">
        <f>$Y$11/2</f>
        <v>1166.5</v>
      </c>
      <c r="G9" s="456">
        <f>$AC$11/2</f>
        <v>1401.5</v>
      </c>
      <c r="H9" s="467"/>
      <c r="I9" s="637" t="s">
        <v>396</v>
      </c>
      <c r="J9" s="645">
        <v>6</v>
      </c>
      <c r="K9" s="640">
        <v>51</v>
      </c>
      <c r="L9" s="640">
        <v>0</v>
      </c>
      <c r="M9" s="646">
        <f aca="true" t="shared" si="0" ref="M9:M14">SUM(J9:L9)</f>
        <v>57</v>
      </c>
      <c r="N9" s="645">
        <v>152</v>
      </c>
      <c r="O9" s="640">
        <v>1749</v>
      </c>
      <c r="P9" s="640">
        <v>318</v>
      </c>
      <c r="Q9" s="646">
        <f aca="true" t="shared" si="1" ref="Q9:Q14">SUM(N9:P9)</f>
        <v>2219</v>
      </c>
      <c r="R9" s="645">
        <v>136</v>
      </c>
      <c r="S9" s="640">
        <v>1888.68</v>
      </c>
      <c r="T9" s="640">
        <v>402.48</v>
      </c>
      <c r="U9" s="646">
        <f aca="true" t="shared" si="2" ref="U9:U14">SUM(R9:T9)</f>
        <v>2427.16</v>
      </c>
      <c r="V9" s="645">
        <v>293</v>
      </c>
      <c r="W9" s="640">
        <v>3902.8</v>
      </c>
      <c r="X9" s="640">
        <v>1653.8</v>
      </c>
      <c r="Y9" s="646">
        <f aca="true" t="shared" si="3" ref="Y9:Y14">SUM(V9:X9)</f>
        <v>5849.6</v>
      </c>
      <c r="Z9" s="645">
        <v>454</v>
      </c>
      <c r="AA9" s="640">
        <v>4525.96</v>
      </c>
      <c r="AB9" s="640">
        <v>1723.2</v>
      </c>
      <c r="AC9" s="646">
        <f aca="true" t="shared" si="4" ref="AC9:AC14">SUM(Z9:AB9)</f>
        <v>6703.16</v>
      </c>
      <c r="AG9" s="482" t="s">
        <v>409</v>
      </c>
      <c r="AH9" s="480">
        <v>41596</v>
      </c>
      <c r="AI9" s="481">
        <v>38574</v>
      </c>
      <c r="AJ9" s="481">
        <v>41146</v>
      </c>
      <c r="AK9" s="481">
        <v>47218</v>
      </c>
      <c r="AL9" s="483">
        <v>65259</v>
      </c>
    </row>
    <row r="10" spans="2:38" ht="15" thickBot="1">
      <c r="B10" s="460" t="s">
        <v>305</v>
      </c>
      <c r="C10" s="455">
        <f>M11/2</f>
        <v>142.5</v>
      </c>
      <c r="D10" s="455">
        <f>Q11/2</f>
        <v>521</v>
      </c>
      <c r="E10" s="455">
        <f>$U$11/2</f>
        <v>303.5</v>
      </c>
      <c r="F10" s="455">
        <f>$Y$11/2</f>
        <v>1166.5</v>
      </c>
      <c r="G10" s="456">
        <f>$AC$11/2</f>
        <v>1401.5</v>
      </c>
      <c r="H10" s="467"/>
      <c r="I10" s="638" t="s">
        <v>392</v>
      </c>
      <c r="J10" s="645">
        <v>4</v>
      </c>
      <c r="K10" s="640">
        <v>178</v>
      </c>
      <c r="L10" s="640">
        <v>124</v>
      </c>
      <c r="M10" s="646">
        <f t="shared" si="0"/>
        <v>306</v>
      </c>
      <c r="N10" s="645">
        <v>3</v>
      </c>
      <c r="O10" s="640">
        <v>138</v>
      </c>
      <c r="P10" s="640">
        <v>72</v>
      </c>
      <c r="Q10" s="646">
        <f t="shared" si="1"/>
        <v>213</v>
      </c>
      <c r="R10" s="645">
        <v>1</v>
      </c>
      <c r="S10" s="640">
        <v>154.32</v>
      </c>
      <c r="T10" s="640">
        <v>69.52</v>
      </c>
      <c r="U10" s="646">
        <f t="shared" si="2"/>
        <v>224.83999999999997</v>
      </c>
      <c r="V10" s="645">
        <v>157</v>
      </c>
      <c r="W10" s="640">
        <v>6227.2</v>
      </c>
      <c r="X10" s="640">
        <v>1535.2</v>
      </c>
      <c r="Y10" s="646">
        <f t="shared" si="3"/>
        <v>7919.4</v>
      </c>
      <c r="Z10" s="645">
        <v>213</v>
      </c>
      <c r="AA10" s="640">
        <v>7249.04</v>
      </c>
      <c r="AB10" s="640">
        <v>1764.8</v>
      </c>
      <c r="AC10" s="646">
        <f t="shared" si="4"/>
        <v>9226.84</v>
      </c>
      <c r="AG10" s="484" t="s">
        <v>410</v>
      </c>
      <c r="AH10" s="485">
        <v>1790</v>
      </c>
      <c r="AI10" s="486">
        <v>1723</v>
      </c>
      <c r="AJ10" s="486">
        <v>1482</v>
      </c>
      <c r="AK10" s="486">
        <v>1880</v>
      </c>
      <c r="AL10" s="487">
        <v>1666</v>
      </c>
    </row>
    <row r="11" spans="2:29" ht="15" thickBot="1">
      <c r="B11" s="460" t="s">
        <v>306</v>
      </c>
      <c r="C11" s="455">
        <f>M12/2</f>
        <v>0</v>
      </c>
      <c r="D11" s="455">
        <f>Q12/2</f>
        <v>167</v>
      </c>
      <c r="E11" s="455">
        <f>$U$12/2</f>
        <v>197</v>
      </c>
      <c r="F11" s="455">
        <f>$Y$12/2</f>
        <v>47</v>
      </c>
      <c r="G11" s="456">
        <f>$AC$12/2</f>
        <v>137</v>
      </c>
      <c r="H11" s="467"/>
      <c r="I11" s="638" t="s">
        <v>393</v>
      </c>
      <c r="J11" s="645">
        <v>0</v>
      </c>
      <c r="K11" s="640">
        <v>223</v>
      </c>
      <c r="L11" s="640">
        <v>62</v>
      </c>
      <c r="M11" s="646">
        <f t="shared" si="0"/>
        <v>285</v>
      </c>
      <c r="N11" s="645">
        <v>1</v>
      </c>
      <c r="O11" s="640">
        <v>764</v>
      </c>
      <c r="P11" s="640">
        <v>277</v>
      </c>
      <c r="Q11" s="646">
        <f t="shared" si="1"/>
        <v>1042</v>
      </c>
      <c r="R11" s="645">
        <v>39</v>
      </c>
      <c r="S11" s="640">
        <v>459</v>
      </c>
      <c r="T11" s="640">
        <v>109</v>
      </c>
      <c r="U11" s="646">
        <f t="shared" si="2"/>
        <v>607</v>
      </c>
      <c r="V11" s="645">
        <v>0</v>
      </c>
      <c r="W11" s="640">
        <v>1926</v>
      </c>
      <c r="X11" s="640">
        <v>407</v>
      </c>
      <c r="Y11" s="646">
        <f t="shared" si="3"/>
        <v>2333</v>
      </c>
      <c r="Z11" s="645">
        <v>0</v>
      </c>
      <c r="AA11" s="640">
        <v>2220</v>
      </c>
      <c r="AB11" s="640">
        <v>583</v>
      </c>
      <c r="AC11" s="646">
        <f t="shared" si="4"/>
        <v>2803</v>
      </c>
    </row>
    <row r="12" spans="2:38" ht="12.75">
      <c r="B12" s="460" t="s">
        <v>307</v>
      </c>
      <c r="C12" s="455">
        <f>M12/2</f>
        <v>0</v>
      </c>
      <c r="D12" s="455">
        <f>Q12/2</f>
        <v>167</v>
      </c>
      <c r="E12" s="455">
        <f>$U$12/2</f>
        <v>197</v>
      </c>
      <c r="F12" s="455">
        <f>$Y$12/2</f>
        <v>47</v>
      </c>
      <c r="G12" s="456">
        <f>$AC$12/2</f>
        <v>137</v>
      </c>
      <c r="H12" s="467"/>
      <c r="I12" s="637" t="s">
        <v>394</v>
      </c>
      <c r="J12" s="645">
        <v>0</v>
      </c>
      <c r="K12" s="640">
        <v>0</v>
      </c>
      <c r="L12" s="640">
        <v>0</v>
      </c>
      <c r="M12" s="646">
        <f t="shared" si="0"/>
        <v>0</v>
      </c>
      <c r="N12" s="645">
        <v>0</v>
      </c>
      <c r="O12" s="640">
        <v>202</v>
      </c>
      <c r="P12" s="640">
        <v>132</v>
      </c>
      <c r="Q12" s="646">
        <f t="shared" si="1"/>
        <v>334</v>
      </c>
      <c r="R12" s="645">
        <v>0</v>
      </c>
      <c r="S12" s="640">
        <v>243</v>
      </c>
      <c r="T12" s="640">
        <v>151</v>
      </c>
      <c r="U12" s="646">
        <f t="shared" si="2"/>
        <v>394</v>
      </c>
      <c r="V12" s="645">
        <v>0</v>
      </c>
      <c r="W12" s="640">
        <v>70</v>
      </c>
      <c r="X12" s="640">
        <v>24</v>
      </c>
      <c r="Y12" s="646">
        <f t="shared" si="3"/>
        <v>94</v>
      </c>
      <c r="Z12" s="645">
        <v>0</v>
      </c>
      <c r="AA12" s="640">
        <v>109</v>
      </c>
      <c r="AB12" s="640">
        <v>165</v>
      </c>
      <c r="AC12" s="646">
        <f t="shared" si="4"/>
        <v>274</v>
      </c>
      <c r="AG12" s="471"/>
      <c r="AH12" s="472" t="s">
        <v>411</v>
      </c>
      <c r="AI12" s="473"/>
      <c r="AJ12" s="473"/>
      <c r="AK12" s="473"/>
      <c r="AL12" s="474"/>
    </row>
    <row r="13" spans="2:38" ht="12.75">
      <c r="B13" s="460" t="s">
        <v>308</v>
      </c>
      <c r="C13" s="455">
        <f>M13</f>
        <v>0</v>
      </c>
      <c r="D13" s="455">
        <f>Q13</f>
        <v>314</v>
      </c>
      <c r="E13" s="455">
        <f>U13</f>
        <v>519</v>
      </c>
      <c r="F13" s="455">
        <f>Y13</f>
        <v>602</v>
      </c>
      <c r="G13" s="456">
        <f>AC13</f>
        <v>468</v>
      </c>
      <c r="H13" s="467"/>
      <c r="I13" s="637" t="s">
        <v>395</v>
      </c>
      <c r="J13" s="645">
        <v>0</v>
      </c>
      <c r="K13" s="640">
        <v>0</v>
      </c>
      <c r="L13" s="640">
        <v>0</v>
      </c>
      <c r="M13" s="646">
        <f t="shared" si="0"/>
        <v>0</v>
      </c>
      <c r="N13" s="645">
        <v>0</v>
      </c>
      <c r="O13" s="640">
        <v>144</v>
      </c>
      <c r="P13" s="640">
        <v>170</v>
      </c>
      <c r="Q13" s="646">
        <f t="shared" si="1"/>
        <v>314</v>
      </c>
      <c r="R13" s="645">
        <v>0</v>
      </c>
      <c r="S13" s="640">
        <v>281</v>
      </c>
      <c r="T13" s="640">
        <v>238</v>
      </c>
      <c r="U13" s="646">
        <f t="shared" si="2"/>
        <v>519</v>
      </c>
      <c r="V13" s="645">
        <v>0</v>
      </c>
      <c r="W13" s="640">
        <v>355</v>
      </c>
      <c r="X13" s="640">
        <v>247</v>
      </c>
      <c r="Y13" s="646">
        <f t="shared" si="3"/>
        <v>602</v>
      </c>
      <c r="Z13" s="645">
        <v>0</v>
      </c>
      <c r="AA13" s="640">
        <v>212</v>
      </c>
      <c r="AB13" s="640">
        <v>256</v>
      </c>
      <c r="AC13" s="646">
        <f t="shared" si="4"/>
        <v>468</v>
      </c>
      <c r="AG13" s="460"/>
      <c r="AH13" s="461"/>
      <c r="AI13" s="461"/>
      <c r="AJ13" s="461"/>
      <c r="AK13" s="461"/>
      <c r="AL13" s="462"/>
    </row>
    <row r="14" spans="2:38" ht="15" thickBot="1">
      <c r="B14" s="629" t="s">
        <v>1</v>
      </c>
      <c r="C14" s="630">
        <f>SUM(C7:C13)</f>
        <v>648</v>
      </c>
      <c r="D14" s="630">
        <f>SUM(D7:D13)</f>
        <v>4122</v>
      </c>
      <c r="E14" s="630">
        <f>SUM(E7:E13)</f>
        <v>4172</v>
      </c>
      <c r="F14" s="630">
        <f>SUM(F7:F13)</f>
        <v>16798</v>
      </c>
      <c r="G14" s="631">
        <f>SUM(G7:G13)</f>
        <v>19475</v>
      </c>
      <c r="H14" s="467"/>
      <c r="I14" s="639" t="s">
        <v>1</v>
      </c>
      <c r="J14" s="647">
        <v>10</v>
      </c>
      <c r="K14" s="648">
        <v>452</v>
      </c>
      <c r="L14" s="648">
        <v>186</v>
      </c>
      <c r="M14" s="649">
        <f t="shared" si="0"/>
        <v>648</v>
      </c>
      <c r="N14" s="647">
        <v>156</v>
      </c>
      <c r="O14" s="648">
        <v>2997</v>
      </c>
      <c r="P14" s="648">
        <v>969</v>
      </c>
      <c r="Q14" s="649">
        <f t="shared" si="1"/>
        <v>4122</v>
      </c>
      <c r="R14" s="647">
        <v>176</v>
      </c>
      <c r="S14" s="648">
        <v>3026</v>
      </c>
      <c r="T14" s="648">
        <v>970</v>
      </c>
      <c r="U14" s="649">
        <f t="shared" si="2"/>
        <v>4172</v>
      </c>
      <c r="V14" s="647">
        <v>450</v>
      </c>
      <c r="W14" s="648">
        <v>12481</v>
      </c>
      <c r="X14" s="648">
        <v>3867</v>
      </c>
      <c r="Y14" s="649">
        <f t="shared" si="3"/>
        <v>16798</v>
      </c>
      <c r="Z14" s="647">
        <v>667</v>
      </c>
      <c r="AA14" s="648">
        <v>14316</v>
      </c>
      <c r="AB14" s="648">
        <v>4492</v>
      </c>
      <c r="AC14" s="649">
        <f t="shared" si="4"/>
        <v>19475</v>
      </c>
      <c r="AG14" s="460"/>
      <c r="AH14" s="461">
        <v>2010</v>
      </c>
      <c r="AI14" s="461">
        <v>2011</v>
      </c>
      <c r="AJ14" s="461">
        <v>2012</v>
      </c>
      <c r="AK14" s="461">
        <v>2013</v>
      </c>
      <c r="AL14" s="462">
        <v>2014</v>
      </c>
    </row>
    <row r="15" spans="8:38" ht="15" thickBot="1">
      <c r="H15" s="467"/>
      <c r="I15" s="465"/>
      <c r="J15" s="468"/>
      <c r="K15" s="468"/>
      <c r="L15" s="468"/>
      <c r="M15" s="468"/>
      <c r="N15" s="469"/>
      <c r="O15" s="469"/>
      <c r="P15" s="469"/>
      <c r="Q15" s="469"/>
      <c r="R15" s="469"/>
      <c r="S15" s="469"/>
      <c r="T15" s="469"/>
      <c r="U15" s="469"/>
      <c r="V15" s="469"/>
      <c r="W15" s="469"/>
      <c r="X15" s="469"/>
      <c r="Y15" s="469"/>
      <c r="Z15" s="469"/>
      <c r="AA15" s="469"/>
      <c r="AB15" s="469"/>
      <c r="AC15" s="469"/>
      <c r="AG15" s="482" t="s">
        <v>409</v>
      </c>
      <c r="AH15" s="479">
        <v>0.015578421002019425</v>
      </c>
      <c r="AI15" s="479">
        <v>0.10685954269715352</v>
      </c>
      <c r="AJ15" s="479">
        <v>0.1013950323239197</v>
      </c>
      <c r="AK15" s="479">
        <v>0.355754161548562</v>
      </c>
      <c r="AL15" s="476">
        <v>0.2984262707059563</v>
      </c>
    </row>
    <row r="16" spans="2:38" ht="15" thickBot="1">
      <c r="B16" s="876" t="s">
        <v>403</v>
      </c>
      <c r="C16" s="877"/>
      <c r="D16" s="877"/>
      <c r="E16" s="877"/>
      <c r="F16" s="877"/>
      <c r="G16" s="878"/>
      <c r="I16" s="463" t="s">
        <v>412</v>
      </c>
      <c r="J16" s="464"/>
      <c r="K16" s="464"/>
      <c r="L16" s="464"/>
      <c r="M16" s="464"/>
      <c r="N16" s="464"/>
      <c r="O16" s="464"/>
      <c r="P16" s="464"/>
      <c r="Q16" s="464"/>
      <c r="R16" s="464"/>
      <c r="S16" s="464"/>
      <c r="T16" s="464"/>
      <c r="U16" s="464"/>
      <c r="V16" s="464"/>
      <c r="W16" s="464"/>
      <c r="X16" s="464"/>
      <c r="Y16" s="464"/>
      <c r="Z16" s="464"/>
      <c r="AA16" s="464"/>
      <c r="AB16" s="464"/>
      <c r="AC16" s="652"/>
      <c r="AG16" s="484" t="s">
        <v>410</v>
      </c>
      <c r="AH16" s="711">
        <v>0.006145251396648044</v>
      </c>
      <c r="AI16" s="711">
        <v>0.14219384793964016</v>
      </c>
      <c r="AJ16" s="711">
        <v>0.15182186234817813</v>
      </c>
      <c r="AK16" s="711">
        <v>0.7664893617021277</v>
      </c>
      <c r="AL16" s="477">
        <v>0.7220888355342137</v>
      </c>
    </row>
    <row r="17" spans="2:33" ht="15" thickBot="1">
      <c r="B17" s="466"/>
      <c r="C17" s="635">
        <v>2010</v>
      </c>
      <c r="D17" s="635">
        <v>2011</v>
      </c>
      <c r="E17" s="635">
        <v>2012</v>
      </c>
      <c r="F17" s="635">
        <v>2013</v>
      </c>
      <c r="G17" s="636">
        <v>2014</v>
      </c>
      <c r="I17" s="651"/>
      <c r="J17" s="879">
        <v>2010</v>
      </c>
      <c r="K17" s="880"/>
      <c r="L17" s="880"/>
      <c r="M17" s="881"/>
      <c r="N17" s="879">
        <v>2011</v>
      </c>
      <c r="O17" s="880"/>
      <c r="P17" s="880"/>
      <c r="Q17" s="881"/>
      <c r="R17" s="879">
        <v>2012</v>
      </c>
      <c r="S17" s="880"/>
      <c r="T17" s="880"/>
      <c r="U17" s="881"/>
      <c r="V17" s="879">
        <v>2013</v>
      </c>
      <c r="W17" s="880"/>
      <c r="X17" s="880"/>
      <c r="Y17" s="881"/>
      <c r="Z17" s="879">
        <v>2014</v>
      </c>
      <c r="AA17" s="880"/>
      <c r="AB17" s="880"/>
      <c r="AC17" s="881"/>
      <c r="AG17" s="459" t="s">
        <v>413</v>
      </c>
    </row>
    <row r="18" spans="2:29" ht="28.5">
      <c r="B18" s="466" t="s">
        <v>302</v>
      </c>
      <c r="C18" s="457">
        <f aca="true" t="shared" si="5" ref="C18:G24">C7/C$14</f>
        <v>0.08796296296296297</v>
      </c>
      <c r="D18" s="457">
        <f t="shared" si="5"/>
        <v>0.5383309073265405</v>
      </c>
      <c r="E18" s="457">
        <f t="shared" si="5"/>
        <v>0.5817737296260785</v>
      </c>
      <c r="F18" s="457">
        <f t="shared" si="5"/>
        <v>0.34823193237290156</v>
      </c>
      <c r="G18" s="458">
        <f t="shared" si="5"/>
        <v>0.3441930680359435</v>
      </c>
      <c r="I18" s="650" t="s">
        <v>387</v>
      </c>
      <c r="J18" s="641" t="s">
        <v>388</v>
      </c>
      <c r="K18" s="642" t="s">
        <v>389</v>
      </c>
      <c r="L18" s="643" t="s">
        <v>390</v>
      </c>
      <c r="M18" s="644" t="s">
        <v>1</v>
      </c>
      <c r="N18" s="641" t="s">
        <v>388</v>
      </c>
      <c r="O18" s="642" t="s">
        <v>389</v>
      </c>
      <c r="P18" s="643" t="s">
        <v>390</v>
      </c>
      <c r="Q18" s="644" t="s">
        <v>1</v>
      </c>
      <c r="R18" s="641" t="s">
        <v>388</v>
      </c>
      <c r="S18" s="642" t="s">
        <v>389</v>
      </c>
      <c r="T18" s="643" t="s">
        <v>390</v>
      </c>
      <c r="U18" s="644" t="s">
        <v>1</v>
      </c>
      <c r="V18" s="641" t="s">
        <v>388</v>
      </c>
      <c r="W18" s="642" t="s">
        <v>389</v>
      </c>
      <c r="X18" s="643" t="s">
        <v>390</v>
      </c>
      <c r="Y18" s="644" t="s">
        <v>1</v>
      </c>
      <c r="Z18" s="641" t="s">
        <v>388</v>
      </c>
      <c r="AA18" s="642" t="s">
        <v>389</v>
      </c>
      <c r="AB18" s="643" t="s">
        <v>390</v>
      </c>
      <c r="AC18" s="644" t="s">
        <v>1</v>
      </c>
    </row>
    <row r="19" spans="2:29" ht="12.75">
      <c r="B19" s="466" t="s">
        <v>303</v>
      </c>
      <c r="C19" s="457">
        <f t="shared" si="5"/>
        <v>0.4722222222222222</v>
      </c>
      <c r="D19" s="457">
        <f t="shared" si="5"/>
        <v>0.05167394468704512</v>
      </c>
      <c r="E19" s="457">
        <f t="shared" si="5"/>
        <v>0.05389261744966442</v>
      </c>
      <c r="F19" s="457">
        <f t="shared" si="5"/>
        <v>0.47144898202166924</v>
      </c>
      <c r="G19" s="458">
        <f t="shared" si="5"/>
        <v>0.47377869062901157</v>
      </c>
      <c r="I19" s="637" t="s">
        <v>396</v>
      </c>
      <c r="J19" s="645">
        <v>0</v>
      </c>
      <c r="K19" s="640">
        <v>7</v>
      </c>
      <c r="L19" s="640">
        <v>4</v>
      </c>
      <c r="M19" s="646">
        <f aca="true" t="shared" si="6" ref="M19:M24">SUM(J19:L19)</f>
        <v>11</v>
      </c>
      <c r="N19" s="645">
        <v>0</v>
      </c>
      <c r="O19" s="640">
        <v>181</v>
      </c>
      <c r="P19" s="640">
        <v>64</v>
      </c>
      <c r="Q19" s="646">
        <f aca="true" t="shared" si="7" ref="Q19:Q24">SUM(N19:P19)</f>
        <v>245</v>
      </c>
      <c r="R19" s="645">
        <v>0</v>
      </c>
      <c r="S19" s="640">
        <v>169</v>
      </c>
      <c r="T19" s="640">
        <v>56</v>
      </c>
      <c r="U19" s="646">
        <f aca="true" t="shared" si="8" ref="U19:U24">SUM(R19:T19)</f>
        <v>225</v>
      </c>
      <c r="V19" s="645">
        <v>10</v>
      </c>
      <c r="W19" s="640">
        <v>178</v>
      </c>
      <c r="X19" s="640">
        <v>148</v>
      </c>
      <c r="Y19" s="646">
        <f aca="true" t="shared" si="9" ref="Y19:Y24">SUM(V19:X19)</f>
        <v>336</v>
      </c>
      <c r="Z19" s="645">
        <v>0</v>
      </c>
      <c r="AA19" s="640">
        <v>169</v>
      </c>
      <c r="AB19" s="640">
        <v>166</v>
      </c>
      <c r="AC19" s="646">
        <f aca="true" t="shared" si="10" ref="AC19:AC24">SUM(Z19:AB19)</f>
        <v>335</v>
      </c>
    </row>
    <row r="20" spans="2:29" ht="12.75">
      <c r="B20" s="466" t="s">
        <v>304</v>
      </c>
      <c r="C20" s="457">
        <f t="shared" si="5"/>
        <v>0.2199074074074074</v>
      </c>
      <c r="D20" s="457">
        <f t="shared" si="5"/>
        <v>0.12639495390587094</v>
      </c>
      <c r="E20" s="457">
        <f t="shared" si="5"/>
        <v>0.07274688398849473</v>
      </c>
      <c r="F20" s="457">
        <f t="shared" si="5"/>
        <v>0.06944279080842958</v>
      </c>
      <c r="G20" s="458">
        <f t="shared" si="5"/>
        <v>0.07196405648267008</v>
      </c>
      <c r="I20" s="638" t="s">
        <v>392</v>
      </c>
      <c r="J20" s="645">
        <v>0</v>
      </c>
      <c r="K20" s="640">
        <v>0</v>
      </c>
      <c r="L20" s="640">
        <v>0</v>
      </c>
      <c r="M20" s="646">
        <f t="shared" si="6"/>
        <v>0</v>
      </c>
      <c r="N20" s="645">
        <v>0</v>
      </c>
      <c r="O20" s="640">
        <v>0</v>
      </c>
      <c r="P20" s="640">
        <v>0</v>
      </c>
      <c r="Q20" s="646">
        <f t="shared" si="7"/>
        <v>0</v>
      </c>
      <c r="R20" s="645">
        <v>0</v>
      </c>
      <c r="S20" s="640">
        <v>0</v>
      </c>
      <c r="T20" s="640">
        <v>0</v>
      </c>
      <c r="U20" s="646">
        <f t="shared" si="8"/>
        <v>0</v>
      </c>
      <c r="V20" s="645">
        <v>73</v>
      </c>
      <c r="W20" s="640">
        <v>515</v>
      </c>
      <c r="X20" s="640">
        <v>245</v>
      </c>
      <c r="Y20" s="646">
        <f t="shared" si="9"/>
        <v>833</v>
      </c>
      <c r="Z20" s="645">
        <v>0</v>
      </c>
      <c r="AA20" s="640">
        <v>338</v>
      </c>
      <c r="AB20" s="640">
        <v>233</v>
      </c>
      <c r="AC20" s="646">
        <f t="shared" si="10"/>
        <v>571</v>
      </c>
    </row>
    <row r="21" spans="2:29" ht="12.75">
      <c r="B21" s="466" t="s">
        <v>305</v>
      </c>
      <c r="C21" s="457">
        <f t="shared" si="5"/>
        <v>0.2199074074074074</v>
      </c>
      <c r="D21" s="457">
        <f t="shared" si="5"/>
        <v>0.12639495390587094</v>
      </c>
      <c r="E21" s="457">
        <f t="shared" si="5"/>
        <v>0.07274688398849473</v>
      </c>
      <c r="F21" s="457">
        <f t="shared" si="5"/>
        <v>0.06944279080842958</v>
      </c>
      <c r="G21" s="458">
        <f t="shared" si="5"/>
        <v>0.07196405648267008</v>
      </c>
      <c r="I21" s="638" t="s">
        <v>393</v>
      </c>
      <c r="J21" s="645">
        <v>0</v>
      </c>
      <c r="K21" s="640">
        <v>0</v>
      </c>
      <c r="L21" s="640">
        <v>0</v>
      </c>
      <c r="M21" s="646">
        <f t="shared" si="6"/>
        <v>0</v>
      </c>
      <c r="N21" s="645">
        <v>0</v>
      </c>
      <c r="O21" s="640">
        <v>0</v>
      </c>
      <c r="P21" s="640">
        <v>0</v>
      </c>
      <c r="Q21" s="646">
        <f t="shared" si="7"/>
        <v>0</v>
      </c>
      <c r="R21" s="645">
        <v>0</v>
      </c>
      <c r="S21" s="640">
        <v>0</v>
      </c>
      <c r="T21" s="640">
        <v>0</v>
      </c>
      <c r="U21" s="646">
        <f t="shared" si="8"/>
        <v>0</v>
      </c>
      <c r="V21" s="645">
        <v>0</v>
      </c>
      <c r="W21" s="640">
        <v>87</v>
      </c>
      <c r="X21" s="640">
        <v>95</v>
      </c>
      <c r="Y21" s="646">
        <f t="shared" si="9"/>
        <v>182</v>
      </c>
      <c r="Z21" s="645">
        <v>0</v>
      </c>
      <c r="AA21" s="640">
        <v>62</v>
      </c>
      <c r="AB21" s="640">
        <v>141</v>
      </c>
      <c r="AC21" s="646">
        <f t="shared" si="10"/>
        <v>203</v>
      </c>
    </row>
    <row r="22" spans="2:29" ht="12.75">
      <c r="B22" s="466" t="s">
        <v>306</v>
      </c>
      <c r="C22" s="457">
        <f t="shared" si="5"/>
        <v>0</v>
      </c>
      <c r="D22" s="457">
        <f t="shared" si="5"/>
        <v>0.04051431344007763</v>
      </c>
      <c r="E22" s="457">
        <f t="shared" si="5"/>
        <v>0.047219558964525406</v>
      </c>
      <c r="F22" s="457">
        <f t="shared" si="5"/>
        <v>0.0027979521371591857</v>
      </c>
      <c r="G22" s="458">
        <f t="shared" si="5"/>
        <v>0.007034659820282414</v>
      </c>
      <c r="I22" s="637" t="s">
        <v>394</v>
      </c>
      <c r="J22" s="645">
        <v>0</v>
      </c>
      <c r="K22" s="640">
        <v>0</v>
      </c>
      <c r="L22" s="640">
        <v>0</v>
      </c>
      <c r="M22" s="646">
        <f t="shared" si="6"/>
        <v>0</v>
      </c>
      <c r="N22" s="645">
        <v>0</v>
      </c>
      <c r="O22" s="640">
        <v>0</v>
      </c>
      <c r="P22" s="640">
        <v>0</v>
      </c>
      <c r="Q22" s="646">
        <f t="shared" si="7"/>
        <v>0</v>
      </c>
      <c r="R22" s="645">
        <v>0</v>
      </c>
      <c r="S22" s="640">
        <v>0</v>
      </c>
      <c r="T22" s="640">
        <v>0</v>
      </c>
      <c r="U22" s="646">
        <f t="shared" si="8"/>
        <v>0</v>
      </c>
      <c r="V22" s="645">
        <v>0</v>
      </c>
      <c r="W22" s="640">
        <v>0</v>
      </c>
      <c r="X22" s="640">
        <v>90</v>
      </c>
      <c r="Y22" s="646">
        <f t="shared" si="9"/>
        <v>90</v>
      </c>
      <c r="Z22" s="645">
        <v>0</v>
      </c>
      <c r="AA22" s="640">
        <v>0</v>
      </c>
      <c r="AB22" s="640">
        <v>94</v>
      </c>
      <c r="AC22" s="646">
        <f t="shared" si="10"/>
        <v>94</v>
      </c>
    </row>
    <row r="23" spans="2:29" ht="12.75">
      <c r="B23" s="466" t="s">
        <v>307</v>
      </c>
      <c r="C23" s="457">
        <f t="shared" si="5"/>
        <v>0</v>
      </c>
      <c r="D23" s="457">
        <f t="shared" si="5"/>
        <v>0.04051431344007763</v>
      </c>
      <c r="E23" s="457">
        <f t="shared" si="5"/>
        <v>0.047219558964525406</v>
      </c>
      <c r="F23" s="457">
        <f t="shared" si="5"/>
        <v>0.0027979521371591857</v>
      </c>
      <c r="G23" s="458">
        <f t="shared" si="5"/>
        <v>0.007034659820282414</v>
      </c>
      <c r="I23" s="637" t="s">
        <v>395</v>
      </c>
      <c r="J23" s="645">
        <v>0</v>
      </c>
      <c r="K23" s="640">
        <v>0</v>
      </c>
      <c r="L23" s="640">
        <v>0</v>
      </c>
      <c r="M23" s="646">
        <f t="shared" si="6"/>
        <v>0</v>
      </c>
      <c r="N23" s="645">
        <v>0</v>
      </c>
      <c r="O23" s="640">
        <v>0</v>
      </c>
      <c r="P23" s="640">
        <v>0</v>
      </c>
      <c r="Q23" s="646">
        <f t="shared" si="7"/>
        <v>0</v>
      </c>
      <c r="R23" s="645">
        <v>0</v>
      </c>
      <c r="S23" s="640">
        <v>0</v>
      </c>
      <c r="T23" s="640">
        <v>0</v>
      </c>
      <c r="U23" s="646">
        <f t="shared" si="8"/>
        <v>0</v>
      </c>
      <c r="V23" s="645">
        <v>0</v>
      </c>
      <c r="W23" s="640">
        <v>0</v>
      </c>
      <c r="X23" s="640">
        <v>0</v>
      </c>
      <c r="Y23" s="646">
        <f t="shared" si="9"/>
        <v>0</v>
      </c>
      <c r="Z23" s="645">
        <v>0</v>
      </c>
      <c r="AA23" s="640">
        <v>0</v>
      </c>
      <c r="AB23" s="640">
        <v>0</v>
      </c>
      <c r="AC23" s="646">
        <f t="shared" si="10"/>
        <v>0</v>
      </c>
    </row>
    <row r="24" spans="2:29" ht="15" thickBot="1">
      <c r="B24" s="466" t="s">
        <v>308</v>
      </c>
      <c r="C24" s="457">
        <f t="shared" si="5"/>
        <v>0</v>
      </c>
      <c r="D24" s="457">
        <f t="shared" si="5"/>
        <v>0.07617661329451722</v>
      </c>
      <c r="E24" s="457">
        <f t="shared" si="5"/>
        <v>0.12440076701821669</v>
      </c>
      <c r="F24" s="457">
        <f t="shared" si="5"/>
        <v>0.0358375997142517</v>
      </c>
      <c r="G24" s="458">
        <f t="shared" si="5"/>
        <v>0.024030808729139923</v>
      </c>
      <c r="I24" s="639" t="s">
        <v>1</v>
      </c>
      <c r="J24" s="647">
        <v>0</v>
      </c>
      <c r="K24" s="648">
        <v>7</v>
      </c>
      <c r="L24" s="648">
        <v>4</v>
      </c>
      <c r="M24" s="649">
        <f t="shared" si="6"/>
        <v>11</v>
      </c>
      <c r="N24" s="647">
        <v>0</v>
      </c>
      <c r="O24" s="648">
        <v>181</v>
      </c>
      <c r="P24" s="648">
        <v>64</v>
      </c>
      <c r="Q24" s="649">
        <f t="shared" si="7"/>
        <v>245</v>
      </c>
      <c r="R24" s="647">
        <v>0</v>
      </c>
      <c r="S24" s="648">
        <v>169</v>
      </c>
      <c r="T24" s="648">
        <v>56</v>
      </c>
      <c r="U24" s="649">
        <f t="shared" si="8"/>
        <v>225</v>
      </c>
      <c r="V24" s="647">
        <v>83</v>
      </c>
      <c r="W24" s="648">
        <v>780</v>
      </c>
      <c r="X24" s="648">
        <v>578</v>
      </c>
      <c r="Y24" s="649">
        <f t="shared" si="9"/>
        <v>1441</v>
      </c>
      <c r="Z24" s="647">
        <v>0</v>
      </c>
      <c r="AA24" s="648">
        <v>569</v>
      </c>
      <c r="AB24" s="648">
        <v>634</v>
      </c>
      <c r="AC24" s="649">
        <f t="shared" si="10"/>
        <v>1203</v>
      </c>
    </row>
    <row r="25" spans="2:29" ht="15" thickBot="1">
      <c r="B25" s="632" t="s">
        <v>1</v>
      </c>
      <c r="C25" s="633">
        <f>SUM(C18:C24)</f>
        <v>1</v>
      </c>
      <c r="D25" s="633">
        <f>SUM(D18:D24)</f>
        <v>1</v>
      </c>
      <c r="E25" s="633">
        <f>SUM(E18:E24)</f>
        <v>1</v>
      </c>
      <c r="F25" s="633">
        <f>SUM(F18:F24)</f>
        <v>1</v>
      </c>
      <c r="G25" s="634">
        <f>SUM(G18:G24)</f>
        <v>1</v>
      </c>
      <c r="J25" s="469"/>
      <c r="K25" s="469"/>
      <c r="L25" s="469"/>
      <c r="M25" s="469"/>
      <c r="N25" s="469"/>
      <c r="O25" s="469"/>
      <c r="P25" s="469"/>
      <c r="Q25" s="469"/>
      <c r="R25" s="469"/>
      <c r="S25" s="469"/>
      <c r="T25" s="469"/>
      <c r="U25" s="469"/>
      <c r="V25" s="469"/>
      <c r="W25" s="469"/>
      <c r="X25" s="469"/>
      <c r="Y25" s="469"/>
      <c r="Z25" s="469"/>
      <c r="AA25" s="469"/>
      <c r="AB25" s="469"/>
      <c r="AC25" s="469"/>
    </row>
    <row r="26" spans="9:28" ht="15" thickBot="1">
      <c r="I26" s="463" t="s">
        <v>414</v>
      </c>
      <c r="J26" s="464"/>
      <c r="K26" s="464"/>
      <c r="L26" s="464"/>
      <c r="M26" s="464"/>
      <c r="N26" s="464"/>
      <c r="O26" s="464"/>
      <c r="P26" s="464"/>
      <c r="Q26" s="464"/>
      <c r="R26" s="464"/>
      <c r="S26" s="464"/>
      <c r="T26" s="464"/>
      <c r="U26" s="464"/>
      <c r="V26" s="464"/>
      <c r="W26" s="464"/>
      <c r="X26" s="464"/>
      <c r="Y26" s="464"/>
      <c r="Z26" s="464"/>
      <c r="AA26" s="464"/>
      <c r="AB26" s="652"/>
    </row>
    <row r="27" spans="9:28" ht="15" thickBot="1">
      <c r="I27" s="651"/>
      <c r="J27" s="879">
        <v>2010</v>
      </c>
      <c r="K27" s="880"/>
      <c r="L27" s="880"/>
      <c r="M27" s="881"/>
      <c r="N27" s="879">
        <v>2011</v>
      </c>
      <c r="O27" s="880"/>
      <c r="P27" s="880"/>
      <c r="Q27" s="881"/>
      <c r="R27" s="879">
        <v>2012</v>
      </c>
      <c r="S27" s="880"/>
      <c r="T27" s="880"/>
      <c r="U27" s="881"/>
      <c r="V27" s="879">
        <v>2013</v>
      </c>
      <c r="W27" s="880"/>
      <c r="X27" s="880"/>
      <c r="Y27" s="881"/>
      <c r="Z27" s="879">
        <v>2014</v>
      </c>
      <c r="AA27" s="880"/>
      <c r="AB27" s="881"/>
    </row>
    <row r="28" spans="9:28" ht="28.5">
      <c r="I28" s="650" t="s">
        <v>387</v>
      </c>
      <c r="J28" s="641" t="s">
        <v>388</v>
      </c>
      <c r="K28" s="642" t="s">
        <v>389</v>
      </c>
      <c r="L28" s="643" t="s">
        <v>390</v>
      </c>
      <c r="M28" s="644"/>
      <c r="N28" s="641" t="s">
        <v>388</v>
      </c>
      <c r="O28" s="642" t="s">
        <v>389</v>
      </c>
      <c r="P28" s="643" t="s">
        <v>390</v>
      </c>
      <c r="Q28" s="644"/>
      <c r="R28" s="641" t="s">
        <v>388</v>
      </c>
      <c r="S28" s="642" t="s">
        <v>389</v>
      </c>
      <c r="T28" s="643" t="s">
        <v>390</v>
      </c>
      <c r="U28" s="644"/>
      <c r="V28" s="641" t="s">
        <v>388</v>
      </c>
      <c r="W28" s="642" t="s">
        <v>389</v>
      </c>
      <c r="X28" s="643" t="s">
        <v>390</v>
      </c>
      <c r="Y28" s="644"/>
      <c r="Z28" s="641" t="s">
        <v>388</v>
      </c>
      <c r="AA28" s="642" t="s">
        <v>389</v>
      </c>
      <c r="AB28" s="644" t="s">
        <v>390</v>
      </c>
    </row>
    <row r="29" spans="9:28" ht="12.75">
      <c r="I29" s="637" t="s">
        <v>396</v>
      </c>
      <c r="J29" s="645">
        <v>47</v>
      </c>
      <c r="K29" s="640">
        <v>20</v>
      </c>
      <c r="L29" s="640">
        <v>0</v>
      </c>
      <c r="M29" s="646"/>
      <c r="N29" s="645">
        <v>36</v>
      </c>
      <c r="O29" s="640">
        <v>60</v>
      </c>
      <c r="P29" s="640">
        <v>5</v>
      </c>
      <c r="Q29" s="646"/>
      <c r="R29" s="645">
        <v>20</v>
      </c>
      <c r="S29" s="640">
        <v>45</v>
      </c>
      <c r="T29" s="640">
        <v>15</v>
      </c>
      <c r="U29" s="646"/>
      <c r="V29" s="645">
        <v>12</v>
      </c>
      <c r="W29" s="640">
        <v>8</v>
      </c>
      <c r="X29" s="640">
        <v>19</v>
      </c>
      <c r="Y29" s="646"/>
      <c r="Z29" s="645">
        <v>69</v>
      </c>
      <c r="AA29" s="640">
        <v>20</v>
      </c>
      <c r="AB29" s="646">
        <v>15</v>
      </c>
    </row>
    <row r="30" spans="9:28" ht="12.75">
      <c r="I30" s="638" t="s">
        <v>392</v>
      </c>
      <c r="J30" s="645">
        <v>93</v>
      </c>
      <c r="K30" s="640">
        <v>182</v>
      </c>
      <c r="L30" s="640">
        <v>0</v>
      </c>
      <c r="M30" s="646"/>
      <c r="N30" s="645">
        <v>119</v>
      </c>
      <c r="O30" s="640">
        <v>198</v>
      </c>
      <c r="P30" s="640">
        <v>0</v>
      </c>
      <c r="Q30" s="646"/>
      <c r="R30" s="645">
        <v>336</v>
      </c>
      <c r="S30" s="640">
        <v>348</v>
      </c>
      <c r="T30" s="640">
        <v>0</v>
      </c>
      <c r="U30" s="646"/>
      <c r="V30" s="645">
        <v>504</v>
      </c>
      <c r="W30" s="640">
        <v>104</v>
      </c>
      <c r="X30" s="640">
        <v>0</v>
      </c>
      <c r="Y30" s="646"/>
      <c r="Z30" s="645">
        <v>2000</v>
      </c>
      <c r="AA30" s="640">
        <v>570</v>
      </c>
      <c r="AB30" s="646">
        <v>0</v>
      </c>
    </row>
    <row r="31" spans="9:28" ht="12.75">
      <c r="I31" s="638" t="s">
        <v>393</v>
      </c>
      <c r="J31" s="645">
        <v>0</v>
      </c>
      <c r="K31" s="640">
        <v>72</v>
      </c>
      <c r="L31" s="640">
        <v>0</v>
      </c>
      <c r="M31" s="646"/>
      <c r="N31" s="645">
        <v>359</v>
      </c>
      <c r="O31" s="640">
        <v>299</v>
      </c>
      <c r="P31" s="640">
        <v>0</v>
      </c>
      <c r="Q31" s="646"/>
      <c r="R31" s="645">
        <v>117</v>
      </c>
      <c r="S31" s="640">
        <v>199</v>
      </c>
      <c r="T31" s="640">
        <v>3</v>
      </c>
      <c r="U31" s="646"/>
      <c r="V31" s="645">
        <v>102</v>
      </c>
      <c r="W31" s="640">
        <v>151</v>
      </c>
      <c r="X31" s="640">
        <v>4</v>
      </c>
      <c r="Y31" s="646"/>
      <c r="Z31" s="645">
        <v>555</v>
      </c>
      <c r="AA31" s="640">
        <v>1265</v>
      </c>
      <c r="AB31" s="646">
        <v>6</v>
      </c>
    </row>
    <row r="32" spans="9:28" ht="12.75">
      <c r="I32" s="637" t="s">
        <v>394</v>
      </c>
      <c r="J32" s="645">
        <v>195</v>
      </c>
      <c r="K32" s="640">
        <v>30</v>
      </c>
      <c r="L32" s="640">
        <v>0</v>
      </c>
      <c r="M32" s="646"/>
      <c r="N32" s="645">
        <v>390</v>
      </c>
      <c r="O32" s="640">
        <v>218</v>
      </c>
      <c r="P32" s="640">
        <v>0</v>
      </c>
      <c r="Q32" s="646"/>
      <c r="R32" s="645">
        <v>521</v>
      </c>
      <c r="S32" s="640">
        <v>93</v>
      </c>
      <c r="T32" s="640">
        <v>5</v>
      </c>
      <c r="U32" s="646"/>
      <c r="V32" s="645">
        <v>3243</v>
      </c>
      <c r="W32" s="640">
        <v>1064</v>
      </c>
      <c r="X32" s="640">
        <v>117</v>
      </c>
      <c r="Y32" s="646"/>
      <c r="Z32" s="645">
        <v>8565</v>
      </c>
      <c r="AA32" s="640">
        <v>1536</v>
      </c>
      <c r="AB32" s="646">
        <v>39</v>
      </c>
    </row>
    <row r="33" spans="9:28" ht="12.75">
      <c r="I33" s="637" t="s">
        <v>395</v>
      </c>
      <c r="J33" s="645">
        <v>0</v>
      </c>
      <c r="K33" s="640">
        <v>0</v>
      </c>
      <c r="L33" s="640">
        <v>0</v>
      </c>
      <c r="M33" s="646"/>
      <c r="N33" s="645">
        <v>0</v>
      </c>
      <c r="O33" s="640">
        <v>0</v>
      </c>
      <c r="P33" s="640">
        <v>0</v>
      </c>
      <c r="Q33" s="646"/>
      <c r="R33" s="645">
        <v>0</v>
      </c>
      <c r="S33" s="640">
        <v>0</v>
      </c>
      <c r="T33" s="640">
        <v>0</v>
      </c>
      <c r="U33" s="646"/>
      <c r="V33" s="645">
        <v>0</v>
      </c>
      <c r="W33" s="640">
        <v>0</v>
      </c>
      <c r="X33" s="640">
        <v>0</v>
      </c>
      <c r="Y33" s="646"/>
      <c r="Z33" s="645">
        <v>661</v>
      </c>
      <c r="AA33" s="640">
        <v>0</v>
      </c>
      <c r="AB33" s="646">
        <v>0</v>
      </c>
    </row>
    <row r="34" spans="9:28" ht="15" thickBot="1">
      <c r="I34" s="639" t="s">
        <v>1</v>
      </c>
      <c r="J34" s="647">
        <v>335</v>
      </c>
      <c r="K34" s="648">
        <v>304</v>
      </c>
      <c r="L34" s="648">
        <v>0</v>
      </c>
      <c r="M34" s="649"/>
      <c r="N34" s="647">
        <v>904</v>
      </c>
      <c r="O34" s="648">
        <v>775</v>
      </c>
      <c r="P34" s="648">
        <v>5</v>
      </c>
      <c r="Q34" s="649"/>
      <c r="R34" s="647">
        <v>994</v>
      </c>
      <c r="S34" s="648">
        <v>685</v>
      </c>
      <c r="T34" s="648">
        <v>23</v>
      </c>
      <c r="U34" s="649"/>
      <c r="V34" s="647">
        <v>3861</v>
      </c>
      <c r="W34" s="648">
        <v>1327</v>
      </c>
      <c r="X34" s="648">
        <v>140</v>
      </c>
      <c r="Y34" s="649"/>
      <c r="Z34" s="647">
        <v>11850</v>
      </c>
      <c r="AA34" s="648">
        <v>3391</v>
      </c>
      <c r="AB34" s="649">
        <v>60</v>
      </c>
    </row>
    <row r="35" spans="10:29" ht="12.75">
      <c r="J35" s="469"/>
      <c r="K35" s="469"/>
      <c r="L35" s="469"/>
      <c r="M35" s="469"/>
      <c r="N35" s="469"/>
      <c r="O35" s="469"/>
      <c r="P35" s="469"/>
      <c r="Q35" s="469"/>
      <c r="R35" s="469"/>
      <c r="S35" s="469"/>
      <c r="T35" s="469"/>
      <c r="U35" s="469"/>
      <c r="V35" s="469"/>
      <c r="W35" s="469"/>
      <c r="X35" s="469"/>
      <c r="Y35" s="469"/>
      <c r="Z35" s="469"/>
      <c r="AA35" s="469"/>
      <c r="AB35" s="469"/>
      <c r="AC35" s="469"/>
    </row>
    <row r="36" spans="9:29" ht="12.75">
      <c r="I36" s="459" t="s">
        <v>415</v>
      </c>
      <c r="T36" s="470"/>
      <c r="U36" s="470"/>
      <c r="V36" s="459" t="s">
        <v>416</v>
      </c>
      <c r="X36" s="469"/>
      <c r="Y36" s="469"/>
      <c r="Z36" s="469"/>
      <c r="AA36" s="469"/>
      <c r="AB36" s="469"/>
      <c r="AC36" s="469"/>
    </row>
    <row r="37" spans="10:29" ht="15" thickBot="1">
      <c r="J37" s="469"/>
      <c r="K37" s="469"/>
      <c r="L37" s="469"/>
      <c r="M37" s="469"/>
      <c r="N37" s="469"/>
      <c r="O37" s="469"/>
      <c r="P37" s="469"/>
      <c r="Q37" s="469"/>
      <c r="R37" s="469"/>
      <c r="S37" s="469"/>
      <c r="T37" s="469"/>
      <c r="U37" s="469"/>
      <c r="V37" s="469"/>
      <c r="W37" s="469"/>
      <c r="X37" s="469"/>
      <c r="Y37" s="469"/>
      <c r="Z37" s="469"/>
      <c r="AA37" s="469"/>
      <c r="AB37" s="469"/>
      <c r="AC37" s="469"/>
    </row>
    <row r="38" spans="9:28" ht="15" thickBot="1">
      <c r="I38" s="463" t="s">
        <v>417</v>
      </c>
      <c r="J38" s="464"/>
      <c r="K38" s="464"/>
      <c r="L38" s="464"/>
      <c r="M38" s="464"/>
      <c r="N38" s="464"/>
      <c r="O38" s="464"/>
      <c r="P38" s="464"/>
      <c r="Q38" s="464"/>
      <c r="R38" s="464"/>
      <c r="S38" s="464"/>
      <c r="T38" s="464"/>
      <c r="U38" s="464"/>
      <c r="V38" s="464"/>
      <c r="W38" s="464"/>
      <c r="X38" s="464"/>
      <c r="Y38" s="464"/>
      <c r="Z38" s="464"/>
      <c r="AA38" s="464"/>
      <c r="AB38" s="652"/>
    </row>
    <row r="39" spans="9:28" ht="15" thickBot="1">
      <c r="I39" s="651"/>
      <c r="J39" s="879">
        <v>2010</v>
      </c>
      <c r="K39" s="880"/>
      <c r="L39" s="880"/>
      <c r="M39" s="881"/>
      <c r="N39" s="879">
        <v>2011</v>
      </c>
      <c r="O39" s="880"/>
      <c r="P39" s="880"/>
      <c r="Q39" s="881"/>
      <c r="R39" s="879">
        <v>2012</v>
      </c>
      <c r="S39" s="880"/>
      <c r="T39" s="880"/>
      <c r="U39" s="881"/>
      <c r="V39" s="879">
        <v>2013</v>
      </c>
      <c r="W39" s="880"/>
      <c r="X39" s="880"/>
      <c r="Y39" s="881"/>
      <c r="Z39" s="879">
        <v>2014</v>
      </c>
      <c r="AA39" s="880"/>
      <c r="AB39" s="881"/>
    </row>
    <row r="40" spans="9:28" ht="30.75" customHeight="1">
      <c r="I40" s="650" t="s">
        <v>387</v>
      </c>
      <c r="J40" s="641" t="s">
        <v>388</v>
      </c>
      <c r="K40" s="642" t="s">
        <v>389</v>
      </c>
      <c r="L40" s="643" t="s">
        <v>390</v>
      </c>
      <c r="M40" s="644"/>
      <c r="N40" s="641" t="s">
        <v>388</v>
      </c>
      <c r="O40" s="642" t="s">
        <v>389</v>
      </c>
      <c r="P40" s="643" t="s">
        <v>390</v>
      </c>
      <c r="Q40" s="644"/>
      <c r="R40" s="641" t="s">
        <v>388</v>
      </c>
      <c r="S40" s="642" t="s">
        <v>389</v>
      </c>
      <c r="T40" s="643" t="s">
        <v>390</v>
      </c>
      <c r="U40" s="644"/>
      <c r="V40" s="641" t="s">
        <v>388</v>
      </c>
      <c r="W40" s="642" t="s">
        <v>389</v>
      </c>
      <c r="X40" s="643" t="s">
        <v>390</v>
      </c>
      <c r="Y40" s="644"/>
      <c r="Z40" s="641" t="s">
        <v>388</v>
      </c>
      <c r="AA40" s="642" t="s">
        <v>389</v>
      </c>
      <c r="AB40" s="644" t="s">
        <v>390</v>
      </c>
    </row>
    <row r="41" spans="9:28" ht="12.75">
      <c r="I41" s="637" t="s">
        <v>418</v>
      </c>
      <c r="J41" s="645"/>
      <c r="K41" s="640"/>
      <c r="L41" s="640"/>
      <c r="M41" s="646"/>
      <c r="N41" s="645"/>
      <c r="O41" s="640"/>
      <c r="P41" s="640"/>
      <c r="Q41" s="646"/>
      <c r="R41" s="645"/>
      <c r="S41" s="640"/>
      <c r="T41" s="640"/>
      <c r="U41" s="646"/>
      <c r="V41" s="645"/>
      <c r="W41" s="640"/>
      <c r="X41" s="640"/>
      <c r="Y41" s="646"/>
      <c r="Z41" s="645"/>
      <c r="AA41" s="640"/>
      <c r="AB41" s="646"/>
    </row>
    <row r="42" spans="9:28" ht="12.75">
      <c r="I42" s="638" t="s">
        <v>419</v>
      </c>
      <c r="J42" s="645">
        <v>0</v>
      </c>
      <c r="K42" s="640">
        <v>0</v>
      </c>
      <c r="L42" s="640">
        <v>0</v>
      </c>
      <c r="M42" s="646"/>
      <c r="N42" s="645">
        <v>0</v>
      </c>
      <c r="O42" s="640">
        <v>4</v>
      </c>
      <c r="P42" s="640">
        <v>5</v>
      </c>
      <c r="Q42" s="646"/>
      <c r="R42" s="645">
        <v>0</v>
      </c>
      <c r="S42" s="640">
        <v>5</v>
      </c>
      <c r="T42" s="640">
        <v>12</v>
      </c>
      <c r="U42" s="646"/>
      <c r="V42" s="645">
        <v>19</v>
      </c>
      <c r="W42" s="640">
        <v>183</v>
      </c>
      <c r="X42" s="640">
        <v>159</v>
      </c>
      <c r="Y42" s="646"/>
      <c r="Z42" s="645">
        <v>31</v>
      </c>
      <c r="AA42" s="640">
        <v>117</v>
      </c>
      <c r="AB42" s="646">
        <v>147</v>
      </c>
    </row>
    <row r="43" spans="9:28" ht="12.75">
      <c r="I43" s="638" t="s">
        <v>420</v>
      </c>
      <c r="J43" s="645">
        <v>0</v>
      </c>
      <c r="K43" s="640">
        <v>0</v>
      </c>
      <c r="L43" s="640">
        <v>0</v>
      </c>
      <c r="M43" s="646"/>
      <c r="N43" s="645">
        <v>0</v>
      </c>
      <c r="O43" s="640">
        <v>0</v>
      </c>
      <c r="P43" s="640">
        <v>0</v>
      </c>
      <c r="Q43" s="646"/>
      <c r="R43" s="645">
        <v>0</v>
      </c>
      <c r="S43" s="640">
        <v>0</v>
      </c>
      <c r="T43" s="640">
        <v>0</v>
      </c>
      <c r="U43" s="646"/>
      <c r="V43" s="645">
        <v>0</v>
      </c>
      <c r="W43" s="640">
        <v>0</v>
      </c>
      <c r="X43" s="640">
        <v>0</v>
      </c>
      <c r="Y43" s="646"/>
      <c r="Z43" s="645">
        <v>0</v>
      </c>
      <c r="AA43" s="640">
        <v>0</v>
      </c>
      <c r="AB43" s="646">
        <v>0</v>
      </c>
    </row>
    <row r="44" spans="9:28" ht="15" thickBot="1">
      <c r="I44" s="653" t="s">
        <v>1</v>
      </c>
      <c r="J44" s="647">
        <v>0</v>
      </c>
      <c r="K44" s="648">
        <v>0</v>
      </c>
      <c r="L44" s="648">
        <v>0</v>
      </c>
      <c r="M44" s="649"/>
      <c r="N44" s="647">
        <v>0</v>
      </c>
      <c r="O44" s="648">
        <v>4</v>
      </c>
      <c r="P44" s="648">
        <v>5</v>
      </c>
      <c r="Q44" s="649"/>
      <c r="R44" s="647">
        <v>0</v>
      </c>
      <c r="S44" s="648">
        <v>5</v>
      </c>
      <c r="T44" s="648">
        <v>12</v>
      </c>
      <c r="U44" s="649"/>
      <c r="V44" s="647">
        <v>19</v>
      </c>
      <c r="W44" s="648">
        <v>183</v>
      </c>
      <c r="X44" s="648">
        <v>159</v>
      </c>
      <c r="Y44" s="649"/>
      <c r="Z44" s="647">
        <v>31</v>
      </c>
      <c r="AA44" s="648">
        <v>117</v>
      </c>
      <c r="AB44" s="649">
        <v>147</v>
      </c>
    </row>
    <row r="46" ht="12.75">
      <c r="I46" s="459" t="s">
        <v>501</v>
      </c>
    </row>
    <row r="47" spans="9:21" ht="15.75" thickBot="1">
      <c r="I47" s="44" t="s">
        <v>397</v>
      </c>
      <c r="P47" s="44" t="s">
        <v>398</v>
      </c>
      <c r="Q47" s="44"/>
      <c r="R47" s="44"/>
      <c r="S47" s="44"/>
      <c r="T47" s="44"/>
      <c r="U47" s="44"/>
    </row>
    <row r="48" spans="9:21" ht="15">
      <c r="I48" s="603" t="s">
        <v>459</v>
      </c>
      <c r="J48" s="750">
        <v>2010</v>
      </c>
      <c r="K48" s="750">
        <v>2011</v>
      </c>
      <c r="L48" s="750">
        <v>2012</v>
      </c>
      <c r="M48" s="750">
        <v>2013</v>
      </c>
      <c r="N48" s="751">
        <v>2014</v>
      </c>
      <c r="P48" s="603" t="s">
        <v>459</v>
      </c>
      <c r="Q48" s="750">
        <v>2010</v>
      </c>
      <c r="R48" s="750">
        <v>2011</v>
      </c>
      <c r="S48" s="750">
        <v>2012</v>
      </c>
      <c r="T48" s="750">
        <v>2013</v>
      </c>
      <c r="U48" s="751">
        <v>2014</v>
      </c>
    </row>
    <row r="49" spans="9:21" ht="15">
      <c r="I49" s="186" t="s">
        <v>396</v>
      </c>
      <c r="J49" s="610">
        <v>3759.203296803338</v>
      </c>
      <c r="K49" s="610">
        <v>4302.073825597986</v>
      </c>
      <c r="L49" s="610">
        <v>4876.774469809247</v>
      </c>
      <c r="M49" s="610">
        <v>5849.6</v>
      </c>
      <c r="N49" s="611">
        <v>6703.16</v>
      </c>
      <c r="P49" s="186" t="s">
        <v>396</v>
      </c>
      <c r="Q49" s="614">
        <v>0.20207178326216463</v>
      </c>
      <c r="R49" s="614">
        <v>0.308069361111073</v>
      </c>
      <c r="S49" s="614">
        <v>0.33558624338609705</v>
      </c>
      <c r="T49" s="614">
        <v>0.34823193237290156</v>
      </c>
      <c r="U49" s="615">
        <v>0.3441930680359435</v>
      </c>
    </row>
    <row r="50" spans="9:21" ht="15">
      <c r="I50" s="187" t="s">
        <v>392</v>
      </c>
      <c r="J50" s="610">
        <v>5310.860942014197</v>
      </c>
      <c r="K50" s="610">
        <v>5983.841194740209</v>
      </c>
      <c r="L50" s="610">
        <v>6877.697826286893</v>
      </c>
      <c r="M50" s="610">
        <v>7919.4</v>
      </c>
      <c r="N50" s="611">
        <v>9226.84</v>
      </c>
      <c r="P50" s="187" t="s">
        <v>392</v>
      </c>
      <c r="Q50" s="614">
        <v>0.28547941052370573</v>
      </c>
      <c r="R50" s="614">
        <v>0.42849988368051756</v>
      </c>
      <c r="S50" s="614">
        <v>0.4732760948772402</v>
      </c>
      <c r="T50" s="614">
        <v>0.47144898202166924</v>
      </c>
      <c r="U50" s="615">
        <v>0.47377869062901157</v>
      </c>
    </row>
    <row r="51" spans="9:21" ht="15">
      <c r="I51" s="187" t="s">
        <v>393</v>
      </c>
      <c r="J51" s="610">
        <v>2912.7964650213144</v>
      </c>
      <c r="K51" s="610">
        <v>1829.0289451512153</v>
      </c>
      <c r="L51" s="610">
        <v>1629.3891956090324</v>
      </c>
      <c r="M51" s="610">
        <v>2333</v>
      </c>
      <c r="N51" s="611">
        <v>2803</v>
      </c>
      <c r="P51" s="187" t="s">
        <v>393</v>
      </c>
      <c r="Q51" s="614">
        <v>0.15657412741340723</v>
      </c>
      <c r="R51" s="614">
        <v>0.13097585058482186</v>
      </c>
      <c r="S51" s="614">
        <v>0.11212341324238385</v>
      </c>
      <c r="T51" s="614">
        <v>0.13888558161685916</v>
      </c>
      <c r="U51" s="615">
        <v>0.14392811296534017</v>
      </c>
    </row>
    <row r="52" spans="9:21" ht="15">
      <c r="I52" s="186" t="s">
        <v>394</v>
      </c>
      <c r="J52" s="610">
        <v>6425.223520444422</v>
      </c>
      <c r="K52" s="610">
        <v>1535.683383631793</v>
      </c>
      <c r="L52" s="610">
        <v>629.2433425160698</v>
      </c>
      <c r="M52" s="610">
        <v>94</v>
      </c>
      <c r="N52" s="611">
        <v>274</v>
      </c>
      <c r="P52" s="186" t="s">
        <v>394</v>
      </c>
      <c r="Q52" s="614">
        <v>0.3453807288736614</v>
      </c>
      <c r="R52" s="614">
        <v>0.10996952122237863</v>
      </c>
      <c r="S52" s="614">
        <v>0.04330022042190905</v>
      </c>
      <c r="T52" s="614">
        <v>0.0055959042743183715</v>
      </c>
      <c r="U52" s="615">
        <v>0.014069319640564827</v>
      </c>
    </row>
    <row r="53" spans="9:21" ht="15.75" thickBot="1">
      <c r="I53" s="186" t="s">
        <v>395</v>
      </c>
      <c r="J53" s="610">
        <v>195.22216573462126</v>
      </c>
      <c r="K53" s="610">
        <v>314</v>
      </c>
      <c r="L53" s="610">
        <v>519</v>
      </c>
      <c r="M53" s="610">
        <v>602</v>
      </c>
      <c r="N53" s="611">
        <v>468</v>
      </c>
      <c r="P53" s="189" t="s">
        <v>395</v>
      </c>
      <c r="Q53" s="616">
        <v>0.010493949927060976</v>
      </c>
      <c r="R53" s="616">
        <v>0.022485383401209064</v>
      </c>
      <c r="S53" s="616">
        <v>0.03571402807236992</v>
      </c>
      <c r="T53" s="616">
        <v>0.0358375997142517</v>
      </c>
      <c r="U53" s="617">
        <v>0.024030808729139923</v>
      </c>
    </row>
    <row r="54" spans="9:14" ht="15.75" thickBot="1">
      <c r="I54" s="604" t="s">
        <v>1</v>
      </c>
      <c r="J54" s="612">
        <v>18603.306390017893</v>
      </c>
      <c r="K54" s="612">
        <v>13964.627349121201</v>
      </c>
      <c r="L54" s="612">
        <v>14532.104834221242</v>
      </c>
      <c r="M54" s="612">
        <v>16798</v>
      </c>
      <c r="N54" s="613">
        <v>19475</v>
      </c>
    </row>
    <row r="56" spans="9:16" ht="15.75" thickBot="1">
      <c r="I56" s="44" t="s">
        <v>399</v>
      </c>
      <c r="P56" s="44" t="s">
        <v>400</v>
      </c>
    </row>
    <row r="57" spans="9:21" ht="15">
      <c r="I57" s="603" t="s">
        <v>459</v>
      </c>
      <c r="J57" s="750">
        <v>2010</v>
      </c>
      <c r="K57" s="750">
        <v>2011</v>
      </c>
      <c r="L57" s="750">
        <v>2012</v>
      </c>
      <c r="M57" s="750">
        <v>2013</v>
      </c>
      <c r="N57" s="751">
        <v>2014</v>
      </c>
      <c r="P57" s="603" t="s">
        <v>459</v>
      </c>
      <c r="Q57" s="750">
        <v>2010</v>
      </c>
      <c r="R57" s="750">
        <v>2011</v>
      </c>
      <c r="S57" s="750">
        <v>2012</v>
      </c>
      <c r="T57" s="750">
        <v>2013</v>
      </c>
      <c r="U57" s="751">
        <v>2014</v>
      </c>
    </row>
    <row r="58" spans="9:21" ht="15">
      <c r="I58" s="186" t="s">
        <v>391</v>
      </c>
      <c r="J58" s="610">
        <v>3052</v>
      </c>
      <c r="K58" s="610">
        <v>3994.973333333328</v>
      </c>
      <c r="L58" s="610">
        <v>4769.16</v>
      </c>
      <c r="M58" s="610">
        <v>5849.6</v>
      </c>
      <c r="N58" s="611">
        <v>6703.16</v>
      </c>
      <c r="P58" s="599" t="s">
        <v>391</v>
      </c>
      <c r="Q58" s="614">
        <v>0.33353368668378774</v>
      </c>
      <c r="R58" s="614">
        <v>0.35412244415553684</v>
      </c>
      <c r="S58" s="614">
        <v>0.3471762393535706</v>
      </c>
      <c r="T58" s="614">
        <v>0.34823193237290156</v>
      </c>
      <c r="U58" s="618">
        <v>0.3441930680359435</v>
      </c>
    </row>
    <row r="59" spans="9:21" ht="15">
      <c r="I59" s="187" t="s">
        <v>392</v>
      </c>
      <c r="J59" s="610">
        <v>4256</v>
      </c>
      <c r="K59" s="610">
        <v>5427.360000000001</v>
      </c>
      <c r="L59" s="610">
        <v>6680.84</v>
      </c>
      <c r="M59" s="610">
        <v>7919.4</v>
      </c>
      <c r="N59" s="611">
        <v>9226.84</v>
      </c>
      <c r="P59" s="600" t="s">
        <v>392</v>
      </c>
      <c r="Q59" s="614">
        <v>0.4651111961095022</v>
      </c>
      <c r="R59" s="614">
        <v>0.4810920694953318</v>
      </c>
      <c r="S59" s="614">
        <v>0.48633908422508554</v>
      </c>
      <c r="T59" s="614">
        <v>0.47144898202166924</v>
      </c>
      <c r="U59" s="618">
        <v>0.47377869062901157</v>
      </c>
    </row>
    <row r="60" spans="9:21" ht="15">
      <c r="I60" s="187" t="s">
        <v>393</v>
      </c>
      <c r="J60" s="610">
        <v>1044</v>
      </c>
      <c r="K60" s="610">
        <v>1211</v>
      </c>
      <c r="L60" s="610">
        <v>1374</v>
      </c>
      <c r="M60" s="610">
        <v>2333</v>
      </c>
      <c r="N60" s="611">
        <v>2803</v>
      </c>
      <c r="P60" s="600" t="s">
        <v>393</v>
      </c>
      <c r="Q60" s="614">
        <v>0.11409212611332714</v>
      </c>
      <c r="R60" s="614">
        <v>0.10734546743883706</v>
      </c>
      <c r="S60" s="614">
        <v>0.10002183882943874</v>
      </c>
      <c r="T60" s="614">
        <v>0.13888558161685916</v>
      </c>
      <c r="U60" s="618">
        <v>0.14392811296534017</v>
      </c>
    </row>
    <row r="61" spans="9:21" ht="15">
      <c r="I61" s="186" t="s">
        <v>394</v>
      </c>
      <c r="J61" s="610">
        <v>459</v>
      </c>
      <c r="K61" s="610">
        <v>334</v>
      </c>
      <c r="L61" s="610">
        <v>394</v>
      </c>
      <c r="M61" s="610">
        <v>94</v>
      </c>
      <c r="N61" s="611">
        <v>274</v>
      </c>
      <c r="P61" s="599" t="s">
        <v>394</v>
      </c>
      <c r="Q61" s="614">
        <v>0.05016119337741107</v>
      </c>
      <c r="R61" s="614">
        <v>0.02960642950005911</v>
      </c>
      <c r="S61" s="614">
        <v>0.02868166266288127</v>
      </c>
      <c r="T61" s="614">
        <v>0.0055959042743183715</v>
      </c>
      <c r="U61" s="618">
        <v>0.014069319640564827</v>
      </c>
    </row>
    <row r="62" spans="9:21" ht="15.75" thickBot="1">
      <c r="I62" s="186" t="s">
        <v>395</v>
      </c>
      <c r="J62" s="610">
        <v>339.5</v>
      </c>
      <c r="K62" s="610">
        <v>314</v>
      </c>
      <c r="L62" s="610">
        <v>519</v>
      </c>
      <c r="M62" s="610">
        <v>602</v>
      </c>
      <c r="N62" s="611">
        <v>468</v>
      </c>
      <c r="P62" s="601" t="s">
        <v>395</v>
      </c>
      <c r="Q62" s="619">
        <v>0.0371017977159718</v>
      </c>
      <c r="R62" s="619">
        <v>0.02783358941023521</v>
      </c>
      <c r="S62" s="619">
        <v>0.0377811749290238</v>
      </c>
      <c r="T62" s="619">
        <v>0.0358375997142517</v>
      </c>
      <c r="U62" s="620">
        <v>0.024030808729139923</v>
      </c>
    </row>
    <row r="63" spans="9:14" ht="15.75" thickBot="1">
      <c r="I63" s="189" t="s">
        <v>1</v>
      </c>
      <c r="J63" s="621">
        <v>9150.5</v>
      </c>
      <c r="K63" s="621">
        <v>11281.333333333328</v>
      </c>
      <c r="L63" s="621">
        <v>13737</v>
      </c>
      <c r="M63" s="621">
        <v>16798</v>
      </c>
      <c r="N63" s="622">
        <v>19475</v>
      </c>
    </row>
    <row r="65" spans="9:16" ht="15.75" thickBot="1">
      <c r="I65" s="188" t="s">
        <v>401</v>
      </c>
      <c r="P65" s="188" t="s">
        <v>401</v>
      </c>
    </row>
    <row r="66" spans="9:21" ht="15">
      <c r="I66" s="867" t="s">
        <v>402</v>
      </c>
      <c r="J66" s="868"/>
      <c r="K66" s="868"/>
      <c r="L66" s="868"/>
      <c r="M66" s="868"/>
      <c r="N66" s="869"/>
      <c r="P66" s="867" t="s">
        <v>403</v>
      </c>
      <c r="Q66" s="868"/>
      <c r="R66" s="868"/>
      <c r="S66" s="868"/>
      <c r="T66" s="868"/>
      <c r="U66" s="869"/>
    </row>
    <row r="67" spans="9:21" ht="15">
      <c r="I67" s="609" t="s">
        <v>310</v>
      </c>
      <c r="J67" s="606">
        <v>2010</v>
      </c>
      <c r="K67" s="606">
        <v>2011</v>
      </c>
      <c r="L67" s="606">
        <v>2012</v>
      </c>
      <c r="M67" s="606">
        <v>2013</v>
      </c>
      <c r="N67" s="607">
        <v>2014</v>
      </c>
      <c r="P67" s="609" t="s">
        <v>459</v>
      </c>
      <c r="Q67" s="606">
        <v>2010</v>
      </c>
      <c r="R67" s="606">
        <v>2011</v>
      </c>
      <c r="S67" s="606">
        <v>2012</v>
      </c>
      <c r="T67" s="606">
        <v>2013</v>
      </c>
      <c r="U67" s="607">
        <v>2014</v>
      </c>
    </row>
    <row r="68" spans="9:21" ht="15">
      <c r="I68" s="186" t="s">
        <v>302</v>
      </c>
      <c r="J68" s="623">
        <v>3052</v>
      </c>
      <c r="K68" s="623">
        <v>3994.973333333328</v>
      </c>
      <c r="L68" s="623">
        <v>4769.16</v>
      </c>
      <c r="M68" s="623">
        <v>5849.6</v>
      </c>
      <c r="N68" s="624">
        <v>6703.16</v>
      </c>
      <c r="P68" s="186" t="s">
        <v>302</v>
      </c>
      <c r="Q68" s="614">
        <v>0.33353368668378774</v>
      </c>
      <c r="R68" s="614">
        <v>0.35412244415553684</v>
      </c>
      <c r="S68" s="614">
        <v>0.3471762393535706</v>
      </c>
      <c r="T68" s="614">
        <v>0.34823193237290156</v>
      </c>
      <c r="U68" s="615">
        <v>0.3441930680359435</v>
      </c>
    </row>
    <row r="69" spans="9:21" ht="15">
      <c r="I69" s="186" t="s">
        <v>303</v>
      </c>
      <c r="J69" s="623">
        <v>4256</v>
      </c>
      <c r="K69" s="623">
        <v>5427.360000000001</v>
      </c>
      <c r="L69" s="623">
        <v>6680.84</v>
      </c>
      <c r="M69" s="623">
        <v>7919.4</v>
      </c>
      <c r="N69" s="624">
        <v>9226.84</v>
      </c>
      <c r="P69" s="186" t="s">
        <v>303</v>
      </c>
      <c r="Q69" s="614">
        <v>0.4651111961095022</v>
      </c>
      <c r="R69" s="614">
        <v>0.4810920694953318</v>
      </c>
      <c r="S69" s="614">
        <v>0.48633908422508554</v>
      </c>
      <c r="T69" s="614">
        <v>0.47144898202166924</v>
      </c>
      <c r="U69" s="615">
        <v>0.47377869062901157</v>
      </c>
    </row>
    <row r="70" spans="9:21" ht="15">
      <c r="I70" s="186" t="s">
        <v>304</v>
      </c>
      <c r="J70" s="623">
        <v>522</v>
      </c>
      <c r="K70" s="623">
        <v>605.5</v>
      </c>
      <c r="L70" s="623">
        <v>687</v>
      </c>
      <c r="M70" s="623">
        <v>1166.5</v>
      </c>
      <c r="N70" s="623">
        <v>1401.5</v>
      </c>
      <c r="P70" s="186" t="s">
        <v>304</v>
      </c>
      <c r="Q70" s="614">
        <v>0.05704606305666357</v>
      </c>
      <c r="R70" s="614">
        <v>0.05367273371941853</v>
      </c>
      <c r="S70" s="614">
        <v>0.05001091941471937</v>
      </c>
      <c r="T70" s="614">
        <v>0.06944279080842958</v>
      </c>
      <c r="U70" s="615">
        <v>0.07196405648267008</v>
      </c>
    </row>
    <row r="71" spans="9:21" ht="15">
      <c r="I71" s="186" t="s">
        <v>305</v>
      </c>
      <c r="J71" s="623">
        <v>522</v>
      </c>
      <c r="K71" s="623">
        <v>605.5</v>
      </c>
      <c r="L71" s="623">
        <v>687</v>
      </c>
      <c r="M71" s="623">
        <v>1166.5</v>
      </c>
      <c r="N71" s="623">
        <v>1401.5</v>
      </c>
      <c r="P71" s="186" t="s">
        <v>305</v>
      </c>
      <c r="Q71" s="614">
        <v>0.05704606305666357</v>
      </c>
      <c r="R71" s="614">
        <v>0.05367273371941853</v>
      </c>
      <c r="S71" s="614">
        <v>0.05001091941471937</v>
      </c>
      <c r="T71" s="614">
        <v>0.06944279080842958</v>
      </c>
      <c r="U71" s="615">
        <v>0.07196405648267008</v>
      </c>
    </row>
    <row r="72" spans="9:21" ht="15">
      <c r="I72" s="186" t="s">
        <v>306</v>
      </c>
      <c r="J72" s="623">
        <v>229.5</v>
      </c>
      <c r="K72" s="623">
        <v>167</v>
      </c>
      <c r="L72" s="623">
        <v>197</v>
      </c>
      <c r="M72" s="623">
        <v>47</v>
      </c>
      <c r="N72" s="623">
        <v>137</v>
      </c>
      <c r="P72" s="186" t="s">
        <v>306</v>
      </c>
      <c r="Q72" s="614">
        <v>0.025080596688705534</v>
      </c>
      <c r="R72" s="614">
        <v>0.014803214750029554</v>
      </c>
      <c r="S72" s="614">
        <v>0.014340831331440635</v>
      </c>
      <c r="T72" s="614">
        <v>0.0027979521371591857</v>
      </c>
      <c r="U72" s="615">
        <v>0.007034659820282414</v>
      </c>
    </row>
    <row r="73" spans="9:21" ht="15">
      <c r="I73" s="186" t="s">
        <v>307</v>
      </c>
      <c r="J73" s="623">
        <v>229.5</v>
      </c>
      <c r="K73" s="623">
        <v>167</v>
      </c>
      <c r="L73" s="623">
        <v>197</v>
      </c>
      <c r="M73" s="623">
        <v>47</v>
      </c>
      <c r="N73" s="623">
        <v>137</v>
      </c>
      <c r="P73" s="186" t="s">
        <v>307</v>
      </c>
      <c r="Q73" s="614">
        <v>0.025080596688705534</v>
      </c>
      <c r="R73" s="614">
        <v>0.014803214750029554</v>
      </c>
      <c r="S73" s="614">
        <v>0.014340831331440635</v>
      </c>
      <c r="T73" s="614">
        <v>0.0027979521371591857</v>
      </c>
      <c r="U73" s="615">
        <v>0.007034659820282414</v>
      </c>
    </row>
    <row r="74" spans="9:21" ht="15">
      <c r="I74" s="186" t="s">
        <v>308</v>
      </c>
      <c r="J74" s="623">
        <v>339.5</v>
      </c>
      <c r="K74" s="623">
        <v>314</v>
      </c>
      <c r="L74" s="623">
        <v>519</v>
      </c>
      <c r="M74" s="623">
        <v>602</v>
      </c>
      <c r="N74" s="624">
        <v>468</v>
      </c>
      <c r="P74" s="186" t="s">
        <v>308</v>
      </c>
      <c r="Q74" s="614">
        <v>0.0371017977159718</v>
      </c>
      <c r="R74" s="614">
        <v>0.02783358941023521</v>
      </c>
      <c r="S74" s="614">
        <v>0.0377811749290238</v>
      </c>
      <c r="T74" s="614">
        <v>0.0358375997142517</v>
      </c>
      <c r="U74" s="615">
        <v>0.024030808729139923</v>
      </c>
    </row>
    <row r="75" spans="9:21" ht="15.75" thickBot="1">
      <c r="I75" s="190" t="s">
        <v>1</v>
      </c>
      <c r="J75" s="625">
        <v>9150.5</v>
      </c>
      <c r="K75" s="625">
        <v>11281.333333333328</v>
      </c>
      <c r="L75" s="625">
        <v>13737</v>
      </c>
      <c r="M75" s="625">
        <v>16798</v>
      </c>
      <c r="N75" s="626">
        <v>19475</v>
      </c>
      <c r="P75" s="190" t="s">
        <v>1</v>
      </c>
      <c r="Q75" s="627">
        <v>1</v>
      </c>
      <c r="R75" s="627">
        <v>1</v>
      </c>
      <c r="S75" s="627">
        <v>1</v>
      </c>
      <c r="T75" s="627">
        <v>1</v>
      </c>
      <c r="U75" s="628">
        <v>1</v>
      </c>
    </row>
    <row r="77" spans="16:22" ht="15.75" thickBot="1">
      <c r="P77" s="44" t="s">
        <v>404</v>
      </c>
      <c r="V77" s="44"/>
    </row>
    <row r="78" spans="16:22" ht="15">
      <c r="P78" s="867" t="s">
        <v>405</v>
      </c>
      <c r="Q78" s="868"/>
      <c r="R78" s="868"/>
      <c r="S78" s="868"/>
      <c r="T78" s="868"/>
      <c r="U78" s="868"/>
      <c r="V78" s="869"/>
    </row>
    <row r="79" spans="16:22" ht="15">
      <c r="P79" s="602" t="s">
        <v>301</v>
      </c>
      <c r="Q79" s="605" t="s">
        <v>310</v>
      </c>
      <c r="R79" s="606">
        <v>2010</v>
      </c>
      <c r="S79" s="606">
        <v>2011</v>
      </c>
      <c r="T79" s="606">
        <v>2012</v>
      </c>
      <c r="U79" s="606">
        <v>2013</v>
      </c>
      <c r="V79" s="608">
        <v>2014</v>
      </c>
    </row>
    <row r="80" spans="16:22" ht="15">
      <c r="P80" s="599" t="s">
        <v>56</v>
      </c>
      <c r="Q80" s="614" t="s">
        <v>302</v>
      </c>
      <c r="R80" s="614">
        <v>0.08796296296296297</v>
      </c>
      <c r="S80" s="614">
        <v>0.5383309073265405</v>
      </c>
      <c r="T80" s="614">
        <v>0.5817737296260785</v>
      </c>
      <c r="U80" s="614">
        <v>0.34823193237290156</v>
      </c>
      <c r="V80" s="618">
        <v>0.3441930680359435</v>
      </c>
    </row>
    <row r="81" spans="16:22" ht="15">
      <c r="P81" s="599" t="s">
        <v>56</v>
      </c>
      <c r="Q81" s="614" t="s">
        <v>303</v>
      </c>
      <c r="R81" s="614">
        <v>0.4722222222222222</v>
      </c>
      <c r="S81" s="614">
        <v>0.05167394468704512</v>
      </c>
      <c r="T81" s="614">
        <v>0.05389261744966442</v>
      </c>
      <c r="U81" s="614">
        <v>0.47144898202166924</v>
      </c>
      <c r="V81" s="618">
        <v>0.47377869062901157</v>
      </c>
    </row>
    <row r="82" spans="16:22" ht="15">
      <c r="P82" s="599" t="s">
        <v>56</v>
      </c>
      <c r="Q82" s="614" t="s">
        <v>304</v>
      </c>
      <c r="R82" s="614">
        <v>0.2199074074074074</v>
      </c>
      <c r="S82" s="614">
        <v>0.12639495390587094</v>
      </c>
      <c r="T82" s="614">
        <v>0.07274688398849473</v>
      </c>
      <c r="U82" s="614">
        <v>0.06944279080842958</v>
      </c>
      <c r="V82" s="618">
        <v>0.07196405648267008</v>
      </c>
    </row>
    <row r="83" spans="16:22" ht="15">
      <c r="P83" s="599" t="s">
        <v>56</v>
      </c>
      <c r="Q83" s="614" t="s">
        <v>305</v>
      </c>
      <c r="R83" s="614">
        <v>0.2199074074074074</v>
      </c>
      <c r="S83" s="614">
        <v>0.12639495390587094</v>
      </c>
      <c r="T83" s="614">
        <v>0.07274688398849473</v>
      </c>
      <c r="U83" s="614">
        <v>0.06944279080842958</v>
      </c>
      <c r="V83" s="618">
        <v>0.07196405648267008</v>
      </c>
    </row>
    <row r="84" spans="16:22" ht="15">
      <c r="P84" s="599" t="s">
        <v>56</v>
      </c>
      <c r="Q84" s="614" t="s">
        <v>306</v>
      </c>
      <c r="R84" s="614">
        <v>0</v>
      </c>
      <c r="S84" s="614">
        <v>0.04051431344007763</v>
      </c>
      <c r="T84" s="614">
        <v>0.047219558964525406</v>
      </c>
      <c r="U84" s="614">
        <v>0.0027979521371591857</v>
      </c>
      <c r="V84" s="618">
        <v>0.007034659820282414</v>
      </c>
    </row>
    <row r="85" spans="16:22" ht="15">
      <c r="P85" s="599" t="s">
        <v>56</v>
      </c>
      <c r="Q85" s="614" t="s">
        <v>307</v>
      </c>
      <c r="R85" s="614">
        <v>0</v>
      </c>
      <c r="S85" s="614">
        <v>0.04051431344007763</v>
      </c>
      <c r="T85" s="614">
        <v>0.047219558964525406</v>
      </c>
      <c r="U85" s="614">
        <v>0.0027979521371591857</v>
      </c>
      <c r="V85" s="618">
        <v>0.007034659820282414</v>
      </c>
    </row>
    <row r="86" spans="16:22" ht="15.75" thickBot="1">
      <c r="P86" s="601" t="s">
        <v>56</v>
      </c>
      <c r="Q86" s="619" t="s">
        <v>308</v>
      </c>
      <c r="R86" s="619">
        <v>0</v>
      </c>
      <c r="S86" s="619">
        <v>0.07617661329451722</v>
      </c>
      <c r="T86" s="619">
        <v>0.12440076701821669</v>
      </c>
      <c r="U86" s="619">
        <v>0.0358375997142517</v>
      </c>
      <c r="V86" s="620">
        <v>0.024030808729139923</v>
      </c>
    </row>
  </sheetData>
  <mergeCells count="27">
    <mergeCell ref="Z17:AC17"/>
    <mergeCell ref="R7:U7"/>
    <mergeCell ref="Z39:AB39"/>
    <mergeCell ref="J39:M39"/>
    <mergeCell ref="N39:Q39"/>
    <mergeCell ref="R39:U39"/>
    <mergeCell ref="V39:Y39"/>
    <mergeCell ref="Z27:AB27"/>
    <mergeCell ref="J27:M27"/>
    <mergeCell ref="N27:Q27"/>
    <mergeCell ref="R27:U27"/>
    <mergeCell ref="V27:Y27"/>
    <mergeCell ref="B16:G16"/>
    <mergeCell ref="J17:M17"/>
    <mergeCell ref="N17:Q17"/>
    <mergeCell ref="R17:U17"/>
    <mergeCell ref="V17:Y17"/>
    <mergeCell ref="B5:G5"/>
    <mergeCell ref="J7:M7"/>
    <mergeCell ref="N7:Q7"/>
    <mergeCell ref="V7:Y7"/>
    <mergeCell ref="Z7:AC7"/>
    <mergeCell ref="P78:V78"/>
    <mergeCell ref="I66:N66"/>
    <mergeCell ref="P66:U66"/>
    <mergeCell ref="I2:N2"/>
    <mergeCell ref="I3:N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Energy Efficiency; </_ResourceType>
    <TaxCatchAll xmlns="e22c7409-3fd3-409a-a4a6-6ab0ea51d687">
      <Value>16</Value>
    </TaxCatchAll>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A35D0DE854201A4B9F2C77A640E1971C" ma:contentTypeVersion="4" ma:contentTypeDescription="BPA Documents that do not have a specific content type defined." ma:contentTypeScope="" ma:versionID="c5a18afc63931c934a17ac21e6b3b23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66ee779758c4815dc4148c38db72eef3"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b20eebb0-220a-4368-a04c-579c61267b5e">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b20eebb0-220a-4368-a04c-579c61267b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F12BA5-D7F2-4F23-91C0-F70F1FECD074}">
  <ds:schemaRefs>
    <ds:schemaRef ds:uri="http://schemas.microsoft.com/office/2006/metadata/propertie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e22c7409-3fd3-409a-a4a6-6ab0ea51d687"/>
    <ds:schemaRef ds:uri="http://schemas.microsoft.com/sharepoint/v3/fields"/>
    <ds:schemaRef ds:uri="http://schemas.microsoft.com/sharepoint/v3"/>
    <ds:schemaRef ds:uri="http://purl.org/dc/elements/1.1/"/>
  </ds:schemaRefs>
</ds:datastoreItem>
</file>

<file path=customXml/itemProps2.xml><?xml version="1.0" encoding="utf-8"?>
<ds:datastoreItem xmlns:ds="http://schemas.openxmlformats.org/officeDocument/2006/customXml" ds:itemID="{9D39AA8D-9FEF-4A72-9487-D2D305234E50}">
  <ds:schemaRefs>
    <ds:schemaRef ds:uri="http://schemas.microsoft.com/sharepoint/v3/contenttype/forms"/>
  </ds:schemaRefs>
</ds:datastoreItem>
</file>

<file path=customXml/itemProps3.xml><?xml version="1.0" encoding="utf-8"?>
<ds:datastoreItem xmlns:ds="http://schemas.openxmlformats.org/officeDocument/2006/customXml" ds:itemID="{544167AE-7CF8-4D68-A2C9-79DEB7BF4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BPA_Res_HVAC_Momentum_Savings_Analysis_Draft_110615</dc:title>
  <dc:subject/>
  <dc:creator>Tom Eckman</dc:creator>
  <cp:keywords/>
  <dc:description/>
  <cp:lastModifiedBy>Bonnie Watson</cp:lastModifiedBy>
  <cp:lastPrinted>2014-02-18T23:52:00Z</cp:lastPrinted>
  <dcterms:created xsi:type="dcterms:W3CDTF">2001-05-01T15:01:00Z</dcterms:created>
  <dcterms:modified xsi:type="dcterms:W3CDTF">2017-03-24T18:35:47Z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0x010100404842DB1C82EF43A906826C7ABE80A90400A35D0DE854201A4B9F2C77A640E1971C</vt:lpwstr>
  </property>
  <property fmtid="{D5CDD505-2E9C-101B-9397-08002B2CF9AE}" pid="3" name="Tags">
    <vt:lpwstr>16;#Energy Efficiency|7d88f299-fa2d-4d2a-99d9-9b08652f27c4</vt:lpwstr>
  </property>
  <property fmtid="{D5CDD505-2E9C-101B-9397-08002B2CF9AE}" pid="4" name="Order">
    <vt:r8>28800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