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605" yWindow="15" windowWidth="9675" windowHeight="7080" activeTab="0"/>
  </bookViews>
  <sheets>
    <sheet name="SPILL SURCHARGE" sheetId="10" r:id="rId1"/>
    <sheet name="FY19 Spill Cost" sheetId="6" r:id="rId2"/>
    <sheet name="FY19 SecR" sheetId="7" r:id="rId3"/>
    <sheet name="FY19 Aurora Prices for SecR" sheetId="1" r:id="rId4"/>
    <sheet name="FY19 LDD offset for SecR" sheetId="11" r:id="rId5"/>
    <sheet name="Spill Criteria by Project" sheetId="13" r:id="rId6"/>
  </sheets>
  <definedNames>
    <definedName name="FirstYear">#REF!</definedName>
    <definedName name="Options">#REF!</definedName>
    <definedName name="_xlnm.Print_Area" localSheetId="5">'Spill Criteria by Project'!$A$1:$G$29</definedName>
    <definedName name="_xlnm.Print_Area" localSheetId="0">'SPILL SURCHARGE'!$A$1:$I$52</definedName>
    <definedName name="SecondYear">#REF!</definedName>
    <definedName name="Spread">#REF!</definedName>
  </definedNames>
  <calcPr calcId="145621"/>
</workbook>
</file>

<file path=xl/sharedStrings.xml><?xml version="1.0" encoding="utf-8"?>
<sst xmlns="http://schemas.openxmlformats.org/spreadsheetml/2006/main" count="496" uniqueCount="292">
  <si>
    <t>RATE CASE</t>
  </si>
  <si>
    <t>BP18_output_FP_4_20_2017_v12p3</t>
  </si>
  <si>
    <t>Oct</t>
  </si>
  <si>
    <t>Nov</t>
  </si>
  <si>
    <t>Dec</t>
  </si>
  <si>
    <t>Jan</t>
  </si>
  <si>
    <t>Feb</t>
  </si>
  <si>
    <t>Mar</t>
  </si>
  <si>
    <t>Apr</t>
  </si>
  <si>
    <t>May</t>
  </si>
  <si>
    <t>Jun</t>
  </si>
  <si>
    <t>Jul</t>
  </si>
  <si>
    <t>Aug</t>
  </si>
  <si>
    <t>Sep</t>
  </si>
  <si>
    <t>BP-18 Final Proposal Federal Generation (aMW)</t>
  </si>
  <si>
    <t>Revised Federal Generation (aMW)</t>
  </si>
  <si>
    <t>WATER YEAR</t>
  </si>
  <si>
    <t>OCT</t>
  </si>
  <si>
    <t>NOV</t>
  </si>
  <si>
    <t>DEC</t>
  </si>
  <si>
    <t>JAN</t>
  </si>
  <si>
    <t>FEB</t>
  </si>
  <si>
    <t>MAR</t>
  </si>
  <si>
    <t>APR 15</t>
  </si>
  <si>
    <t>APR 30</t>
  </si>
  <si>
    <t>MAY</t>
  </si>
  <si>
    <t>JUNE</t>
  </si>
  <si>
    <t>JULY</t>
  </si>
  <si>
    <t>AUG 15</t>
  </si>
  <si>
    <t>AUG 31</t>
  </si>
  <si>
    <t>SEP</t>
  </si>
  <si>
    <t>AVG.</t>
  </si>
  <si>
    <t>AVERAGE</t>
  </si>
  <si>
    <t>BP-18 Final Proposal Market Price ($/MWh)</t>
  </si>
  <si>
    <t>Revised Federal Generation Cost ($)</t>
  </si>
  <si>
    <t>APR</t>
  </si>
  <si>
    <t>AUG</t>
  </si>
  <si>
    <t>SUM</t>
  </si>
  <si>
    <t>DAYS</t>
  </si>
  <si>
    <t>BP-18 Final Proposal Non-Slice Net Position (aMW)</t>
  </si>
  <si>
    <t>HOURS</t>
  </si>
  <si>
    <t>Difference in the Forecast Market Prices using BP-18 Final Studies with Revised Planned Spill Amounts ($/MWh)</t>
  </si>
  <si>
    <t>Net Impact of Revised Planned Spill Amounts ($)</t>
  </si>
  <si>
    <t>BESID</t>
  </si>
  <si>
    <t>Preference Customer</t>
  </si>
  <si>
    <t>TOCA 2018</t>
  </si>
  <si>
    <t>Non-Slice TOCA 2018</t>
  </si>
  <si>
    <t>Slice Percentage 2018</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</si>
  <si>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</si>
  <si>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</si>
  <si>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</si>
  <si>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</si>
  <si>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</si>
  <si>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</si>
  <si>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</si>
  <si>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</si>
  <si>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</si>
  <si>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</si>
  <si>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</si>
  <si>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</si>
  <si>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</si>
  <si>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</si>
  <si>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</si>
  <si>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</si>
  <si>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</si>
  <si>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</si>
  <si>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</si>
  <si>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</si>
  <si>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</si>
  <si>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</si>
  <si>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</si>
  <si>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</si>
  <si>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</si>
  <si>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</si>
  <si>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</si>
  <si>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</si>
  <si>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</si>
  <si>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</si>
  <si>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</si>
  <si>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</si>
  <si>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</si>
  <si>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</si>
  <si>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</si>
  <si>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</si>
  <si>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</si>
  <si>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</si>
  <si>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</si>
  <si>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</si>
  <si>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</si>
  <si>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</si>
  <si>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</si>
  <si>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</si>
  <si>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</si>
  <si>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</si>
  <si>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</si>
  <si>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</si>
  <si>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</si>
  <si>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</si>
  <si>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</si>
  <si>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</si>
  <si>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</si>
  <si>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</si>
  <si>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</si>
  <si>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</si>
  <si>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</si>
  <si>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</si>
  <si>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</si>
  <si>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</si>
  <si>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</si>
  <si>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</si>
  <si>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</si>
  <si>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</si>
  <si>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</si>
  <si>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</si>
  <si>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</si>
  <si>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</si>
  <si>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</si>
  <si>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</si>
  <si>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</si>
  <si>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</si>
  <si>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</si>
  <si>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</si>
  <si>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</si>
  <si>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</si>
  <si>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</si>
  <si>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</si>
  <si>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</si>
  <si>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</si>
  <si>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</si>
  <si>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</si>
  <si>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</si>
  <si>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</si>
  <si>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</si>
  <si>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</si>
  <si>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</si>
  <si>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</si>
  <si>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</si>
  <si>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</si>
  <si>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</si>
  <si>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</si>
  <si>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</si>
  <si>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</si>
  <si>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</si>
  <si>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</si>
  <si>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</si>
  <si>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</si>
  <si>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</si>
  <si>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</si>
  <si>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</si>
  <si>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</si>
  <si>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</si>
  <si>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</si>
  <si>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</si>
  <si>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</si>
  <si>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</si>
  <si>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</si>
  <si>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</si>
  <si>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</si>
  <si>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</si>
  <si>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</si>
  <si>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</si>
  <si>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</si>
  <si>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</si>
  <si>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</si>
  <si>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</si>
  <si>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</si>
  <si>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</si>
  <si>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</si>
  <si>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</si>
  <si>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</si>
  <si>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</si>
  <si>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</si>
  <si>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</si>
  <si>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</si>
  <si>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</si>
  <si>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</si>
  <si>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</si>
  <si>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Kalispel Tribe Utility</t>
  </si>
  <si>
    <t>Hermiston, City of</t>
  </si>
  <si>
    <t>Port of Seattle - SETAC In'tl. Airport</t>
  </si>
  <si>
    <t>Weiser, City of</t>
  </si>
  <si>
    <t>Jefferson County PUD #1</t>
  </si>
  <si>
    <t>FY2018</t>
  </si>
  <si>
    <t>System Shaped Load (MWh)</t>
  </si>
  <si>
    <t>Sum of Billing Determinants (BD) (MWh)</t>
  </si>
  <si>
    <t>Total</t>
  </si>
  <si>
    <t>RT1SC (MWh)</t>
  </si>
  <si>
    <t>Revised Federal Generation Cost:</t>
  </si>
  <si>
    <t>Sum of Slice Percentages:</t>
  </si>
  <si>
    <t>SecR (Secondary Reduction Estimate ≥ 0):</t>
  </si>
  <si>
    <t>CostR (Cost Reduction Estimate):</t>
  </si>
  <si>
    <t>Slice Percentage:</t>
  </si>
  <si>
    <t xml:space="preserve">BP18_OUTPUT_FP_4_20_2017_SSSRC2 </t>
  </si>
  <si>
    <t>TOCA 2019</t>
  </si>
  <si>
    <t>Non-Slice TOCA 2019</t>
  </si>
  <si>
    <t>Slice Percentage 2019</t>
  </si>
  <si>
    <t>PF Melded Load (MWh)</t>
  </si>
  <si>
    <t>IP Load (MWh)</t>
  </si>
  <si>
    <t>NR Load (MWh)</t>
  </si>
  <si>
    <t>to calculate SecR LDD amount ($/MWh):</t>
  </si>
  <si>
    <t>Max of 0 and Aurora Price</t>
  </si>
  <si>
    <t>RHWM annual aMW</t>
  </si>
  <si>
    <t>TOCA Load 2018 annual aMW</t>
  </si>
  <si>
    <t>TOCA Load 2019 annual aMW</t>
  </si>
  <si>
    <t>Annual Spill Surcharge Rate ($/MWh):</t>
  </si>
  <si>
    <t>C</t>
  </si>
  <si>
    <t>Adjusted Load Shaping Charge True-Up rate:</t>
  </si>
  <si>
    <t>Adjusted PF Melded Equivalent Energy Scalar rate:</t>
  </si>
  <si>
    <t>Adjusted PF Tier 1 Equivalent energy rates:</t>
  </si>
  <si>
    <t>HLH ($/MWh)</t>
  </si>
  <si>
    <t>LLH ($/MWh)</t>
  </si>
  <si>
    <t>Section B:  Spill Surcharge Amount</t>
  </si>
  <si>
    <t>Section C:  Spill Surcharge Rate</t>
  </si>
  <si>
    <t>Section E:  Annual Spill Surcharge Rate and Other Adjustments</t>
  </si>
  <si>
    <t>SecR</t>
  </si>
  <si>
    <t>less reduced spill surcharge due to LDD</t>
  </si>
  <si>
    <t>A</t>
  </si>
  <si>
    <t>B</t>
  </si>
  <si>
    <t>D</t>
  </si>
  <si>
    <t>E</t>
  </si>
  <si>
    <t>F</t>
  </si>
  <si>
    <t>SecR LDD offset:</t>
  </si>
  <si>
    <t>Spill Cost:</t>
  </si>
  <si>
    <t>Cost Reduction (CostR):</t>
  </si>
  <si>
    <t>Secondary Revenue (SecR):</t>
  </si>
  <si>
    <t>Non-Slice Share of Revised Planned Spill Amounts (aMW)</t>
  </si>
  <si>
    <t>BP-18 Final Proposal Non-Slice Net Position less Non-Slice Share of Revised Planned Spill Amounts (aMW)</t>
  </si>
  <si>
    <t>REVISED SPILL</t>
  </si>
  <si>
    <t>Annual Spill Surcharge Rate for calculating SecR LDD offset</t>
  </si>
  <si>
    <t xml:space="preserve"> Annual Spill Surcharge Rate used</t>
  </si>
  <si>
    <t>Spill Surcharge Amount used to calc SecR LDD :</t>
  </si>
  <si>
    <t>Final Spill Surcharge Amount:</t>
  </si>
  <si>
    <t>Project</t>
  </si>
  <si>
    <t xml:space="preserve">Spill </t>
  </si>
  <si>
    <t>Min Turb</t>
  </si>
  <si>
    <t>Days</t>
  </si>
  <si>
    <t>Lower Granite</t>
  </si>
  <si>
    <t>18 kcfs</t>
  </si>
  <si>
    <t>Little Goose</t>
  </si>
  <si>
    <t>Lower Monumental</t>
  </si>
  <si>
    <t>Ice Harbor</t>
  </si>
  <si>
    <t>McNary</t>
  </si>
  <si>
    <t>John Day</t>
  </si>
  <si>
    <t>The Dalles</t>
  </si>
  <si>
    <t>Bonneville</t>
  </si>
  <si>
    <t>30% of total flow</t>
  </si>
  <si>
    <t>17 kcfs</t>
  </si>
  <si>
    <t>40% of total flow</t>
  </si>
  <si>
    <t>11.5 kcfs</t>
  </si>
  <si>
    <t>9.5 kcfs</t>
  </si>
  <si>
    <t>50 kcfs</t>
  </si>
  <si>
    <t>30 kcfs</t>
  </si>
  <si>
    <t>Apr 3 - Jun 20</t>
  </si>
  <si>
    <t>Apr 10 - Jun 15</t>
  </si>
  <si>
    <t>Jun 16 - Aug 31</t>
  </si>
  <si>
    <t>All hours</t>
  </si>
  <si>
    <t>G</t>
  </si>
  <si>
    <t>FY2019</t>
  </si>
  <si>
    <t>Spill Surcharge Rate ($/MWh):</t>
  </si>
  <si>
    <t>TOCAs as of 09172018</t>
  </si>
  <si>
    <t>Applicable LDD FY2019</t>
  </si>
  <si>
    <t>SecR LDD Offset FY2019 ($)</t>
  </si>
  <si>
    <t>Spill Criteria for FY 2019 Spill Surcharge</t>
  </si>
  <si>
    <t>20 kcfs</t>
  </si>
  <si>
    <t>Jun 21 - Aug 31</t>
  </si>
  <si>
    <t>30 kcfs (bulk spill pattern)</t>
  </si>
  <si>
    <t>48% of total flow</t>
  </si>
  <si>
    <t>57% of total flow</t>
  </si>
  <si>
    <t>32% of total flow</t>
  </si>
  <si>
    <t>35% of total flow</t>
  </si>
  <si>
    <t>100 kcfs</t>
  </si>
  <si>
    <t>95 kcfs</t>
  </si>
  <si>
    <t>Hours</t>
  </si>
  <si>
    <t>45 kcfs</t>
  </si>
  <si>
    <t>16 hours per day</t>
  </si>
  <si>
    <t>8 hours per day</t>
  </si>
  <si>
    <t>52 kcfs</t>
  </si>
  <si>
    <t>44 kcfs</t>
  </si>
  <si>
    <t>87 kcfs</t>
  </si>
  <si>
    <t>180 kcfs</t>
  </si>
  <si>
    <t>146 kcfs</t>
  </si>
  <si>
    <t>135 kcfs</t>
  </si>
  <si>
    <t>122 kcfs</t>
  </si>
  <si>
    <t xml:space="preserve">  Note:  120% TDG spill production estimates (gas caps) from the 2019-2021 Spill Operations Agreement were assumed to apply throughout spill season.</t>
  </si>
  <si>
    <t>1/ FY2018 Sum of Billing Determinants is equal to the sum of billing determinants from June 2018 through September 2018.</t>
  </si>
  <si>
    <t>https://www.bpa.gov/Finance/RateInformation/RatesInfoPower/BP-18%20Final%20Power%20Rate%20Schedules%20and%20GRSPs%20(rev.%206-21-18).pdf</t>
  </si>
  <si>
    <t>Net impact increased spill has on purchase costs and revenue for April through August</t>
  </si>
  <si>
    <r>
      <t>Sum of Annual Billing Determinants</t>
    </r>
    <r>
      <rPr>
        <sz val="11"/>
        <color theme="1"/>
        <rFont val="Calibri"/>
        <family val="2"/>
      </rPr>
      <t xml:space="preserve"> (MWh):</t>
    </r>
  </si>
  <si>
    <r>
      <t>Sum of Billing Determinants</t>
    </r>
    <r>
      <rPr>
        <vertAlign val="superscript"/>
        <sz val="11"/>
        <color theme="1"/>
        <rFont val="Calibri"/>
        <family val="2"/>
      </rPr>
      <t>1/</t>
    </r>
    <r>
      <rPr>
        <sz val="11"/>
        <color theme="1"/>
        <rFont val="Calibri"/>
        <family val="2"/>
      </rPr>
      <t xml:space="preserve"> (MWh):</t>
    </r>
  </si>
  <si>
    <t>N/A</t>
  </si>
  <si>
    <t>Final Spill Surcharges, Appendix C 2018 Power Rate Schedules and GRSPs</t>
  </si>
  <si>
    <t>as of May 16,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</si>
</sst>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_);[Red]\(0\)"/>
    <numFmt numFmtId="166" formatCode="_(* #,##0.0000000_);_(* \(#,##0.0000000\);_(* &quot;-&quot;??_);_(@_)"/>
    <numFmt numFmtId="167" formatCode="0.000"/>
    <numFmt numFmtId="168" formatCode="&quot;$&quot;#,##0"/>
    <numFmt numFmtId="169" formatCode="&quot;$&quot;#,##0.00"/>
    <numFmt numFmtId="170" formatCode="_(* #,##0_);_(* \(#,##0\);_(* &quot;-&quot;??_);_(@_)"/>
    <numFmt numFmtId="171" formatCode="_(* #,##0.0000000_);_(* \(#,##0.0000000\);_(* &quot;-&quot;???????_);_(@_)"/>
    <numFmt numFmtId="172" formatCode="#,##0.00000_);\(#,##0.00000\)"/>
    <numFmt numFmtId="173" formatCode="[$-409]mmm\-yy;@"/>
    <numFmt numFmtId="174" formatCode="0.0000000"/>
    <numFmt numFmtId="175" formatCode="0.000000"/>
    <numFmt numFmtId="176" formatCode="&quot;$&quot;#,##0.0000"/>
  </numFmts>
  <fonts count="17">
    <font>
      <sz val="11"/>
      <color theme="1"/>
      <name val="Calibri"/>
      <family val="2"/>
    </font>
    <font>
      <sz val="10"/>
      <name val="Arial"/>
      <family val="2"/>
    </font>
    <font>
      <sz val="11"/>
      <color theme="1"/>
      <name val="Calibri"/>
      <family val="2"/>
      <scheme val="minor"/>
    </font>
    <font>
      <sz val="11"/>
      <color rgb="FF1F497D"/>
      <name val="Calibri"/>
      <family val="2"/>
      <scheme val="minor"/>
    </font>
    <font>
      <b/>
      <sz val="11"/>
      <color theme="1"/>
      <name val="Calibri"/>
      <family val="2"/>
      <scheme val="minor"/>
    </font>
    <font>
      <sz val="10"/>
      <color theme="1"/>
      <name val="Calibri"/>
      <family val="2"/>
      <scheme val="minor"/>
    </font>
    <font>
      <b/>
      <sz val="11"/>
      <color theme="1"/>
      <name val="Calibri"/>
      <family val="2"/>
    </font>
    <font>
      <sz val="9"/>
      <color theme="1"/>
      <name val="Calibri"/>
      <family val="2"/>
    </font>
    <font>
      <i/>
      <sz val="11"/>
      <color theme="1"/>
      <name val="Calibri"/>
      <family val="2"/>
      <scheme val="minor"/>
    </font>
    <font>
      <sz val="11"/>
      <color theme="5" tint="-0.24997000396251678"/>
      <name val="Calibri"/>
      <family val="2"/>
    </font>
    <font>
      <u val="single"/>
      <sz val="11"/>
      <color theme="10"/>
      <name val="Calibri"/>
      <family val="2"/>
    </font>
    <font>
      <i/>
      <sz val="11"/>
      <color theme="1"/>
      <name val="Calibri"/>
      <family val="2"/>
    </font>
    <font>
      <b/>
      <sz val="11"/>
      <name val="Calibri"/>
      <family val="2"/>
    </font>
    <font>
      <sz val="11"/>
      <name val="Calibri"/>
      <family val="2"/>
      <scheme val="minor"/>
    </font>
    <font>
      <b/>
      <sz val="11"/>
      <color theme="0"/>
      <name val="Calibri"/>
      <family val="2"/>
    </font>
    <font>
      <b/>
      <sz val="12"/>
      <color theme="0"/>
      <name val="Calibri"/>
      <family val="2"/>
    </font>
    <font>
      <vertAlign val="superscript"/>
      <sz val="11"/>
      <color theme="1"/>
      <name val="Calibri"/>
      <family val="2"/>
    </font>
  </fonts>
  <fills count="6">
    <fill>
      <patternFill/>
    </fill>
    <fill>
      <patternFill patternType="gray125"/>
    </fill>
    <fill>
      <patternFill patternType="solid">
        <fgColor rgb="FFFFFF00"/>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4" tint="0.39998000860214233"/>
        <bgColor indexed="64"/>
      </patternFill>
    </fill>
  </fills>
  <borders count="20">
    <border>
      <left/>
      <right/>
      <top/>
      <bottom/>
      <diagonal/>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border>
    <border>
      <left/>
      <right/>
      <top style="thin"/>
      <bottom style="double"/>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10" fillId="0" borderId="0" applyNumberFormat="0" applyFill="0" applyBorder="0" applyAlignment="0" applyProtection="0"/>
  </cellStyleXfs>
  <cellXfs count="135">
    <xf numFmtId="0" fontId="0" fillId="0" borderId="0" xfId="0"/>
    <xf numFmtId="0" fontId="3" fillId="0" borderId="0" xfId="0" applyFont="1"/>
    <xf numFmtId="0" fontId="0" fillId="2" borderId="0" xfId="0" applyFill="1"/>
    <xf numFmtId="44" fontId="0" fillId="0" borderId="0" xfId="16" applyFont="1"/>
    <xf numFmtId="44" fontId="0" fillId="0" borderId="0" xfId="0" applyNumberFormat="1"/>
    <xf numFmtId="0" fontId="2" fillId="0" borderId="0" xfId="20">
      <alignment/>
      <protection/>
    </xf>
    <xf numFmtId="0" fontId="2" fillId="0" borderId="1" xfId="20" applyBorder="1">
      <alignment/>
      <protection/>
    </xf>
    <xf numFmtId="0" fontId="2" fillId="0" borderId="0" xfId="20" applyBorder="1">
      <alignment/>
      <protection/>
    </xf>
    <xf numFmtId="0" fontId="2" fillId="0" borderId="2" xfId="20" applyBorder="1">
      <alignment/>
      <protection/>
    </xf>
    <xf numFmtId="49" fontId="2" fillId="0" borderId="1" xfId="20" applyNumberFormat="1" applyBorder="1" applyAlignment="1">
      <alignment horizontal="center" vertical="center" wrapText="1"/>
      <protection/>
    </xf>
    <xf numFmtId="49" fontId="2" fillId="0" borderId="0" xfId="20" applyNumberFormat="1" applyBorder="1" applyAlignment="1">
      <alignment horizontal="center" vertical="center"/>
      <protection/>
    </xf>
    <xf numFmtId="49" fontId="2" fillId="0" borderId="2" xfId="20" applyNumberFormat="1" applyBorder="1" applyAlignment="1">
      <alignment horizontal="center" vertical="center"/>
      <protection/>
    </xf>
    <xf numFmtId="0" fontId="2" fillId="0" borderId="0" xfId="20" applyAlignment="1">
      <alignment vertical="center"/>
      <protection/>
    </xf>
    <xf numFmtId="49" fontId="2" fillId="0" borderId="1" xfId="20" applyNumberFormat="1" applyBorder="1" applyAlignment="1">
      <alignment horizontal="center"/>
      <protection/>
    </xf>
    <xf numFmtId="49" fontId="2" fillId="0" borderId="0" xfId="20" applyNumberFormat="1" applyBorder="1" applyAlignment="1">
      <alignment horizontal="center"/>
      <protection/>
    </xf>
    <xf numFmtId="49" fontId="2" fillId="0" borderId="2" xfId="20" applyNumberFormat="1" applyBorder="1" applyAlignment="1">
      <alignment horizontal="center"/>
      <protection/>
    </xf>
    <xf numFmtId="0" fontId="2" fillId="0" borderId="1" xfId="20" applyBorder="1" applyAlignment="1">
      <alignment horizontal="center"/>
      <protection/>
    </xf>
    <xf numFmtId="0" fontId="2" fillId="0" borderId="0" xfId="20" applyBorder="1" applyAlignment="1">
      <alignment horizontal="center"/>
      <protection/>
    </xf>
    <xf numFmtId="0" fontId="2" fillId="0" borderId="2" xfId="20" applyBorder="1" applyAlignment="1">
      <alignment horizontal="center"/>
      <protection/>
    </xf>
    <xf numFmtId="0" fontId="2" fillId="0" borderId="3" xfId="20" applyBorder="1" applyAlignment="1">
      <alignment horizontal="center"/>
      <protection/>
    </xf>
    <xf numFmtId="0" fontId="2" fillId="0" borderId="4" xfId="20" applyBorder="1" applyAlignment="1">
      <alignment horizontal="center"/>
      <protection/>
    </xf>
    <xf numFmtId="0" fontId="2" fillId="0" borderId="5" xfId="20" applyBorder="1" applyAlignment="1">
      <alignment horizontal="center"/>
      <protection/>
    </xf>
    <xf numFmtId="0" fontId="2" fillId="0" borderId="1" xfId="20" applyBorder="1" applyAlignment="1">
      <alignment horizontal="center" vertical="center"/>
      <protection/>
    </xf>
    <xf numFmtId="2" fontId="2" fillId="0" borderId="0" xfId="20" applyNumberFormat="1" applyBorder="1" applyAlignment="1">
      <alignment horizontal="center" vertical="center"/>
      <protection/>
    </xf>
    <xf numFmtId="2" fontId="2" fillId="0" borderId="2" xfId="20" applyNumberFormat="1" applyBorder="1" applyAlignment="1">
      <alignment horizontal="center" vertical="center"/>
      <protection/>
    </xf>
    <xf numFmtId="3" fontId="2" fillId="0" borderId="0" xfId="20" applyNumberFormat="1" applyBorder="1">
      <alignment/>
      <protection/>
    </xf>
    <xf numFmtId="3" fontId="2" fillId="0" borderId="2" xfId="20" applyNumberFormat="1" applyBorder="1">
      <alignment/>
      <protection/>
    </xf>
    <xf numFmtId="2" fontId="2" fillId="0" borderId="4" xfId="20" applyNumberFormat="1" applyBorder="1" applyAlignment="1">
      <alignment horizontal="center" vertical="center"/>
      <protection/>
    </xf>
    <xf numFmtId="2" fontId="2" fillId="0" borderId="5" xfId="20" applyNumberFormat="1" applyBorder="1" applyAlignment="1">
      <alignment horizontal="center" vertical="center"/>
      <protection/>
    </xf>
    <xf numFmtId="3" fontId="2" fillId="0" borderId="4" xfId="20" applyNumberFormat="1" applyBorder="1">
      <alignment/>
      <protection/>
    </xf>
    <xf numFmtId="164" fontId="2" fillId="0" borderId="0" xfId="16" applyNumberFormat="1" applyFont="1"/>
    <xf numFmtId="0" fontId="4" fillId="0" borderId="6" xfId="20" applyFont="1" applyBorder="1" applyAlignment="1">
      <alignment horizontal="center"/>
      <protection/>
    </xf>
    <xf numFmtId="49" fontId="2" fillId="0" borderId="0" xfId="20" applyNumberFormat="1" applyFont="1" applyBorder="1" applyAlignment="1">
      <alignment horizontal="center" vertical="center"/>
      <protection/>
    </xf>
    <xf numFmtId="165" fontId="2" fillId="0" borderId="0" xfId="20" applyNumberFormat="1" applyBorder="1" applyAlignment="1">
      <alignment horizontal="center"/>
      <protection/>
    </xf>
    <xf numFmtId="165" fontId="2" fillId="0" borderId="2" xfId="20" applyNumberFormat="1" applyBorder="1" applyAlignment="1">
      <alignment horizontal="center"/>
      <protection/>
    </xf>
    <xf numFmtId="0" fontId="2" fillId="0" borderId="4" xfId="20" applyBorder="1">
      <alignment/>
      <protection/>
    </xf>
    <xf numFmtId="0" fontId="2" fillId="0" borderId="5" xfId="20" applyBorder="1">
      <alignment/>
      <protection/>
    </xf>
    <xf numFmtId="0" fontId="4" fillId="0" borderId="0" xfId="20" applyFont="1" applyBorder="1" applyAlignment="1">
      <alignment horizontal="center"/>
      <protection/>
    </xf>
    <xf numFmtId="0" fontId="2" fillId="0" borderId="3" xfId="20" applyBorder="1">
      <alignment/>
      <protection/>
    </xf>
    <xf numFmtId="0" fontId="5" fillId="0" borderId="1" xfId="20" applyFont="1" applyBorder="1" applyAlignment="1">
      <alignment horizontal="center"/>
      <protection/>
    </xf>
    <xf numFmtId="0" fontId="5" fillId="0" borderId="0" xfId="20" applyFont="1" applyBorder="1" applyAlignment="1">
      <alignment horizontal="center"/>
      <protection/>
    </xf>
    <xf numFmtId="38" fontId="2" fillId="0" borderId="0" xfId="20" applyNumberFormat="1" applyBorder="1" applyAlignment="1">
      <alignment horizontal="center"/>
      <protection/>
    </xf>
    <xf numFmtId="38" fontId="2" fillId="0" borderId="2" xfId="20" applyNumberFormat="1" applyBorder="1" applyAlignment="1">
      <alignment horizontal="center"/>
      <protection/>
    </xf>
    <xf numFmtId="0" fontId="4" fillId="0" borderId="0" xfId="20" applyFont="1" applyAlignment="1">
      <alignment horizontal="center"/>
      <protection/>
    </xf>
    <xf numFmtId="0" fontId="4" fillId="0" borderId="0" xfId="20" applyFont="1" applyBorder="1" applyAlignment="1">
      <alignment horizontal="left"/>
      <protection/>
    </xf>
    <xf numFmtId="0" fontId="2" fillId="0" borderId="0" xfId="20" applyFont="1">
      <alignment/>
      <protection/>
    </xf>
    <xf numFmtId="0" fontId="2" fillId="0" borderId="0" xfId="20" applyFont="1" applyBorder="1" applyAlignment="1">
      <alignment horizontal="left"/>
      <protection/>
    </xf>
    <xf numFmtId="0" fontId="6" fillId="0" borderId="0" xfId="0" applyFont="1"/>
    <xf numFmtId="168" fontId="0" fillId="0" borderId="0" xfId="0" applyNumberFormat="1"/>
    <xf numFmtId="168" fontId="0" fillId="0" borderId="0" xfId="0" applyNumberFormat="1" applyBorder="1"/>
    <xf numFmtId="169" fontId="0" fillId="0" borderId="0" xfId="0" applyNumberFormat="1"/>
    <xf numFmtId="0" fontId="7" fillId="0" borderId="0" xfId="0" applyFont="1"/>
    <xf numFmtId="0" fontId="7" fillId="0" borderId="0" xfId="0" applyFont="1" applyAlignment="1">
      <alignment horizontal="right"/>
    </xf>
    <xf numFmtId="168" fontId="7" fillId="0" borderId="0" xfId="0" applyNumberFormat="1" applyFont="1"/>
    <xf numFmtId="3" fontId="0" fillId="0" borderId="0" xfId="0" applyNumberFormat="1" applyBorder="1"/>
    <xf numFmtId="0" fontId="6" fillId="0" borderId="0" xfId="0" applyFont="1" applyAlignment="1">
      <alignment horizontal="center"/>
    </xf>
    <xf numFmtId="0" fontId="2" fillId="0" borderId="1" xfId="20" applyFont="1" applyBorder="1">
      <alignment/>
      <protection/>
    </xf>
    <xf numFmtId="2" fontId="2" fillId="0" borderId="0" xfId="20" applyNumberFormat="1">
      <alignment/>
      <protection/>
    </xf>
    <xf numFmtId="2" fontId="2" fillId="0" borderId="0" xfId="20" applyNumberFormat="1" applyFont="1">
      <alignment/>
      <protection/>
    </xf>
    <xf numFmtId="170" fontId="2" fillId="0" borderId="4" xfId="18" applyNumberFormat="1" applyFont="1" applyBorder="1" applyAlignment="1">
      <alignment horizontal="center"/>
    </xf>
    <xf numFmtId="170" fontId="2" fillId="0" borderId="5" xfId="18" applyNumberFormat="1" applyFont="1" applyBorder="1" applyAlignment="1">
      <alignment horizontal="center"/>
    </xf>
    <xf numFmtId="38" fontId="2" fillId="0" borderId="4" xfId="20" applyNumberFormat="1" applyBorder="1" applyAlignment="1">
      <alignment horizontal="center"/>
      <protection/>
    </xf>
    <xf numFmtId="38" fontId="2" fillId="0" borderId="5" xfId="20" applyNumberFormat="1" applyBorder="1" applyAlignment="1">
      <alignment horizontal="center"/>
      <protection/>
    </xf>
    <xf numFmtId="0" fontId="8" fillId="0" borderId="0" xfId="23" applyFont="1">
      <alignment/>
      <protection/>
    </xf>
    <xf numFmtId="0" fontId="9" fillId="0" borderId="0" xfId="0" applyFont="1"/>
    <xf numFmtId="168" fontId="6" fillId="3" borderId="7" xfId="0" applyNumberFormat="1" applyFont="1" applyFill="1" applyBorder="1"/>
    <xf numFmtId="3" fontId="0" fillId="0" borderId="0" xfId="0" applyNumberFormat="1"/>
    <xf numFmtId="0" fontId="11" fillId="0" borderId="0" xfId="0" applyFont="1"/>
    <xf numFmtId="4" fontId="0" fillId="0" borderId="0" xfId="0" applyNumberFormat="1"/>
    <xf numFmtId="4" fontId="6" fillId="0" borderId="0" xfId="0" applyNumberFormat="1" applyFont="1" applyFill="1"/>
    <xf numFmtId="0" fontId="11" fillId="0" borderId="0" xfId="0" applyFont="1" applyAlignment="1">
      <alignment horizontal="left"/>
    </xf>
    <xf numFmtId="168" fontId="6" fillId="0" borderId="0" xfId="0" applyNumberFormat="1" applyFont="1" applyFill="1" applyBorder="1"/>
    <xf numFmtId="169" fontId="6" fillId="0" borderId="0" xfId="0" applyNumberFormat="1" applyFont="1"/>
    <xf numFmtId="5" fontId="0" fillId="0" borderId="0" xfId="0" applyNumberFormat="1"/>
    <xf numFmtId="173" fontId="0" fillId="0" borderId="0" xfId="0" applyNumberFormat="1" applyAlignment="1">
      <alignment horizontal="left"/>
    </xf>
    <xf numFmtId="173" fontId="6" fillId="0" borderId="0" xfId="0" applyNumberFormat="1" applyFont="1" applyFill="1" applyAlignment="1">
      <alignment horizontal="left"/>
    </xf>
    <xf numFmtId="0" fontId="7" fillId="0" borderId="0" xfId="0" applyFont="1" applyAlignment="1">
      <alignment horizontal="center" vertical="center"/>
    </xf>
    <xf numFmtId="169" fontId="7" fillId="0" borderId="0" xfId="0" applyNumberFormat="1" applyFont="1"/>
    <xf numFmtId="49" fontId="2" fillId="0" borderId="1" xfId="20" applyNumberFormat="1" applyFont="1" applyBorder="1" applyAlignment="1">
      <alignment horizontal="center"/>
      <protection/>
    </xf>
    <xf numFmtId="164" fontId="4" fillId="2" borderId="8" xfId="16" applyNumberFormat="1" applyFont="1" applyFill="1" applyBorder="1"/>
    <xf numFmtId="0" fontId="2" fillId="0" borderId="0" xfId="23" applyFont="1">
      <alignment/>
      <protection/>
    </xf>
    <xf numFmtId="0" fontId="2" fillId="0" borderId="0" xfId="23" applyFont="1" applyAlignment="1">
      <alignment horizontal="center" vertical="center"/>
      <protection/>
    </xf>
    <xf numFmtId="0" fontId="12" fillId="0" borderId="0" xfId="23" applyFont="1" applyFill="1" applyAlignment="1">
      <alignment horizontal="center" vertical="center" wrapText="1"/>
      <protection/>
    </xf>
    <xf numFmtId="173" fontId="12" fillId="0" borderId="0" xfId="23" applyNumberFormat="1" applyFont="1" applyFill="1" applyAlignment="1">
      <alignment horizontal="center" vertical="center" wrapText="1"/>
      <protection/>
    </xf>
    <xf numFmtId="166" fontId="2" fillId="0" borderId="0" xfId="24" applyNumberFormat="1" applyFont="1"/>
    <xf numFmtId="167" fontId="2" fillId="0" borderId="0" xfId="24" applyNumberFormat="1" applyFont="1"/>
    <xf numFmtId="172" fontId="2" fillId="0" borderId="0" xfId="24" applyNumberFormat="1" applyFont="1"/>
    <xf numFmtId="5" fontId="2" fillId="0" borderId="0" xfId="24" applyNumberFormat="1" applyFont="1"/>
    <xf numFmtId="171" fontId="2" fillId="0" borderId="0" xfId="23" applyNumberFormat="1" applyFont="1">
      <alignment/>
      <protection/>
    </xf>
    <xf numFmtId="3" fontId="2" fillId="0" borderId="0" xfId="23" applyNumberFormat="1" applyFont="1">
      <alignment/>
      <protection/>
    </xf>
    <xf numFmtId="0" fontId="2" fillId="0" borderId="0" xfId="25" applyFont="1">
      <alignment/>
      <protection/>
    </xf>
    <xf numFmtId="3" fontId="2" fillId="0" borderId="0" xfId="25" applyNumberFormat="1" applyFont="1">
      <alignment/>
      <protection/>
    </xf>
    <xf numFmtId="0" fontId="0" fillId="0" borderId="0" xfId="0" applyFont="1"/>
    <xf numFmtId="168" fontId="0" fillId="0" borderId="0" xfId="0" applyNumberFormat="1" applyFont="1"/>
    <xf numFmtId="166" fontId="0" fillId="0" borderId="0" xfId="0" applyNumberFormat="1" applyFont="1"/>
    <xf numFmtId="168" fontId="0" fillId="0" borderId="0" xfId="0" applyNumberFormat="1" applyFont="1" applyBorder="1"/>
    <xf numFmtId="7" fontId="2" fillId="0" borderId="0" xfId="23" applyNumberFormat="1" applyFont="1">
      <alignment/>
      <protection/>
    </xf>
    <xf numFmtId="0" fontId="13" fillId="0" borderId="0" xfId="25" applyFont="1">
      <alignment/>
      <protection/>
    </xf>
    <xf numFmtId="5" fontId="2" fillId="0" borderId="0" xfId="23" applyNumberFormat="1" applyFont="1">
      <alignment/>
      <protection/>
    </xf>
    <xf numFmtId="174" fontId="0" fillId="0" borderId="0" xfId="0" applyNumberFormat="1"/>
    <xf numFmtId="175" fontId="2" fillId="0" borderId="0" xfId="20" applyNumberFormat="1" applyBorder="1">
      <alignment/>
      <protection/>
    </xf>
    <xf numFmtId="9"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4" fillId="5" borderId="11"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0" fillId="0" borderId="0" xfId="0" applyBorder="1"/>
    <xf numFmtId="176" fontId="0" fillId="0" borderId="0" xfId="0" applyNumberFormat="1"/>
    <xf numFmtId="0" fontId="10" fillId="0" borderId="0" xfId="26" applyFont="1"/>
    <xf numFmtId="0" fontId="2" fillId="0" borderId="0" xfId="20" applyFont="1" applyBorder="1" applyAlignment="1">
      <alignment horizontal="left"/>
      <protection/>
    </xf>
    <xf numFmtId="3" fontId="0" fillId="0" borderId="0" xfId="0" applyNumberFormat="1" applyFont="1" applyAlignment="1">
      <alignment horizontal="center"/>
    </xf>
    <xf numFmtId="169" fontId="0" fillId="0" borderId="0" xfId="0" applyNumberFormat="1" applyFont="1" applyAlignment="1">
      <alignment horizontal="center"/>
    </xf>
    <xf numFmtId="168" fontId="0" fillId="0" borderId="0" xfId="0" applyNumberFormat="1" applyFont="1" applyBorder="1" applyAlignment="1">
      <alignment horizontal="center"/>
    </xf>
    <xf numFmtId="3" fontId="0" fillId="0" borderId="0" xfId="0" applyNumberFormat="1" applyFont="1" applyBorder="1" applyAlignment="1">
      <alignment horizontal="center"/>
    </xf>
    <xf numFmtId="0" fontId="0" fillId="0" borderId="0" xfId="0" applyFont="1" applyAlignment="1">
      <alignment horizontal="center"/>
    </xf>
    <xf numFmtId="173" fontId="0" fillId="0" borderId="0" xfId="0" applyNumberFormat="1" applyFont="1" applyAlignment="1">
      <alignment horizontal="left"/>
    </xf>
    <xf numFmtId="4" fontId="0" fillId="0" borderId="0" xfId="0" applyNumberFormat="1" applyFont="1"/>
    <xf numFmtId="0" fontId="4" fillId="0" borderId="12" xfId="20" applyFont="1" applyBorder="1" applyAlignment="1">
      <alignment horizontal="center"/>
      <protection/>
    </xf>
    <xf numFmtId="0" fontId="4" fillId="0" borderId="13" xfId="20" applyFont="1" applyBorder="1" applyAlignment="1">
      <alignment horizontal="center"/>
      <protection/>
    </xf>
    <xf numFmtId="0" fontId="4" fillId="0" borderId="6" xfId="20" applyFont="1" applyBorder="1" applyAlignment="1">
      <alignment horizontal="center"/>
      <protection/>
    </xf>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6" fillId="4" borderId="11" xfId="0" applyFont="1" applyFill="1" applyBorder="1" applyAlignment="1">
      <alignment horizontal="center" vertical="center"/>
    </xf>
    <xf numFmtId="0" fontId="0" fillId="4" borderId="9" xfId="0" applyFill="1" applyBorder="1" applyAlignment="1">
      <alignment horizontal="center" vertical="center"/>
    </xf>
    <xf numFmtId="0" fontId="6" fillId="0" borderId="11" xfId="0" applyFon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17"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cellXfs>
  <cellStyles count="13">
    <cellStyle name="Normal" xfId="0"/>
    <cellStyle name="Percent" xfId="15"/>
    <cellStyle name="Currency" xfId="16"/>
    <cellStyle name="Currency [0]" xfId="17"/>
    <cellStyle name="Comma" xfId="18"/>
    <cellStyle name="Comma [0]" xfId="19"/>
    <cellStyle name="Normal 2" xfId="20"/>
    <cellStyle name="Normal 3" xfId="21"/>
    <cellStyle name="Comma 2" xfId="22"/>
    <cellStyle name="Normal 4" xfId="23"/>
    <cellStyle name="Comma 3" xfId="24"/>
    <cellStyle name="Normal 3 2" xfId="25"/>
    <cellStyle name="Hyperlink"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304800</xdr:colOff>
      <xdr:row>89</xdr:row>
      <xdr:rowOff>47625</xdr:rowOff>
    </xdr:from>
    <xdr:to>
      <xdr:col>72</xdr:col>
      <xdr:colOff>666750</xdr:colOff>
      <xdr:row>107</xdr:row>
      <xdr:rowOff>66675</xdr:rowOff>
    </xdr:to>
    <xdr:sp macro="" textlink="">
      <xdr:nvSpPr>
        <xdr:cNvPr id="2" name="TextBox 1"/>
        <xdr:cNvSpPr txBox="1"/>
      </xdr:nvSpPr>
      <xdr:spPr>
        <a:xfrm>
          <a:off x="41805225" y="17221200"/>
          <a:ext cx="3448050" cy="3467100"/>
        </a:xfrm>
        <a:prstGeom prst="rect">
          <a:avLst/>
        </a:prstGeom>
        <a:solidFill>
          <a:srgbClr val="FFFFFF"/>
        </a:solidFill>
        <a:ln w="19050" cmpd="sng">
          <a:solidFill>
            <a:schemeClr val="accent3">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Note:</a:t>
          </a:r>
        </a:p>
        <a:p>
          <a:endParaRPr lang="en-US" sz="1100"/>
        </a:p>
        <a:p>
          <a:r>
            <a:rPr lang="en-US" sz="1100"/>
            <a:t>The</a:t>
          </a:r>
          <a:r>
            <a:rPr lang="en-US" sz="1100" baseline="0"/>
            <a:t> figure in cell BV91 captures the incremental price effect on non-slice net secondary revenue for BP-18, resulting from spill, after adjusting for LDD.</a:t>
          </a:r>
        </a:p>
        <a:p>
          <a:endParaRPr lang="en-US" sz="1100" baseline="0"/>
        </a:p>
        <a:p>
          <a:r>
            <a:rPr lang="en-US" sz="1100"/>
            <a:t>The</a:t>
          </a:r>
          <a:r>
            <a:rPr lang="en-US" sz="1100" baseline="0"/>
            <a:t> calculations follow from taking the rate case non-slice net inventory position less  the non-slice share of revised spill for each water year, and multiplying them by the difference in market prices resulting from modeling the reduced hydro availbility in AURORAxmp®</a:t>
          </a:r>
        </a:p>
        <a:p>
          <a:endParaRPr lang="en-US" sz="1100" baseline="0"/>
        </a:p>
        <a:p>
          <a:r>
            <a:rPr lang="en-US" sz="1100" baseline="0"/>
            <a:t>Finally, the effects are averaged over 80 water years and captured for the April - August timeframe, in which the spill impacts materialize. This result is reported in cell BV89. The figure, net of the LDD adjustment, is reported in BV91 and should be viewed as an offsetting credit to the overall cost of spill.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85</xdr:row>
      <xdr:rowOff>38100</xdr:rowOff>
    </xdr:from>
    <xdr:to>
      <xdr:col>10</xdr:col>
      <xdr:colOff>381000</xdr:colOff>
      <xdr:row>92</xdr:row>
      <xdr:rowOff>180975</xdr:rowOff>
    </xdr:to>
    <xdr:sp macro="" textlink="">
      <xdr:nvSpPr>
        <xdr:cNvPr id="2" name="TextBox 1"/>
        <xdr:cNvSpPr txBox="1"/>
      </xdr:nvSpPr>
      <xdr:spPr>
        <a:xfrm>
          <a:off x="676275" y="16230600"/>
          <a:ext cx="5800725" cy="1476375"/>
        </a:xfrm>
        <a:prstGeom prst="rect">
          <a:avLst/>
        </a:prstGeom>
        <a:solidFill>
          <a:srgbClr val="FFFFFF"/>
        </a:solidFill>
        <a:ln w="19050" cmpd="sng">
          <a:solidFill>
            <a:schemeClr val="accent3">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Note: </a:t>
          </a:r>
        </a:p>
        <a:p>
          <a:endParaRPr lang="en-US" sz="1100"/>
        </a:p>
        <a:p>
          <a:r>
            <a:rPr lang="en-US" sz="1100"/>
            <a:t>The prices in cell range</a:t>
          </a:r>
          <a:r>
            <a:rPr lang="en-US" sz="1100" baseline="0"/>
            <a:t> B</a:t>
          </a:r>
          <a:r>
            <a:rPr lang="en-US" sz="1100"/>
            <a:t>5 through M84</a:t>
          </a:r>
          <a:r>
            <a:rPr lang="en-US" sz="1100" baseline="0"/>
            <a:t> are not identical to those posted in the BP-18 Final Proposal documentation. The deviations are small (less than 5 cents on average) and result from an update to the AURORAxmp™ software. For purposes of the secondary reduction (SecR) calculation it was necessary to use these updated prices rather than the original BP-18 Final Proposal prices in order to isolate the effect of the revised planned spill on market prices coherently.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22</xdr:row>
      <xdr:rowOff>0</xdr:rowOff>
    </xdr:from>
    <xdr:to>
      <xdr:col>20</xdr:col>
      <xdr:colOff>571500</xdr:colOff>
      <xdr:row>28</xdr:row>
      <xdr:rowOff>161925</xdr:rowOff>
    </xdr:to>
    <xdr:sp macro="" textlink="">
      <xdr:nvSpPr>
        <xdr:cNvPr id="2" name="TextBox 1"/>
        <xdr:cNvSpPr txBox="1"/>
      </xdr:nvSpPr>
      <xdr:spPr>
        <a:xfrm>
          <a:off x="12744450" y="4572000"/>
          <a:ext cx="5543550" cy="1304925"/>
        </a:xfrm>
        <a:prstGeom prst="rect">
          <a:avLst/>
        </a:prstGeom>
        <a:solidFill>
          <a:srgbClr val="FFFFFF"/>
        </a:solidFill>
        <a:ln w="19050" cmpd="sng">
          <a:solidFill>
            <a:schemeClr val="accent3">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Note: </a:t>
          </a:r>
        </a:p>
        <a:p>
          <a:endParaRPr lang="en-US" sz="1100"/>
        </a:p>
        <a:p>
          <a:r>
            <a:rPr lang="en-US" sz="1100"/>
            <a:t>The figure in cell R21 captures the amount of spill</a:t>
          </a:r>
          <a:r>
            <a:rPr lang="en-US" sz="1100" baseline="0"/>
            <a:t> surcharge that will not be collected due to the application of Low Density Discount (LDD).  It is calculated by determining a preliminary spill surcharge rate (cell R19) and then applying FY2019 LDDs by customer to the applicable customer's share of spill surcharge (columns M and 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pa.gov/Finance/RateInformation/RatesInfoPower/BP-18%20Final%20Power%20Rate%20Schedules%20and%20GRSPs%20(rev.%206-21-18).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sheetPr>
  <dimension ref="A1:S52"/>
  <sheetViews>
    <sheetView tabSelected="1" workbookViewId="0" topLeftCell="A1">
      <selection activeCell="M20" sqref="M20"/>
    </sheetView>
  </sheetViews>
  <sheetFormatPr defaultColWidth="9.140625" defaultRowHeight="15"/>
  <cols>
    <col min="1" max="1" width="8.140625" style="0" customWidth="1"/>
    <col min="2" max="6" width="11.57421875" style="0" customWidth="1"/>
    <col min="7" max="8" width="13.8515625" style="0" customWidth="1"/>
    <col min="9" max="9" width="12.57421875" style="0" customWidth="1"/>
    <col min="10" max="10" width="4.140625" style="0" customWidth="1"/>
    <col min="13" max="13" width="12.00390625" style="0" customWidth="1"/>
    <col min="16" max="16" width="11.140625" style="0" bestFit="1" customWidth="1"/>
    <col min="17" max="17" width="10.140625" style="0" bestFit="1" customWidth="1"/>
  </cols>
  <sheetData>
    <row r="1" ht="15">
      <c r="A1" s="47" t="s">
        <v>290</v>
      </c>
    </row>
    <row r="2" ht="15">
      <c r="A2" s="112" t="s">
        <v>285</v>
      </c>
    </row>
    <row r="3" ht="15">
      <c r="A3" s="67" t="s">
        <v>291</v>
      </c>
    </row>
    <row r="4" ht="15">
      <c r="A4" s="67"/>
    </row>
    <row r="5" spans="1:8" ht="15">
      <c r="A5" s="67"/>
      <c r="B5" s="76" t="s">
        <v>216</v>
      </c>
      <c r="C5" s="76" t="s">
        <v>217</v>
      </c>
      <c r="D5" s="76" t="s">
        <v>205</v>
      </c>
      <c r="E5" s="76" t="s">
        <v>218</v>
      </c>
      <c r="F5" s="76" t="s">
        <v>219</v>
      </c>
      <c r="G5" s="76" t="s">
        <v>220</v>
      </c>
      <c r="H5" s="76" t="s">
        <v>256</v>
      </c>
    </row>
    <row r="6" spans="1:8" ht="15">
      <c r="A6" s="76">
        <v>1</v>
      </c>
      <c r="B6" s="70" t="s">
        <v>211</v>
      </c>
      <c r="G6" s="55" t="s">
        <v>182</v>
      </c>
      <c r="H6" s="55" t="s">
        <v>257</v>
      </c>
    </row>
    <row r="7" spans="1:17" ht="15">
      <c r="A7" s="76">
        <v>2</v>
      </c>
      <c r="C7" t="s">
        <v>222</v>
      </c>
      <c r="G7" s="48">
        <v>38587948</v>
      </c>
      <c r="H7" s="48">
        <f>ROUND('FY19 Spill Cost'!BM87,0)</f>
        <v>34894556</v>
      </c>
      <c r="Q7" s="48"/>
    </row>
    <row r="8" spans="1:11" ht="15">
      <c r="A8" s="76">
        <v>3</v>
      </c>
      <c r="C8" t="s">
        <v>223</v>
      </c>
      <c r="G8" s="48">
        <v>15500000</v>
      </c>
      <c r="H8" s="48">
        <v>26400000</v>
      </c>
      <c r="K8" s="111"/>
    </row>
    <row r="9" spans="1:13" ht="15">
      <c r="A9" s="76">
        <v>4</v>
      </c>
      <c r="C9" t="s">
        <v>188</v>
      </c>
      <c r="G9" s="99">
        <v>0.22735799999999998</v>
      </c>
      <c r="H9" s="99">
        <f>SUM('FY19 LDD offset for SecR'!H3:H136)</f>
        <v>0.22735799999999998</v>
      </c>
      <c r="M9" s="99"/>
    </row>
    <row r="10" spans="1:19" ht="15">
      <c r="A10" s="76">
        <v>5</v>
      </c>
      <c r="C10" t="s">
        <v>224</v>
      </c>
      <c r="G10" s="48">
        <v>7644303.804009846</v>
      </c>
      <c r="H10" s="48">
        <f>'FY19 SecR'!BV91</f>
        <v>6847035.592747046</v>
      </c>
      <c r="I10" s="77"/>
      <c r="J10" s="51"/>
      <c r="K10" s="51"/>
      <c r="L10" s="51"/>
      <c r="M10" s="52"/>
      <c r="N10" s="53"/>
      <c r="S10" s="48"/>
    </row>
    <row r="11" spans="1:14" ht="15">
      <c r="A11" s="76">
        <v>6</v>
      </c>
      <c r="I11" s="51"/>
      <c r="J11" s="51"/>
      <c r="K11" s="51"/>
      <c r="L11" s="51"/>
      <c r="M11" s="52"/>
      <c r="N11" s="53"/>
    </row>
    <row r="12" spans="1:19" ht="15.75" thickBot="1">
      <c r="A12" s="76">
        <v>7</v>
      </c>
      <c r="C12" t="s">
        <v>231</v>
      </c>
      <c r="G12" s="65">
        <f>MAX(0,(G7-G8)*(1-G9)-G10)</f>
        <v>10194414.514606155</v>
      </c>
      <c r="H12" s="65">
        <f>MAX(0,(H7-H8)*(1-H9)-H10)</f>
        <v>0</v>
      </c>
      <c r="N12" s="48"/>
      <c r="S12" s="50"/>
    </row>
    <row r="13" spans="1:19" ht="15.75" thickTop="1">
      <c r="A13" s="76">
        <v>8</v>
      </c>
      <c r="G13" s="71"/>
      <c r="H13" s="71"/>
      <c r="S13" s="50"/>
    </row>
    <row r="14" spans="1:2" ht="15">
      <c r="A14" s="76">
        <v>9</v>
      </c>
      <c r="B14" s="67" t="s">
        <v>212</v>
      </c>
    </row>
    <row r="15" spans="1:8" ht="17.25">
      <c r="A15" s="76">
        <v>10</v>
      </c>
      <c r="C15" t="s">
        <v>288</v>
      </c>
      <c r="G15" s="66">
        <v>14395976.020460114</v>
      </c>
      <c r="H15" s="114" t="s">
        <v>289</v>
      </c>
    </row>
    <row r="16" spans="1:8" ht="15">
      <c r="A16" s="76">
        <v>11</v>
      </c>
      <c r="C16" t="s">
        <v>258</v>
      </c>
      <c r="G16" s="72">
        <f>ROUND($G$12/G15,2)</f>
        <v>0.71</v>
      </c>
      <c r="H16" s="115" t="s">
        <v>289</v>
      </c>
    </row>
    <row r="17" spans="1:8" ht="15">
      <c r="A17" s="76">
        <v>12</v>
      </c>
      <c r="G17" s="50"/>
      <c r="H17" s="115"/>
    </row>
    <row r="18" spans="1:18" ht="15">
      <c r="A18" s="76">
        <v>13</v>
      </c>
      <c r="B18" s="67" t="s">
        <v>213</v>
      </c>
      <c r="G18" s="49"/>
      <c r="H18" s="116"/>
      <c r="R18" s="48"/>
    </row>
    <row r="19" spans="1:8" ht="15">
      <c r="A19" s="76">
        <v>14</v>
      </c>
      <c r="C19" t="s">
        <v>287</v>
      </c>
      <c r="G19" s="54">
        <v>44224557.9532545</v>
      </c>
      <c r="H19" s="117" t="s">
        <v>289</v>
      </c>
    </row>
    <row r="20" spans="1:14" ht="15">
      <c r="A20" s="76">
        <v>15</v>
      </c>
      <c r="C20" t="s">
        <v>204</v>
      </c>
      <c r="G20" s="72">
        <f>ROUND($G$12/G19,2)</f>
        <v>0.23</v>
      </c>
      <c r="H20" s="115" t="s">
        <v>289</v>
      </c>
      <c r="N20" s="50"/>
    </row>
    <row r="21" spans="1:8" ht="15">
      <c r="A21" s="76">
        <v>16</v>
      </c>
      <c r="H21" s="118"/>
    </row>
    <row r="22" spans="1:8" ht="15">
      <c r="A22" s="76">
        <v>17</v>
      </c>
      <c r="C22" t="s">
        <v>206</v>
      </c>
      <c r="G22" s="50">
        <f>-12.75-G20</f>
        <v>-12.98</v>
      </c>
      <c r="H22" s="115" t="s">
        <v>289</v>
      </c>
    </row>
    <row r="23" spans="1:8" ht="15">
      <c r="A23" s="76">
        <v>18</v>
      </c>
      <c r="C23" t="s">
        <v>207</v>
      </c>
      <c r="G23" s="50">
        <f>-12.66-G20</f>
        <v>-12.89</v>
      </c>
      <c r="H23" s="115" t="s">
        <v>289</v>
      </c>
    </row>
    <row r="24" ht="15">
      <c r="A24" s="76">
        <v>19</v>
      </c>
    </row>
    <row r="25" spans="1:3" ht="15">
      <c r="A25" s="76">
        <v>20</v>
      </c>
      <c r="C25" t="s">
        <v>208</v>
      </c>
    </row>
    <row r="26" spans="1:6" ht="15">
      <c r="A26" s="76">
        <v>21</v>
      </c>
      <c r="E26" t="s">
        <v>209</v>
      </c>
      <c r="F26" t="s">
        <v>210</v>
      </c>
    </row>
    <row r="27" spans="1:12" ht="15">
      <c r="A27" s="76">
        <v>22</v>
      </c>
      <c r="D27" s="74">
        <v>43009</v>
      </c>
      <c r="E27" s="68">
        <v>39.49</v>
      </c>
      <c r="F27" s="68">
        <v>35.24</v>
      </c>
      <c r="K27" s="68"/>
      <c r="L27" s="68"/>
    </row>
    <row r="28" spans="1:12" ht="15">
      <c r="A28" s="76">
        <v>23</v>
      </c>
      <c r="D28" s="74">
        <v>43040</v>
      </c>
      <c r="E28" s="68">
        <v>40.02</v>
      </c>
      <c r="F28" s="68">
        <v>37.49</v>
      </c>
      <c r="K28" s="68"/>
      <c r="L28" s="68"/>
    </row>
    <row r="29" spans="1:12" ht="15">
      <c r="A29" s="76">
        <v>24</v>
      </c>
      <c r="D29" s="74">
        <v>43070</v>
      </c>
      <c r="E29" s="68">
        <v>43.03</v>
      </c>
      <c r="F29" s="68">
        <v>39.35</v>
      </c>
      <c r="K29" s="68"/>
      <c r="L29" s="68"/>
    </row>
    <row r="30" spans="1:12" ht="15">
      <c r="A30" s="76">
        <v>25</v>
      </c>
      <c r="D30" s="74">
        <v>43101</v>
      </c>
      <c r="E30" s="68">
        <v>42.05</v>
      </c>
      <c r="F30" s="68">
        <v>36.69</v>
      </c>
      <c r="K30" s="68"/>
      <c r="L30" s="68"/>
    </row>
    <row r="31" spans="1:12" ht="15">
      <c r="A31" s="76">
        <v>26</v>
      </c>
      <c r="D31" s="74">
        <v>43132</v>
      </c>
      <c r="E31" s="68">
        <v>41.29</v>
      </c>
      <c r="F31" s="68">
        <v>36.69</v>
      </c>
      <c r="K31" s="68"/>
      <c r="L31" s="68"/>
    </row>
    <row r="32" spans="1:12" ht="15">
      <c r="A32" s="76">
        <v>27</v>
      </c>
      <c r="D32" s="74">
        <v>43160</v>
      </c>
      <c r="E32" s="68">
        <v>36.5</v>
      </c>
      <c r="F32" s="68">
        <v>33.55</v>
      </c>
      <c r="K32" s="68"/>
      <c r="L32" s="68"/>
    </row>
    <row r="33" spans="1:12" ht="15">
      <c r="A33" s="76">
        <v>28</v>
      </c>
      <c r="D33" s="74">
        <v>43191</v>
      </c>
      <c r="E33" s="68">
        <v>32.42</v>
      </c>
      <c r="F33" s="68">
        <v>30.29</v>
      </c>
      <c r="K33" s="68"/>
      <c r="L33" s="68"/>
    </row>
    <row r="34" spans="1:12" ht="15">
      <c r="A34" s="76">
        <v>29</v>
      </c>
      <c r="D34" s="74">
        <v>43221</v>
      </c>
      <c r="E34" s="68">
        <v>29.38</v>
      </c>
      <c r="F34" s="68">
        <v>24</v>
      </c>
      <c r="K34" s="68"/>
      <c r="L34" s="68"/>
    </row>
    <row r="35" spans="1:12" ht="15">
      <c r="A35" s="76">
        <v>30</v>
      </c>
      <c r="D35" s="75">
        <v>43252</v>
      </c>
      <c r="E35" s="69">
        <f>30.46+G16</f>
        <v>31.17</v>
      </c>
      <c r="F35" s="69">
        <f>22.06+G16</f>
        <v>22.77</v>
      </c>
      <c r="K35" s="68"/>
      <c r="L35" s="68"/>
    </row>
    <row r="36" spans="1:12" ht="15">
      <c r="A36" s="76">
        <v>31</v>
      </c>
      <c r="D36" s="75">
        <v>43282</v>
      </c>
      <c r="E36" s="69">
        <f>37.41+G16</f>
        <v>38.12</v>
      </c>
      <c r="F36" s="69">
        <f>31.8+G16</f>
        <v>32.51</v>
      </c>
      <c r="K36" s="68"/>
      <c r="L36" s="68"/>
    </row>
    <row r="37" spans="1:12" ht="15">
      <c r="A37" s="76">
        <v>32</v>
      </c>
      <c r="D37" s="75">
        <v>43313</v>
      </c>
      <c r="E37" s="69">
        <f>40.86+G16</f>
        <v>41.57</v>
      </c>
      <c r="F37" s="69">
        <f>35.36+G16</f>
        <v>36.07</v>
      </c>
      <c r="K37" s="68"/>
      <c r="L37" s="68"/>
    </row>
    <row r="38" spans="1:12" ht="15">
      <c r="A38" s="76">
        <v>33</v>
      </c>
      <c r="D38" s="75">
        <v>43344</v>
      </c>
      <c r="E38" s="69">
        <f>40.69+G16</f>
        <v>41.4</v>
      </c>
      <c r="F38" s="69">
        <f>34.94+G16</f>
        <v>35.65</v>
      </c>
      <c r="K38" s="68"/>
      <c r="L38" s="68"/>
    </row>
    <row r="39" spans="1:12" ht="15">
      <c r="A39" s="76">
        <v>34</v>
      </c>
      <c r="D39" s="74">
        <v>43374</v>
      </c>
      <c r="E39" s="68">
        <v>39.49</v>
      </c>
      <c r="F39" s="68">
        <v>35.24</v>
      </c>
      <c r="K39" s="68"/>
      <c r="L39" s="68"/>
    </row>
    <row r="40" spans="1:12" ht="15">
      <c r="A40" s="76">
        <v>35</v>
      </c>
      <c r="D40" s="74">
        <v>43405</v>
      </c>
      <c r="E40" s="68">
        <v>40.02</v>
      </c>
      <c r="F40" s="68">
        <v>37.49</v>
      </c>
      <c r="K40" s="68"/>
      <c r="L40" s="68"/>
    </row>
    <row r="41" spans="1:12" ht="15">
      <c r="A41" s="76">
        <v>36</v>
      </c>
      <c r="D41" s="74">
        <v>43435</v>
      </c>
      <c r="E41" s="68">
        <v>43.03</v>
      </c>
      <c r="F41" s="68">
        <v>39.35</v>
      </c>
      <c r="K41" s="68"/>
      <c r="L41" s="68"/>
    </row>
    <row r="42" spans="1:12" ht="15">
      <c r="A42" s="76">
        <v>37</v>
      </c>
      <c r="D42" s="74">
        <v>43466</v>
      </c>
      <c r="E42" s="68">
        <v>42.05</v>
      </c>
      <c r="F42" s="68">
        <v>36.69</v>
      </c>
      <c r="K42" s="68"/>
      <c r="L42" s="68"/>
    </row>
    <row r="43" spans="1:12" ht="15">
      <c r="A43" s="76">
        <v>38</v>
      </c>
      <c r="D43" s="74">
        <v>43497</v>
      </c>
      <c r="E43" s="68">
        <v>41.29</v>
      </c>
      <c r="F43" s="68">
        <v>36.69</v>
      </c>
      <c r="K43" s="68"/>
      <c r="L43" s="68"/>
    </row>
    <row r="44" spans="1:12" ht="15">
      <c r="A44" s="76">
        <v>39</v>
      </c>
      <c r="D44" s="74">
        <v>43525</v>
      </c>
      <c r="E44" s="68">
        <v>36.5</v>
      </c>
      <c r="F44" s="68">
        <v>33.55</v>
      </c>
      <c r="K44" s="68"/>
      <c r="L44" s="68"/>
    </row>
    <row r="45" spans="1:12" ht="15">
      <c r="A45" s="76">
        <v>40</v>
      </c>
      <c r="D45" s="74">
        <v>43556</v>
      </c>
      <c r="E45" s="68">
        <v>32.42</v>
      </c>
      <c r="F45" s="68">
        <v>30.29</v>
      </c>
      <c r="K45" s="68"/>
      <c r="L45" s="68"/>
    </row>
    <row r="46" spans="1:12" ht="15">
      <c r="A46" s="76">
        <v>41</v>
      </c>
      <c r="D46" s="119">
        <v>43586</v>
      </c>
      <c r="E46" s="120">
        <v>29.38</v>
      </c>
      <c r="F46" s="120">
        <v>24</v>
      </c>
      <c r="K46" s="68"/>
      <c r="L46" s="68"/>
    </row>
    <row r="47" spans="1:12" ht="15">
      <c r="A47" s="76">
        <v>42</v>
      </c>
      <c r="D47" s="119">
        <v>43617</v>
      </c>
      <c r="E47" s="120">
        <v>30.46</v>
      </c>
      <c r="F47" s="120">
        <v>22.06</v>
      </c>
      <c r="K47" s="68"/>
      <c r="L47" s="68"/>
    </row>
    <row r="48" spans="1:12" ht="15">
      <c r="A48" s="76">
        <v>43</v>
      </c>
      <c r="D48" s="119">
        <v>43647</v>
      </c>
      <c r="E48" s="120">
        <v>37.41</v>
      </c>
      <c r="F48" s="120">
        <v>31.8</v>
      </c>
      <c r="K48" s="68"/>
      <c r="L48" s="68"/>
    </row>
    <row r="49" spans="1:12" ht="15">
      <c r="A49" s="76">
        <v>44</v>
      </c>
      <c r="D49" s="119">
        <v>43678</v>
      </c>
      <c r="E49" s="120">
        <v>40.86</v>
      </c>
      <c r="F49" s="120">
        <v>35.36</v>
      </c>
      <c r="K49" s="68"/>
      <c r="L49" s="68"/>
    </row>
    <row r="50" spans="1:12" ht="15">
      <c r="A50" s="76">
        <v>45</v>
      </c>
      <c r="D50" s="119">
        <v>43709</v>
      </c>
      <c r="E50" s="120">
        <v>40.69</v>
      </c>
      <c r="F50" s="120">
        <v>34.94</v>
      </c>
      <c r="K50" s="68"/>
      <c r="L50" s="68"/>
    </row>
    <row r="51" spans="1:2" ht="15">
      <c r="A51" s="76">
        <v>46</v>
      </c>
      <c r="B51" s="51" t="s">
        <v>284</v>
      </c>
    </row>
    <row r="52" spans="1:2" ht="15">
      <c r="A52" s="76"/>
      <c r="B52" s="51"/>
    </row>
  </sheetData>
  <hyperlinks>
    <hyperlink ref="A2" r:id="rId1" display="https://www.bpa.gov/Finance/RateInformation/RatesInfoPower/BP-18%20Final%20Power%20Rate%20Schedules%20and%20GRSPs%20(rev.%206-21-18).pdf"/>
  </hyperlinks>
  <printOptions gridLines="1"/>
  <pageMargins left="0.25" right="0.25" top="0.75" bottom="0.75" header="0.3" footer="0.3"/>
  <pageSetup horizontalDpi="600" verticalDpi="600" orientation="portrait" scale="89" r:id="rId2"/>
  <headerFooter>
    <oddHeader>&amp;LFinal FY 2019 Spill Surcharge Amount</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99"/>
  <sheetViews>
    <sheetView zoomScale="85" zoomScaleNormal="85" workbookViewId="0" topLeftCell="AZ70"/>
  </sheetViews>
  <sheetFormatPr defaultColWidth="8.8515625" defaultRowHeight="15"/>
  <cols>
    <col min="1" max="50" width="8.8515625" style="5" customWidth="1"/>
    <col min="51" max="64" width="11.57421875" style="5" customWidth="1"/>
    <col min="65" max="66" width="16.140625" style="5" bestFit="1" customWidth="1"/>
    <col min="67" max="16384" width="8.8515625" style="5" customWidth="1"/>
  </cols>
  <sheetData>
    <row r="1" spans="1:47" ht="15.75" thickBo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row>
    <row r="2" spans="2:65" ht="15" customHeight="1">
      <c r="B2" s="121" t="s">
        <v>14</v>
      </c>
      <c r="C2" s="122"/>
      <c r="D2" s="122"/>
      <c r="E2" s="122"/>
      <c r="F2" s="122"/>
      <c r="G2" s="122"/>
      <c r="H2" s="122"/>
      <c r="I2" s="122"/>
      <c r="J2" s="122"/>
      <c r="K2" s="122"/>
      <c r="L2" s="122"/>
      <c r="M2" s="122"/>
      <c r="N2" s="122"/>
      <c r="O2" s="122"/>
      <c r="P2" s="122"/>
      <c r="Q2" s="123"/>
      <c r="S2" s="121" t="s">
        <v>15</v>
      </c>
      <c r="T2" s="122"/>
      <c r="U2" s="122"/>
      <c r="V2" s="122"/>
      <c r="W2" s="122"/>
      <c r="X2" s="122"/>
      <c r="Y2" s="122"/>
      <c r="Z2" s="122"/>
      <c r="AA2" s="122"/>
      <c r="AB2" s="122"/>
      <c r="AC2" s="122"/>
      <c r="AD2" s="122"/>
      <c r="AE2" s="122"/>
      <c r="AF2" s="122"/>
      <c r="AG2" s="122"/>
      <c r="AH2" s="123"/>
      <c r="AJ2" s="121" t="s">
        <v>33</v>
      </c>
      <c r="AK2" s="122"/>
      <c r="AL2" s="122"/>
      <c r="AM2" s="122"/>
      <c r="AN2" s="122"/>
      <c r="AO2" s="122"/>
      <c r="AP2" s="122"/>
      <c r="AQ2" s="122"/>
      <c r="AR2" s="122"/>
      <c r="AS2" s="122"/>
      <c r="AT2" s="122"/>
      <c r="AU2" s="122"/>
      <c r="AV2" s="123"/>
      <c r="AX2" s="121" t="s">
        <v>34</v>
      </c>
      <c r="AY2" s="122"/>
      <c r="AZ2" s="122"/>
      <c r="BA2" s="122"/>
      <c r="BB2" s="122"/>
      <c r="BC2" s="122"/>
      <c r="BD2" s="122"/>
      <c r="BE2" s="122"/>
      <c r="BF2" s="122"/>
      <c r="BG2" s="122"/>
      <c r="BH2" s="122"/>
      <c r="BI2" s="122"/>
      <c r="BJ2" s="122"/>
      <c r="BK2" s="122"/>
      <c r="BL2" s="122"/>
      <c r="BM2" s="123"/>
    </row>
    <row r="3" spans="2:65" ht="15">
      <c r="B3" s="6"/>
      <c r="C3" s="7"/>
      <c r="D3" s="7"/>
      <c r="E3" s="7"/>
      <c r="F3" s="7"/>
      <c r="G3" s="7"/>
      <c r="H3" s="7"/>
      <c r="I3" s="7"/>
      <c r="J3" s="7"/>
      <c r="K3" s="7"/>
      <c r="L3" s="7"/>
      <c r="M3" s="7"/>
      <c r="N3" s="7"/>
      <c r="O3" s="7"/>
      <c r="P3" s="7"/>
      <c r="Q3" s="8"/>
      <c r="S3" s="6"/>
      <c r="T3" s="7"/>
      <c r="U3" s="7"/>
      <c r="V3" s="7"/>
      <c r="W3" s="7"/>
      <c r="X3" s="7"/>
      <c r="Y3" s="7"/>
      <c r="Z3" s="7"/>
      <c r="AA3" s="7"/>
      <c r="AB3" s="7"/>
      <c r="AC3" s="7"/>
      <c r="AD3" s="7"/>
      <c r="AE3" s="7"/>
      <c r="AF3" s="7"/>
      <c r="AG3" s="7"/>
      <c r="AH3" s="8"/>
      <c r="AJ3" s="6"/>
      <c r="AK3" s="7"/>
      <c r="AL3" s="7"/>
      <c r="AM3" s="7"/>
      <c r="AN3" s="7"/>
      <c r="AO3" s="7"/>
      <c r="AP3" s="7"/>
      <c r="AQ3" s="7"/>
      <c r="AR3" s="7"/>
      <c r="AS3" s="7"/>
      <c r="AT3" s="7"/>
      <c r="AU3" s="7"/>
      <c r="AV3" s="8"/>
      <c r="AX3" s="6"/>
      <c r="AY3" s="7"/>
      <c r="AZ3" s="7"/>
      <c r="BA3" s="7"/>
      <c r="BB3" s="7"/>
      <c r="BC3" s="7"/>
      <c r="BD3" s="7"/>
      <c r="BE3" s="7"/>
      <c r="BF3" s="7"/>
      <c r="BG3" s="7"/>
      <c r="BH3" s="7"/>
      <c r="BI3" s="7"/>
      <c r="BJ3" s="7"/>
      <c r="BK3" s="7"/>
      <c r="BL3" s="7"/>
      <c r="BM3" s="8"/>
    </row>
    <row r="4" spans="2:65" s="12" customFormat="1" ht="30" customHeight="1">
      <c r="B4" s="9" t="s">
        <v>16</v>
      </c>
      <c r="C4" s="10" t="s">
        <v>17</v>
      </c>
      <c r="D4" s="10" t="s">
        <v>18</v>
      </c>
      <c r="E4" s="10" t="s">
        <v>19</v>
      </c>
      <c r="F4" s="10" t="s">
        <v>20</v>
      </c>
      <c r="G4" s="10" t="s">
        <v>21</v>
      </c>
      <c r="H4" s="10" t="s">
        <v>22</v>
      </c>
      <c r="I4" s="10" t="s">
        <v>23</v>
      </c>
      <c r="J4" s="10" t="s">
        <v>24</v>
      </c>
      <c r="K4" s="10" t="s">
        <v>25</v>
      </c>
      <c r="L4" s="10" t="s">
        <v>26</v>
      </c>
      <c r="M4" s="10" t="s">
        <v>27</v>
      </c>
      <c r="N4" s="10" t="s">
        <v>28</v>
      </c>
      <c r="O4" s="10" t="s">
        <v>29</v>
      </c>
      <c r="P4" s="10" t="s">
        <v>30</v>
      </c>
      <c r="Q4" s="11" t="s">
        <v>31</v>
      </c>
      <c r="S4" s="9" t="s">
        <v>16</v>
      </c>
      <c r="T4" s="10" t="s">
        <v>17</v>
      </c>
      <c r="U4" s="10" t="s">
        <v>18</v>
      </c>
      <c r="V4" s="10" t="s">
        <v>19</v>
      </c>
      <c r="W4" s="10" t="s">
        <v>20</v>
      </c>
      <c r="X4" s="10" t="s">
        <v>21</v>
      </c>
      <c r="Y4" s="10" t="s">
        <v>22</v>
      </c>
      <c r="Z4" s="10" t="s">
        <v>23</v>
      </c>
      <c r="AA4" s="10" t="s">
        <v>24</v>
      </c>
      <c r="AB4" s="10" t="s">
        <v>25</v>
      </c>
      <c r="AC4" s="10" t="s">
        <v>26</v>
      </c>
      <c r="AD4" s="10" t="s">
        <v>27</v>
      </c>
      <c r="AE4" s="10" t="s">
        <v>28</v>
      </c>
      <c r="AF4" s="10" t="s">
        <v>29</v>
      </c>
      <c r="AG4" s="10" t="s">
        <v>30</v>
      </c>
      <c r="AH4" s="11" t="s">
        <v>31</v>
      </c>
      <c r="AJ4" s="9" t="s">
        <v>16</v>
      </c>
      <c r="AK4" s="10" t="s">
        <v>17</v>
      </c>
      <c r="AL4" s="10" t="s">
        <v>18</v>
      </c>
      <c r="AM4" s="10" t="s">
        <v>19</v>
      </c>
      <c r="AN4" s="10" t="s">
        <v>20</v>
      </c>
      <c r="AO4" s="10" t="s">
        <v>21</v>
      </c>
      <c r="AP4" s="10" t="s">
        <v>22</v>
      </c>
      <c r="AQ4" s="10" t="s">
        <v>35</v>
      </c>
      <c r="AR4" s="10" t="s">
        <v>25</v>
      </c>
      <c r="AS4" s="10" t="s">
        <v>26</v>
      </c>
      <c r="AT4" s="10" t="s">
        <v>27</v>
      </c>
      <c r="AU4" s="10" t="s">
        <v>36</v>
      </c>
      <c r="AV4" s="11" t="s">
        <v>30</v>
      </c>
      <c r="AX4" s="22"/>
      <c r="AY4" s="10" t="s">
        <v>17</v>
      </c>
      <c r="AZ4" s="10" t="s">
        <v>18</v>
      </c>
      <c r="BA4" s="10" t="s">
        <v>19</v>
      </c>
      <c r="BB4" s="10" t="s">
        <v>20</v>
      </c>
      <c r="BC4" s="10" t="s">
        <v>21</v>
      </c>
      <c r="BD4" s="10" t="s">
        <v>22</v>
      </c>
      <c r="BE4" s="10" t="s">
        <v>23</v>
      </c>
      <c r="BF4" s="10" t="s">
        <v>24</v>
      </c>
      <c r="BG4" s="10" t="s">
        <v>25</v>
      </c>
      <c r="BH4" s="10" t="s">
        <v>26</v>
      </c>
      <c r="BI4" s="10" t="s">
        <v>27</v>
      </c>
      <c r="BJ4" s="10" t="s">
        <v>28</v>
      </c>
      <c r="BK4" s="10" t="s">
        <v>29</v>
      </c>
      <c r="BL4" s="10" t="s">
        <v>30</v>
      </c>
      <c r="BM4" s="11" t="s">
        <v>37</v>
      </c>
    </row>
    <row r="5" spans="2:65" ht="15">
      <c r="B5" s="78"/>
      <c r="C5" s="14"/>
      <c r="D5" s="14"/>
      <c r="E5" s="14"/>
      <c r="F5" s="14"/>
      <c r="G5" s="14"/>
      <c r="H5" s="14"/>
      <c r="I5" s="14"/>
      <c r="J5" s="14"/>
      <c r="K5" s="14"/>
      <c r="L5" s="14"/>
      <c r="M5" s="14"/>
      <c r="N5" s="14"/>
      <c r="O5" s="14"/>
      <c r="P5" s="14"/>
      <c r="Q5" s="15"/>
      <c r="S5" s="13"/>
      <c r="T5" s="14"/>
      <c r="U5" s="14"/>
      <c r="V5" s="14"/>
      <c r="W5" s="14"/>
      <c r="X5" s="14"/>
      <c r="Y5" s="14"/>
      <c r="Z5" s="14"/>
      <c r="AA5" s="14"/>
      <c r="AB5" s="14"/>
      <c r="AC5" s="14"/>
      <c r="AD5" s="14"/>
      <c r="AE5" s="14"/>
      <c r="AF5" s="14"/>
      <c r="AG5" s="14"/>
      <c r="AH5" s="15"/>
      <c r="AJ5" s="6"/>
      <c r="AK5" s="7"/>
      <c r="AL5" s="7"/>
      <c r="AM5" s="7"/>
      <c r="AN5" s="7"/>
      <c r="AO5" s="7"/>
      <c r="AP5" s="7"/>
      <c r="AQ5" s="7"/>
      <c r="AR5" s="7"/>
      <c r="AS5" s="7"/>
      <c r="AT5" s="7"/>
      <c r="AU5" s="7"/>
      <c r="AV5" s="8"/>
      <c r="AX5" s="16" t="s">
        <v>38</v>
      </c>
      <c r="AY5" s="17">
        <v>31</v>
      </c>
      <c r="AZ5" s="17">
        <v>30</v>
      </c>
      <c r="BA5" s="17">
        <v>31</v>
      </c>
      <c r="BB5" s="17">
        <v>31</v>
      </c>
      <c r="BC5" s="17">
        <v>28</v>
      </c>
      <c r="BD5" s="17">
        <v>31</v>
      </c>
      <c r="BE5" s="17">
        <v>15</v>
      </c>
      <c r="BF5" s="17">
        <v>15</v>
      </c>
      <c r="BG5" s="17">
        <v>31</v>
      </c>
      <c r="BH5" s="17">
        <v>30</v>
      </c>
      <c r="BI5" s="17">
        <v>31</v>
      </c>
      <c r="BJ5" s="17">
        <v>15</v>
      </c>
      <c r="BK5" s="17">
        <v>16</v>
      </c>
      <c r="BL5" s="17">
        <v>30</v>
      </c>
      <c r="BM5" s="18">
        <f>SUM(AY5:BL5)</f>
        <v>365</v>
      </c>
    </row>
    <row r="6" spans="2:65" ht="15">
      <c r="B6" s="16">
        <v>1929</v>
      </c>
      <c r="C6" s="41">
        <v>5243</v>
      </c>
      <c r="D6" s="41">
        <v>6812</v>
      </c>
      <c r="E6" s="41">
        <v>6895</v>
      </c>
      <c r="F6" s="41">
        <v>6732</v>
      </c>
      <c r="G6" s="41">
        <v>6185</v>
      </c>
      <c r="H6" s="41">
        <v>6153</v>
      </c>
      <c r="I6" s="41">
        <v>4914</v>
      </c>
      <c r="J6" s="41">
        <v>7104</v>
      </c>
      <c r="K6" s="41">
        <v>7652</v>
      </c>
      <c r="L6" s="41">
        <v>7679</v>
      </c>
      <c r="M6" s="41">
        <v>5163</v>
      </c>
      <c r="N6" s="41">
        <v>6648</v>
      </c>
      <c r="O6" s="41">
        <v>5883</v>
      </c>
      <c r="P6" s="41">
        <v>5896</v>
      </c>
      <c r="Q6" s="42">
        <v>6389</v>
      </c>
      <c r="S6" s="16">
        <v>1929</v>
      </c>
      <c r="T6" s="7">
        <v>5243</v>
      </c>
      <c r="U6" s="7">
        <v>6812</v>
      </c>
      <c r="V6" s="7">
        <v>6895</v>
      </c>
      <c r="W6" s="7">
        <v>6732</v>
      </c>
      <c r="X6" s="7">
        <v>6185</v>
      </c>
      <c r="Y6" s="7">
        <v>6153</v>
      </c>
      <c r="Z6" s="7">
        <v>4242</v>
      </c>
      <c r="AA6" s="7">
        <v>5829</v>
      </c>
      <c r="AB6" s="7">
        <v>6166</v>
      </c>
      <c r="AC6" s="7">
        <v>6807</v>
      </c>
      <c r="AD6" s="7">
        <v>5273</v>
      </c>
      <c r="AE6" s="7">
        <v>6603</v>
      </c>
      <c r="AF6" s="7">
        <v>5711</v>
      </c>
      <c r="AG6" s="7">
        <v>5896</v>
      </c>
      <c r="AH6" s="8">
        <v>6111</v>
      </c>
      <c r="AJ6" s="16">
        <v>1929</v>
      </c>
      <c r="AK6" s="23">
        <v>24.501791612563633</v>
      </c>
      <c r="AL6" s="23">
        <v>26.805571521039468</v>
      </c>
      <c r="AM6" s="23">
        <v>32.338740556470796</v>
      </c>
      <c r="AN6" s="23">
        <v>33.17728336805939</v>
      </c>
      <c r="AO6" s="23">
        <v>32.30517779758998</v>
      </c>
      <c r="AP6" s="23">
        <v>26.104183417213736</v>
      </c>
      <c r="AQ6" s="23">
        <v>21.340208322736988</v>
      </c>
      <c r="AR6" s="23">
        <v>19.439224402109776</v>
      </c>
      <c r="AS6" s="23">
        <v>21.1197859393226</v>
      </c>
      <c r="AT6" s="23">
        <v>27.585897977377794</v>
      </c>
      <c r="AU6" s="23">
        <v>26.848952477209004</v>
      </c>
      <c r="AV6" s="24">
        <v>24.917195420265195</v>
      </c>
      <c r="AX6" s="16">
        <v>1929</v>
      </c>
      <c r="AY6" s="25">
        <f>(C6*AY$5*24-T6*AY$5*24)*AK6</f>
        <v>0</v>
      </c>
      <c r="AZ6" s="25">
        <f aca="true" t="shared" si="0" ref="AZ6:BE21">(D6*AZ$5*24-U6*AZ$5*24)*AL6</f>
        <v>0</v>
      </c>
      <c r="BA6" s="25">
        <f t="shared" si="0"/>
        <v>0</v>
      </c>
      <c r="BB6" s="25">
        <f t="shared" si="0"/>
        <v>0</v>
      </c>
      <c r="BC6" s="25">
        <f t="shared" si="0"/>
        <v>0</v>
      </c>
      <c r="BD6" s="25">
        <f t="shared" si="0"/>
        <v>0</v>
      </c>
      <c r="BE6" s="25">
        <f t="shared" si="0"/>
        <v>5162623.197436532</v>
      </c>
      <c r="BF6" s="25">
        <f>(J6*BF$5*24-AA6*BF$5*24)*AQ6</f>
        <v>9795155.620136278</v>
      </c>
      <c r="BG6" s="25">
        <f aca="true" t="shared" si="1" ref="BG6:BJ21">(K6*BG$5*24-AB6*BG$5*24)*AR6</f>
        <v>21491695.471382134</v>
      </c>
      <c r="BH6" s="25">
        <f t="shared" si="1"/>
        <v>13259846.404144302</v>
      </c>
      <c r="BI6" s="25">
        <f t="shared" si="1"/>
        <v>-2257629.890468599</v>
      </c>
      <c r="BJ6" s="25">
        <f t="shared" si="1"/>
        <v>434953.03013078583</v>
      </c>
      <c r="BK6" s="25">
        <f>(O6*BK$5*24-AF6*BK$5*24)*AU6</f>
        <v>1773319.6132147002</v>
      </c>
      <c r="BL6" s="25">
        <f>(P6*BL$5*24-AG6*BL$5*24)*AV6</f>
        <v>0</v>
      </c>
      <c r="BM6" s="26">
        <f>SUM(AY6:BL6)</f>
        <v>49659963.44597614</v>
      </c>
    </row>
    <row r="7" spans="2:65" ht="15">
      <c r="B7" s="16">
        <v>1930</v>
      </c>
      <c r="C7" s="41">
        <v>5439</v>
      </c>
      <c r="D7" s="41">
        <v>7089</v>
      </c>
      <c r="E7" s="41">
        <v>6847</v>
      </c>
      <c r="F7" s="41">
        <v>5648</v>
      </c>
      <c r="G7" s="41">
        <v>6443</v>
      </c>
      <c r="H7" s="41">
        <v>5965</v>
      </c>
      <c r="I7" s="41">
        <v>6128</v>
      </c>
      <c r="J7" s="41">
        <v>8121</v>
      </c>
      <c r="K7" s="41">
        <v>7064</v>
      </c>
      <c r="L7" s="41">
        <v>5030</v>
      </c>
      <c r="M7" s="41">
        <v>7186</v>
      </c>
      <c r="N7" s="41">
        <v>7098</v>
      </c>
      <c r="O7" s="41">
        <v>5989</v>
      </c>
      <c r="P7" s="41">
        <v>5832</v>
      </c>
      <c r="Q7" s="42">
        <v>6350</v>
      </c>
      <c r="S7" s="16">
        <v>1930</v>
      </c>
      <c r="T7" s="7">
        <v>5439</v>
      </c>
      <c r="U7" s="7">
        <v>7089</v>
      </c>
      <c r="V7" s="7">
        <v>6847</v>
      </c>
      <c r="W7" s="7">
        <v>5648</v>
      </c>
      <c r="X7" s="7">
        <v>6443</v>
      </c>
      <c r="Y7" s="7">
        <v>5965</v>
      </c>
      <c r="Z7" s="7">
        <v>5200</v>
      </c>
      <c r="AA7" s="7">
        <v>6696</v>
      </c>
      <c r="AB7" s="7">
        <v>5615</v>
      </c>
      <c r="AC7" s="7">
        <v>4302</v>
      </c>
      <c r="AD7" s="7">
        <v>7198</v>
      </c>
      <c r="AE7" s="7">
        <v>7031</v>
      </c>
      <c r="AF7" s="7">
        <v>5815</v>
      </c>
      <c r="AG7" s="7">
        <v>5832</v>
      </c>
      <c r="AH7" s="8">
        <v>6061</v>
      </c>
      <c r="AJ7" s="16">
        <v>1930</v>
      </c>
      <c r="AK7" s="23">
        <v>24.90259212524659</v>
      </c>
      <c r="AL7" s="23">
        <v>25.853350864468595</v>
      </c>
      <c r="AM7" s="23">
        <v>30.868839517716435</v>
      </c>
      <c r="AN7" s="23">
        <v>34.25640618878028</v>
      </c>
      <c r="AO7" s="23">
        <v>30.562267334120644</v>
      </c>
      <c r="AP7" s="23">
        <v>27.520588768731866</v>
      </c>
      <c r="AQ7" s="23">
        <v>20.944725977579754</v>
      </c>
      <c r="AR7" s="23">
        <v>19.985250652220966</v>
      </c>
      <c r="AS7" s="23">
        <v>24.789377239015387</v>
      </c>
      <c r="AT7" s="23">
        <v>24.22732526743282</v>
      </c>
      <c r="AU7" s="23">
        <v>26.656232277039535</v>
      </c>
      <c r="AV7" s="24">
        <v>25.37682787418369</v>
      </c>
      <c r="AX7" s="16">
        <v>1930</v>
      </c>
      <c r="AY7" s="25">
        <f aca="true" t="shared" si="2" ref="AY7:BE56">(C7*AY$5*24-T7*AY$5*24)*AK7</f>
        <v>0</v>
      </c>
      <c r="AZ7" s="25">
        <f t="shared" si="0"/>
        <v>0</v>
      </c>
      <c r="BA7" s="25">
        <f t="shared" si="0"/>
        <v>0</v>
      </c>
      <c r="BB7" s="25">
        <f t="shared" si="0"/>
        <v>0</v>
      </c>
      <c r="BC7" s="25">
        <f t="shared" si="0"/>
        <v>0</v>
      </c>
      <c r="BD7" s="25">
        <f t="shared" si="0"/>
        <v>0</v>
      </c>
      <c r="BE7" s="25">
        <f t="shared" si="0"/>
        <v>6997214.054589844</v>
      </c>
      <c r="BF7" s="25">
        <f aca="true" t="shared" si="3" ref="BF7:BJ69">(J7*BF$5*24-AA7*BF$5*24)*AQ7</f>
        <v>10744644.426498413</v>
      </c>
      <c r="BG7" s="25">
        <f t="shared" si="1"/>
        <v>21545219.377130724</v>
      </c>
      <c r="BH7" s="25">
        <f t="shared" si="1"/>
        <v>12993599.973602306</v>
      </c>
      <c r="BI7" s="25">
        <f t="shared" si="1"/>
        <v>-216301.55998764024</v>
      </c>
      <c r="BJ7" s="25">
        <f t="shared" si="1"/>
        <v>642948.3225221935</v>
      </c>
      <c r="BK7" s="25">
        <f aca="true" t="shared" si="4" ref="BK7:BL70">(O7*BK$5*24-AF7*BK$5*24)*AU7</f>
        <v>1781062.8158226735</v>
      </c>
      <c r="BL7" s="25">
        <f t="shared" si="4"/>
        <v>0</v>
      </c>
      <c r="BM7" s="26">
        <f aca="true" t="shared" si="5" ref="BM7:BM70">SUM(AY7:BL7)</f>
        <v>54488387.41017852</v>
      </c>
    </row>
    <row r="8" spans="2:65" ht="15">
      <c r="B8" s="16">
        <v>1931</v>
      </c>
      <c r="C8" s="41">
        <v>5452</v>
      </c>
      <c r="D8" s="41">
        <v>7215</v>
      </c>
      <c r="E8" s="41">
        <v>7180</v>
      </c>
      <c r="F8" s="41">
        <v>6244</v>
      </c>
      <c r="G8" s="41">
        <v>5163</v>
      </c>
      <c r="H8" s="41">
        <v>5557</v>
      </c>
      <c r="I8" s="41">
        <v>5766</v>
      </c>
      <c r="J8" s="41">
        <v>4886</v>
      </c>
      <c r="K8" s="41">
        <v>8158</v>
      </c>
      <c r="L8" s="41">
        <v>5460</v>
      </c>
      <c r="M8" s="41">
        <v>7011</v>
      </c>
      <c r="N8" s="41">
        <v>7027</v>
      </c>
      <c r="O8" s="41">
        <v>6095</v>
      </c>
      <c r="P8" s="41">
        <v>5550</v>
      </c>
      <c r="Q8" s="42">
        <v>6251</v>
      </c>
      <c r="S8" s="16">
        <v>1931</v>
      </c>
      <c r="T8" s="7">
        <v>5452</v>
      </c>
      <c r="U8" s="7">
        <v>7215</v>
      </c>
      <c r="V8" s="7">
        <v>7180</v>
      </c>
      <c r="W8" s="7">
        <v>6244</v>
      </c>
      <c r="X8" s="7">
        <v>5163</v>
      </c>
      <c r="Y8" s="7">
        <v>5557</v>
      </c>
      <c r="Z8" s="7">
        <v>4847</v>
      </c>
      <c r="AA8" s="7">
        <v>4191</v>
      </c>
      <c r="AB8" s="7">
        <v>6716</v>
      </c>
      <c r="AC8" s="7">
        <v>4928</v>
      </c>
      <c r="AD8" s="7">
        <v>6967</v>
      </c>
      <c r="AE8" s="7">
        <v>6924</v>
      </c>
      <c r="AF8" s="7">
        <v>5970</v>
      </c>
      <c r="AG8" s="7">
        <v>5550</v>
      </c>
      <c r="AH8" s="8">
        <v>6005</v>
      </c>
      <c r="AJ8" s="16">
        <v>1931</v>
      </c>
      <c r="AK8" s="23">
        <v>25.194101979655635</v>
      </c>
      <c r="AL8" s="23">
        <v>26.92291646797347</v>
      </c>
      <c r="AM8" s="23">
        <v>32.41448608213859</v>
      </c>
      <c r="AN8" s="23">
        <v>32.1535207051103</v>
      </c>
      <c r="AO8" s="23">
        <v>35.734649521963945</v>
      </c>
      <c r="AP8" s="23">
        <v>27.555646019508195</v>
      </c>
      <c r="AQ8" s="23">
        <v>23.855314764446682</v>
      </c>
      <c r="AR8" s="23">
        <v>19.3732790336814</v>
      </c>
      <c r="AS8" s="23">
        <v>26.04638127221001</v>
      </c>
      <c r="AT8" s="23">
        <v>26.028985639285047</v>
      </c>
      <c r="AU8" s="23">
        <v>27.401296206443554</v>
      </c>
      <c r="AV8" s="24">
        <v>25.659104763666747</v>
      </c>
      <c r="AX8" s="16">
        <v>1931</v>
      </c>
      <c r="AY8" s="25">
        <f t="shared" si="2"/>
        <v>0</v>
      </c>
      <c r="AZ8" s="25">
        <f t="shared" si="0"/>
        <v>0</v>
      </c>
      <c r="BA8" s="25">
        <f t="shared" si="0"/>
        <v>0</v>
      </c>
      <c r="BB8" s="25">
        <f t="shared" si="0"/>
        <v>0</v>
      </c>
      <c r="BC8" s="25">
        <f t="shared" si="0"/>
        <v>0</v>
      </c>
      <c r="BD8" s="25">
        <f t="shared" si="0"/>
        <v>0</v>
      </c>
      <c r="BE8" s="25">
        <f t="shared" si="0"/>
        <v>7892292.33666954</v>
      </c>
      <c r="BF8" s="25">
        <f t="shared" si="3"/>
        <v>5968599.75406456</v>
      </c>
      <c r="BG8" s="25">
        <f t="shared" si="1"/>
        <v>20784583.66472702</v>
      </c>
      <c r="BH8" s="25">
        <f t="shared" si="1"/>
        <v>9976805.882507322</v>
      </c>
      <c r="BI8" s="25">
        <f t="shared" si="1"/>
        <v>852084.8738876353</v>
      </c>
      <c r="BJ8" s="25">
        <f t="shared" si="1"/>
        <v>1016040.063334927</v>
      </c>
      <c r="BK8" s="25">
        <f t="shared" si="4"/>
        <v>1315262.2179092907</v>
      </c>
      <c r="BL8" s="25">
        <f t="shared" si="4"/>
        <v>0</v>
      </c>
      <c r="BM8" s="26">
        <f t="shared" si="5"/>
        <v>47805668.7931003</v>
      </c>
    </row>
    <row r="9" spans="2:65" ht="15">
      <c r="B9" s="16">
        <v>1932</v>
      </c>
      <c r="C9" s="41">
        <v>5327</v>
      </c>
      <c r="D9" s="41">
        <v>6664</v>
      </c>
      <c r="E9" s="41">
        <v>6997</v>
      </c>
      <c r="F9" s="41">
        <v>5039</v>
      </c>
      <c r="G9" s="41">
        <v>5098</v>
      </c>
      <c r="H9" s="41">
        <v>7628</v>
      </c>
      <c r="I9" s="41">
        <v>10706</v>
      </c>
      <c r="J9" s="41">
        <v>11887</v>
      </c>
      <c r="K9" s="41">
        <v>12660</v>
      </c>
      <c r="L9" s="41">
        <v>11908</v>
      </c>
      <c r="M9" s="41">
        <v>8530</v>
      </c>
      <c r="N9" s="41">
        <v>7385</v>
      </c>
      <c r="O9" s="41">
        <v>7174</v>
      </c>
      <c r="P9" s="41">
        <v>6337</v>
      </c>
      <c r="Q9" s="42">
        <v>7899</v>
      </c>
      <c r="S9" s="16">
        <v>1932</v>
      </c>
      <c r="T9" s="7">
        <v>5327</v>
      </c>
      <c r="U9" s="7">
        <v>6664</v>
      </c>
      <c r="V9" s="7">
        <v>6997</v>
      </c>
      <c r="W9" s="7">
        <v>5039</v>
      </c>
      <c r="X9" s="7">
        <v>5098</v>
      </c>
      <c r="Y9" s="7">
        <v>7628</v>
      </c>
      <c r="Z9" s="7">
        <v>10171</v>
      </c>
      <c r="AA9" s="7">
        <v>10928</v>
      </c>
      <c r="AB9" s="7">
        <v>11747</v>
      </c>
      <c r="AC9" s="7">
        <v>11238</v>
      </c>
      <c r="AD9" s="7">
        <v>8594</v>
      </c>
      <c r="AE9" s="7">
        <v>7325</v>
      </c>
      <c r="AF9" s="7">
        <v>6933</v>
      </c>
      <c r="AG9" s="7">
        <v>6337</v>
      </c>
      <c r="AH9" s="8">
        <v>7698</v>
      </c>
      <c r="AJ9" s="16">
        <v>1932</v>
      </c>
      <c r="AK9" s="23">
        <v>24.343019559306487</v>
      </c>
      <c r="AL9" s="23">
        <v>26.50468248765447</v>
      </c>
      <c r="AM9" s="23">
        <v>31.173706873001592</v>
      </c>
      <c r="AN9" s="23">
        <v>35.703699128858474</v>
      </c>
      <c r="AO9" s="23">
        <v>36.20685118266517</v>
      </c>
      <c r="AP9" s="23">
        <v>24.554128044322216</v>
      </c>
      <c r="AQ9" s="23">
        <v>15.719225540955897</v>
      </c>
      <c r="AR9" s="23">
        <v>11.52100562935557</v>
      </c>
      <c r="AS9" s="23">
        <v>14.456000147925446</v>
      </c>
      <c r="AT9" s="23">
        <v>23.13322450037921</v>
      </c>
      <c r="AU9" s="23">
        <v>25.42278531443686</v>
      </c>
      <c r="AV9" s="24">
        <v>24.241851172447202</v>
      </c>
      <c r="AX9" s="16">
        <v>1932</v>
      </c>
      <c r="AY9" s="25">
        <f t="shared" si="2"/>
        <v>0</v>
      </c>
      <c r="AZ9" s="25">
        <f t="shared" si="0"/>
        <v>0</v>
      </c>
      <c r="BA9" s="25">
        <f t="shared" si="0"/>
        <v>0</v>
      </c>
      <c r="BB9" s="25">
        <f t="shared" si="0"/>
        <v>0</v>
      </c>
      <c r="BC9" s="25">
        <f t="shared" si="0"/>
        <v>0</v>
      </c>
      <c r="BD9" s="25">
        <f t="shared" si="0"/>
        <v>0</v>
      </c>
      <c r="BE9" s="25">
        <f t="shared" si="0"/>
        <v>3027522.839188106</v>
      </c>
      <c r="BF9" s="25">
        <f t="shared" si="3"/>
        <v>5426905.4257596135</v>
      </c>
      <c r="BG9" s="25">
        <f t="shared" si="1"/>
        <v>7825896.5358636165</v>
      </c>
      <c r="BH9" s="25">
        <f t="shared" si="1"/>
        <v>6973574.471359235</v>
      </c>
      <c r="BI9" s="25">
        <f t="shared" si="1"/>
        <v>-1101511.6178100565</v>
      </c>
      <c r="BJ9" s="25">
        <f t="shared" si="1"/>
        <v>549132.1627918362</v>
      </c>
      <c r="BK9" s="25">
        <f t="shared" si="4"/>
        <v>2352726.244139245</v>
      </c>
      <c r="BL9" s="25">
        <f t="shared" si="4"/>
        <v>0</v>
      </c>
      <c r="BM9" s="26">
        <f t="shared" si="5"/>
        <v>25054246.061291598</v>
      </c>
    </row>
    <row r="10" spans="2:65" ht="15">
      <c r="B10" s="16">
        <v>1933</v>
      </c>
      <c r="C10" s="41">
        <v>5247</v>
      </c>
      <c r="D10" s="41">
        <v>6148</v>
      </c>
      <c r="E10" s="41">
        <v>8661</v>
      </c>
      <c r="F10" s="41">
        <v>10227</v>
      </c>
      <c r="G10" s="41">
        <v>10202</v>
      </c>
      <c r="H10" s="41">
        <v>9272</v>
      </c>
      <c r="I10" s="41">
        <v>7866</v>
      </c>
      <c r="J10" s="41">
        <v>8243</v>
      </c>
      <c r="K10" s="41">
        <v>10071</v>
      </c>
      <c r="L10" s="41">
        <v>13783</v>
      </c>
      <c r="M10" s="41">
        <v>11452</v>
      </c>
      <c r="N10" s="41">
        <v>9428</v>
      </c>
      <c r="O10" s="41">
        <v>8360</v>
      </c>
      <c r="P10" s="41">
        <v>5998</v>
      </c>
      <c r="Q10" s="42">
        <v>8995</v>
      </c>
      <c r="S10" s="16">
        <v>1933</v>
      </c>
      <c r="T10" s="7">
        <v>5247</v>
      </c>
      <c r="U10" s="7">
        <v>6148</v>
      </c>
      <c r="V10" s="7">
        <v>8661</v>
      </c>
      <c r="W10" s="7">
        <v>10227</v>
      </c>
      <c r="X10" s="7">
        <v>10202</v>
      </c>
      <c r="Y10" s="7">
        <v>9272</v>
      </c>
      <c r="Z10" s="7">
        <v>7015</v>
      </c>
      <c r="AA10" s="7">
        <v>6829</v>
      </c>
      <c r="AB10" s="7">
        <v>8790</v>
      </c>
      <c r="AC10" s="7">
        <v>13478</v>
      </c>
      <c r="AD10" s="7">
        <v>11461</v>
      </c>
      <c r="AE10" s="7">
        <v>9336</v>
      </c>
      <c r="AF10" s="7">
        <v>8083</v>
      </c>
      <c r="AG10" s="7">
        <v>5998</v>
      </c>
      <c r="AH10" s="8">
        <v>8753</v>
      </c>
      <c r="AJ10" s="16">
        <v>1933</v>
      </c>
      <c r="AK10" s="23">
        <v>24.030390735595436</v>
      </c>
      <c r="AL10" s="23">
        <v>24.719867004137885</v>
      </c>
      <c r="AM10" s="23">
        <v>27.023113755256936</v>
      </c>
      <c r="AN10" s="23">
        <v>25.267357958516794</v>
      </c>
      <c r="AO10" s="23">
        <v>24.92961913517544</v>
      </c>
      <c r="AP10" s="23">
        <v>23.346602810889216</v>
      </c>
      <c r="AQ10" s="23">
        <v>21.63371188905506</v>
      </c>
      <c r="AR10" s="23">
        <v>17.96467003296779</v>
      </c>
      <c r="AS10" s="23">
        <v>5.10139543943933</v>
      </c>
      <c r="AT10" s="23">
        <v>18.85874843443594</v>
      </c>
      <c r="AU10" s="23">
        <v>24.53876462521093</v>
      </c>
      <c r="AV10" s="24">
        <v>26.293866570790637</v>
      </c>
      <c r="AX10" s="16">
        <v>1933</v>
      </c>
      <c r="AY10" s="25">
        <f t="shared" si="2"/>
        <v>0</v>
      </c>
      <c r="AZ10" s="25">
        <f t="shared" si="0"/>
        <v>0</v>
      </c>
      <c r="BA10" s="25">
        <f t="shared" si="0"/>
        <v>0</v>
      </c>
      <c r="BB10" s="25">
        <f t="shared" si="0"/>
        <v>0</v>
      </c>
      <c r="BC10" s="25">
        <f t="shared" si="0"/>
        <v>0</v>
      </c>
      <c r="BD10" s="25">
        <f t="shared" si="0"/>
        <v>0</v>
      </c>
      <c r="BE10" s="25">
        <f t="shared" si="0"/>
        <v>6627703.974330909</v>
      </c>
      <c r="BF10" s="25">
        <f t="shared" si="3"/>
        <v>11012424.700004589</v>
      </c>
      <c r="BG10" s="25">
        <f t="shared" si="1"/>
        <v>17121480.280300412</v>
      </c>
      <c r="BH10" s="25">
        <f t="shared" si="1"/>
        <v>1120266.438500877</v>
      </c>
      <c r="BI10" s="25">
        <f t="shared" si="1"/>
        <v>-126278.17951698307</v>
      </c>
      <c r="BJ10" s="25">
        <f t="shared" si="1"/>
        <v>812723.884386986</v>
      </c>
      <c r="BK10" s="25">
        <f t="shared" si="4"/>
        <v>2610139.315654436</v>
      </c>
      <c r="BL10" s="25">
        <f t="shared" si="4"/>
        <v>0</v>
      </c>
      <c r="BM10" s="26">
        <f t="shared" si="5"/>
        <v>39178460.41366122</v>
      </c>
    </row>
    <row r="11" spans="2:65" ht="15">
      <c r="B11" s="16">
        <v>1934</v>
      </c>
      <c r="C11" s="41">
        <v>6156</v>
      </c>
      <c r="D11" s="41">
        <v>9887</v>
      </c>
      <c r="E11" s="41">
        <v>13356</v>
      </c>
      <c r="F11" s="41">
        <v>13920</v>
      </c>
      <c r="G11" s="41">
        <v>13075</v>
      </c>
      <c r="H11" s="41">
        <v>12783</v>
      </c>
      <c r="I11" s="41">
        <v>12097</v>
      </c>
      <c r="J11" s="41">
        <v>11732</v>
      </c>
      <c r="K11" s="41">
        <v>10979</v>
      </c>
      <c r="L11" s="41">
        <v>10056</v>
      </c>
      <c r="M11" s="41">
        <v>7696</v>
      </c>
      <c r="N11" s="41">
        <v>6251</v>
      </c>
      <c r="O11" s="41">
        <v>5734</v>
      </c>
      <c r="P11" s="41">
        <v>5679</v>
      </c>
      <c r="Q11" s="42">
        <v>10108</v>
      </c>
      <c r="S11" s="16">
        <v>1934</v>
      </c>
      <c r="T11" s="7">
        <v>6156</v>
      </c>
      <c r="U11" s="7">
        <v>9887</v>
      </c>
      <c r="V11" s="7">
        <v>13356</v>
      </c>
      <c r="W11" s="7">
        <v>13920</v>
      </c>
      <c r="X11" s="7">
        <v>13075</v>
      </c>
      <c r="Y11" s="7">
        <v>12783</v>
      </c>
      <c r="Z11" s="7">
        <v>11684</v>
      </c>
      <c r="AA11" s="7">
        <v>10883</v>
      </c>
      <c r="AB11" s="7">
        <v>9817</v>
      </c>
      <c r="AC11" s="7">
        <v>9511</v>
      </c>
      <c r="AD11" s="7">
        <v>7654</v>
      </c>
      <c r="AE11" s="7">
        <v>6165</v>
      </c>
      <c r="AF11" s="7">
        <v>5597</v>
      </c>
      <c r="AG11" s="7">
        <v>5679</v>
      </c>
      <c r="AH11" s="8">
        <v>9899</v>
      </c>
      <c r="AJ11" s="16">
        <v>1934</v>
      </c>
      <c r="AK11" s="23">
        <v>24.821098923683163</v>
      </c>
      <c r="AL11" s="23">
        <v>23.60969834043315</v>
      </c>
      <c r="AM11" s="23">
        <v>22.20304244436243</v>
      </c>
      <c r="AN11" s="23">
        <v>18.858929802861887</v>
      </c>
      <c r="AO11" s="23">
        <v>21.531297959600174</v>
      </c>
      <c r="AP11" s="23">
        <v>16.990430071753398</v>
      </c>
      <c r="AQ11" s="23">
        <v>14.102960896632739</v>
      </c>
      <c r="AR11" s="23">
        <v>15.315138152578163</v>
      </c>
      <c r="AS11" s="23">
        <v>18.841572777430244</v>
      </c>
      <c r="AT11" s="23">
        <v>24.416551243874363</v>
      </c>
      <c r="AU11" s="23">
        <v>27.183206463629165</v>
      </c>
      <c r="AV11" s="24">
        <v>24.963707420031252</v>
      </c>
      <c r="AX11" s="16">
        <v>1934</v>
      </c>
      <c r="AY11" s="25">
        <f t="shared" si="2"/>
        <v>0</v>
      </c>
      <c r="AZ11" s="25">
        <f t="shared" si="0"/>
        <v>0</v>
      </c>
      <c r="BA11" s="25">
        <f t="shared" si="0"/>
        <v>0</v>
      </c>
      <c r="BB11" s="25">
        <f t="shared" si="0"/>
        <v>0</v>
      </c>
      <c r="BC11" s="25">
        <f t="shared" si="0"/>
        <v>0</v>
      </c>
      <c r="BD11" s="25">
        <f t="shared" si="0"/>
        <v>0</v>
      </c>
      <c r="BE11" s="25">
        <f t="shared" si="0"/>
        <v>2096828.2261113557</v>
      </c>
      <c r="BF11" s="25">
        <f t="shared" si="3"/>
        <v>4310428.96844683</v>
      </c>
      <c r="BG11" s="25">
        <f t="shared" si="1"/>
        <v>13240365.756772093</v>
      </c>
      <c r="BH11" s="25">
        <f t="shared" si="1"/>
        <v>7393433.157863628</v>
      </c>
      <c r="BI11" s="25">
        <f t="shared" si="1"/>
        <v>762968.3932685861</v>
      </c>
      <c r="BJ11" s="25">
        <f t="shared" si="1"/>
        <v>841592.072113959</v>
      </c>
      <c r="BK11" s="25">
        <f t="shared" si="4"/>
        <v>1430054.1256386032</v>
      </c>
      <c r="BL11" s="25">
        <f t="shared" si="4"/>
        <v>0</v>
      </c>
      <c r="BM11" s="26">
        <f t="shared" si="5"/>
        <v>30075670.700215057</v>
      </c>
    </row>
    <row r="12" spans="2:65" ht="15">
      <c r="B12" s="16">
        <v>1935</v>
      </c>
      <c r="C12" s="41">
        <v>5350</v>
      </c>
      <c r="D12" s="41">
        <v>5743</v>
      </c>
      <c r="E12" s="41">
        <v>6696</v>
      </c>
      <c r="F12" s="41">
        <v>9828</v>
      </c>
      <c r="G12" s="41">
        <v>9535</v>
      </c>
      <c r="H12" s="41">
        <v>9183</v>
      </c>
      <c r="I12" s="41">
        <v>6042</v>
      </c>
      <c r="J12" s="41">
        <v>8610</v>
      </c>
      <c r="K12" s="41">
        <v>9442</v>
      </c>
      <c r="L12" s="41">
        <v>8960</v>
      </c>
      <c r="M12" s="41">
        <v>9547</v>
      </c>
      <c r="N12" s="41">
        <v>8844</v>
      </c>
      <c r="O12" s="41">
        <v>6229</v>
      </c>
      <c r="P12" s="41">
        <v>5190</v>
      </c>
      <c r="Q12" s="42">
        <v>7856</v>
      </c>
      <c r="S12" s="16">
        <v>1935</v>
      </c>
      <c r="T12" s="7">
        <v>5350</v>
      </c>
      <c r="U12" s="7">
        <v>5743</v>
      </c>
      <c r="V12" s="7">
        <v>6696</v>
      </c>
      <c r="W12" s="7">
        <v>9828</v>
      </c>
      <c r="X12" s="7">
        <v>9535</v>
      </c>
      <c r="Y12" s="7">
        <v>9183</v>
      </c>
      <c r="Z12" s="7">
        <v>5151</v>
      </c>
      <c r="AA12" s="7">
        <v>7199</v>
      </c>
      <c r="AB12" s="7">
        <v>8106</v>
      </c>
      <c r="AC12" s="7">
        <v>8136</v>
      </c>
      <c r="AD12" s="7">
        <v>9565</v>
      </c>
      <c r="AE12" s="7">
        <v>8751</v>
      </c>
      <c r="AF12" s="7">
        <v>6020</v>
      </c>
      <c r="AG12" s="7">
        <v>5190</v>
      </c>
      <c r="AH12" s="8">
        <v>7568</v>
      </c>
      <c r="AJ12" s="16">
        <v>1935</v>
      </c>
      <c r="AK12" s="23">
        <v>24.068187183718507</v>
      </c>
      <c r="AL12" s="23">
        <v>25.654786789929815</v>
      </c>
      <c r="AM12" s="23">
        <v>30.323728444499388</v>
      </c>
      <c r="AN12" s="23">
        <v>27.50398781837952</v>
      </c>
      <c r="AO12" s="23">
        <v>27.928123191424756</v>
      </c>
      <c r="AP12" s="23">
        <v>23.918591343024843</v>
      </c>
      <c r="AQ12" s="23">
        <v>22.890452366405075</v>
      </c>
      <c r="AR12" s="23">
        <v>18.160389726905397</v>
      </c>
      <c r="AS12" s="23">
        <v>20.600391515096018</v>
      </c>
      <c r="AT12" s="23">
        <v>21.64656432085138</v>
      </c>
      <c r="AU12" s="23">
        <v>25.820318063612934</v>
      </c>
      <c r="AV12" s="24">
        <v>26.48783539772036</v>
      </c>
      <c r="AX12" s="16">
        <v>1935</v>
      </c>
      <c r="AY12" s="25">
        <f t="shared" si="2"/>
        <v>0</v>
      </c>
      <c r="AZ12" s="25">
        <f t="shared" si="0"/>
        <v>0</v>
      </c>
      <c r="BA12" s="25">
        <f t="shared" si="0"/>
        <v>0</v>
      </c>
      <c r="BB12" s="25">
        <f t="shared" si="0"/>
        <v>0</v>
      </c>
      <c r="BC12" s="25">
        <f t="shared" si="0"/>
        <v>0</v>
      </c>
      <c r="BD12" s="25">
        <f t="shared" si="0"/>
        <v>0</v>
      </c>
      <c r="BE12" s="25">
        <f t="shared" si="0"/>
        <v>7342341.501048092</v>
      </c>
      <c r="BF12" s="25">
        <f t="shared" si="3"/>
        <v>11627434.184039121</v>
      </c>
      <c r="BG12" s="25">
        <f t="shared" si="1"/>
        <v>18051136.822308335</v>
      </c>
      <c r="BH12" s="25">
        <f t="shared" si="1"/>
        <v>12221800.278076164</v>
      </c>
      <c r="BI12" s="25">
        <f t="shared" si="1"/>
        <v>-289890.7893848417</v>
      </c>
      <c r="BJ12" s="25">
        <f t="shared" si="1"/>
        <v>864464.2487697611</v>
      </c>
      <c r="BK12" s="25">
        <f t="shared" si="4"/>
        <v>2072235.4465133196</v>
      </c>
      <c r="BL12" s="25">
        <f t="shared" si="4"/>
        <v>0</v>
      </c>
      <c r="BM12" s="26">
        <f t="shared" si="5"/>
        <v>51889521.69136995</v>
      </c>
    </row>
    <row r="13" spans="2:65" ht="15">
      <c r="B13" s="16">
        <v>1936</v>
      </c>
      <c r="C13" s="41">
        <v>5338</v>
      </c>
      <c r="D13" s="41">
        <v>6812</v>
      </c>
      <c r="E13" s="41">
        <v>6520</v>
      </c>
      <c r="F13" s="41">
        <v>5414</v>
      </c>
      <c r="G13" s="41">
        <v>6189</v>
      </c>
      <c r="H13" s="41">
        <v>6301</v>
      </c>
      <c r="I13" s="41">
        <v>6279</v>
      </c>
      <c r="J13" s="41">
        <v>10783</v>
      </c>
      <c r="K13" s="41">
        <v>12599</v>
      </c>
      <c r="L13" s="41">
        <v>11326</v>
      </c>
      <c r="M13" s="41">
        <v>7625</v>
      </c>
      <c r="N13" s="41">
        <v>6821</v>
      </c>
      <c r="O13" s="41">
        <v>5885</v>
      </c>
      <c r="P13" s="41">
        <v>5632</v>
      </c>
      <c r="Q13" s="42">
        <v>7384</v>
      </c>
      <c r="S13" s="16">
        <v>1936</v>
      </c>
      <c r="T13" s="7">
        <v>5338</v>
      </c>
      <c r="U13" s="7">
        <v>6812</v>
      </c>
      <c r="V13" s="7">
        <v>6520</v>
      </c>
      <c r="W13" s="7">
        <v>5414</v>
      </c>
      <c r="X13" s="7">
        <v>6189</v>
      </c>
      <c r="Y13" s="7">
        <v>6301</v>
      </c>
      <c r="Z13" s="7">
        <v>5375</v>
      </c>
      <c r="AA13" s="7">
        <v>9596</v>
      </c>
      <c r="AB13" s="7">
        <v>11523</v>
      </c>
      <c r="AC13" s="7">
        <v>10624</v>
      </c>
      <c r="AD13" s="7">
        <v>7659</v>
      </c>
      <c r="AE13" s="7">
        <v>6757</v>
      </c>
      <c r="AF13" s="7">
        <v>5704</v>
      </c>
      <c r="AG13" s="7">
        <v>5632</v>
      </c>
      <c r="AH13" s="8">
        <v>7142</v>
      </c>
      <c r="AJ13" s="16">
        <v>1936</v>
      </c>
      <c r="AK13" s="23">
        <v>24.800952576052737</v>
      </c>
      <c r="AL13" s="23">
        <v>26.69964365251515</v>
      </c>
      <c r="AM13" s="23">
        <v>33.2274604592272</v>
      </c>
      <c r="AN13" s="23">
        <v>36.23917382148003</v>
      </c>
      <c r="AO13" s="23">
        <v>33.600925649915425</v>
      </c>
      <c r="AP13" s="23">
        <v>27.533337161486454</v>
      </c>
      <c r="AQ13" s="23">
        <v>21.28752058717942</v>
      </c>
      <c r="AR13" s="23">
        <v>12.50229684523039</v>
      </c>
      <c r="AS13" s="23">
        <v>17.334244852595866</v>
      </c>
      <c r="AT13" s="23">
        <v>25.920336984818967</v>
      </c>
      <c r="AU13" s="23">
        <v>27.66679772407779</v>
      </c>
      <c r="AV13" s="24">
        <v>26.07293370246892</v>
      </c>
      <c r="AX13" s="16">
        <v>1936</v>
      </c>
      <c r="AY13" s="25">
        <f t="shared" si="2"/>
        <v>0</v>
      </c>
      <c r="AZ13" s="25">
        <f t="shared" si="0"/>
        <v>0</v>
      </c>
      <c r="BA13" s="25">
        <f t="shared" si="0"/>
        <v>0</v>
      </c>
      <c r="BB13" s="25">
        <f t="shared" si="0"/>
        <v>0</v>
      </c>
      <c r="BC13" s="25">
        <f t="shared" si="0"/>
        <v>0</v>
      </c>
      <c r="BD13" s="25">
        <f t="shared" si="0"/>
        <v>0</v>
      </c>
      <c r="BE13" s="25">
        <f t="shared" si="0"/>
        <v>6927810.69989167</v>
      </c>
      <c r="BF13" s="25">
        <f t="shared" si="3"/>
        <v>9096583.29731351</v>
      </c>
      <c r="BG13" s="25">
        <f t="shared" si="1"/>
        <v>10008638.725668117</v>
      </c>
      <c r="BH13" s="25">
        <f t="shared" si="1"/>
        <v>8761420.718296055</v>
      </c>
      <c r="BI13" s="25">
        <f t="shared" si="1"/>
        <v>-655680.8443679806</v>
      </c>
      <c r="BJ13" s="25">
        <f t="shared" si="1"/>
        <v>637443.0195627522</v>
      </c>
      <c r="BK13" s="25">
        <f t="shared" si="4"/>
        <v>1922953.1090143027</v>
      </c>
      <c r="BL13" s="25">
        <f t="shared" si="4"/>
        <v>0</v>
      </c>
      <c r="BM13" s="26">
        <f t="shared" si="5"/>
        <v>36699168.725378424</v>
      </c>
    </row>
    <row r="14" spans="2:65" ht="15">
      <c r="B14" s="16">
        <v>1937</v>
      </c>
      <c r="C14" s="41">
        <v>5313</v>
      </c>
      <c r="D14" s="41">
        <v>7229</v>
      </c>
      <c r="E14" s="41">
        <v>6889</v>
      </c>
      <c r="F14" s="41">
        <v>5337</v>
      </c>
      <c r="G14" s="41">
        <v>5746</v>
      </c>
      <c r="H14" s="41">
        <v>5852</v>
      </c>
      <c r="I14" s="41">
        <v>5206</v>
      </c>
      <c r="J14" s="41">
        <v>5624</v>
      </c>
      <c r="K14" s="41">
        <v>8333</v>
      </c>
      <c r="L14" s="41">
        <v>6888</v>
      </c>
      <c r="M14" s="41">
        <v>5550</v>
      </c>
      <c r="N14" s="41">
        <v>6827</v>
      </c>
      <c r="O14" s="41">
        <v>5742</v>
      </c>
      <c r="P14" s="41">
        <v>5638</v>
      </c>
      <c r="Q14" s="42">
        <v>6208</v>
      </c>
      <c r="S14" s="16">
        <v>1937</v>
      </c>
      <c r="T14" s="7">
        <v>5313</v>
      </c>
      <c r="U14" s="7">
        <v>7229</v>
      </c>
      <c r="V14" s="7">
        <v>6889</v>
      </c>
      <c r="W14" s="7">
        <v>5337</v>
      </c>
      <c r="X14" s="7">
        <v>5746</v>
      </c>
      <c r="Y14" s="7">
        <v>5852</v>
      </c>
      <c r="Z14" s="7">
        <v>4545</v>
      </c>
      <c r="AA14" s="7">
        <v>4622</v>
      </c>
      <c r="AB14" s="7">
        <v>6876</v>
      </c>
      <c r="AC14" s="7">
        <v>6018</v>
      </c>
      <c r="AD14" s="7">
        <v>5571</v>
      </c>
      <c r="AE14" s="7">
        <v>6750</v>
      </c>
      <c r="AF14" s="7">
        <v>5591</v>
      </c>
      <c r="AG14" s="7">
        <v>5638</v>
      </c>
      <c r="AH14" s="8">
        <v>5936</v>
      </c>
      <c r="AJ14" s="16">
        <v>1937</v>
      </c>
      <c r="AK14" s="23">
        <v>24.21517852660145</v>
      </c>
      <c r="AL14" s="23">
        <v>25.48388989480955</v>
      </c>
      <c r="AM14" s="23">
        <v>30.403562619096462</v>
      </c>
      <c r="AN14" s="23">
        <v>33.13039376863868</v>
      </c>
      <c r="AO14" s="23">
        <v>33.25129877499169</v>
      </c>
      <c r="AP14" s="23">
        <v>27.437578688944978</v>
      </c>
      <c r="AQ14" s="23">
        <v>23.674151120185844</v>
      </c>
      <c r="AR14" s="23">
        <v>19.562998099480915</v>
      </c>
      <c r="AS14" s="23">
        <v>21.957158199946097</v>
      </c>
      <c r="AT14" s="23">
        <v>28.559693858956805</v>
      </c>
      <c r="AU14" s="23">
        <v>28.541740368258555</v>
      </c>
      <c r="AV14" s="24">
        <v>25.82666306654614</v>
      </c>
      <c r="AX14" s="16">
        <v>1937</v>
      </c>
      <c r="AY14" s="25">
        <f t="shared" si="2"/>
        <v>0</v>
      </c>
      <c r="AZ14" s="25">
        <f t="shared" si="0"/>
        <v>0</v>
      </c>
      <c r="BA14" s="25">
        <f t="shared" si="0"/>
        <v>0</v>
      </c>
      <c r="BB14" s="25">
        <f t="shared" si="0"/>
        <v>0</v>
      </c>
      <c r="BC14" s="25">
        <f t="shared" si="0"/>
        <v>0</v>
      </c>
      <c r="BD14" s="25">
        <f t="shared" si="0"/>
        <v>0</v>
      </c>
      <c r="BE14" s="25">
        <f t="shared" si="0"/>
        <v>5633501.000559423</v>
      </c>
      <c r="BF14" s="25">
        <f t="shared" si="3"/>
        <v>8539739.792073438</v>
      </c>
      <c r="BG14" s="25">
        <f t="shared" si="1"/>
        <v>21206446.44382211</v>
      </c>
      <c r="BH14" s="25">
        <f t="shared" si="1"/>
        <v>13753963.896446235</v>
      </c>
      <c r="BI14" s="25">
        <f t="shared" si="1"/>
        <v>-446216.65685234114</v>
      </c>
      <c r="BJ14" s="25">
        <f t="shared" si="1"/>
        <v>791177.0430081271</v>
      </c>
      <c r="BK14" s="25">
        <f t="shared" si="4"/>
        <v>1654964.273513104</v>
      </c>
      <c r="BL14" s="25">
        <f t="shared" si="4"/>
        <v>0</v>
      </c>
      <c r="BM14" s="26">
        <f t="shared" si="5"/>
        <v>51133575.79257009</v>
      </c>
    </row>
    <row r="15" spans="2:65" ht="15">
      <c r="B15" s="16">
        <v>1938</v>
      </c>
      <c r="C15" s="41">
        <v>5296</v>
      </c>
      <c r="D15" s="41">
        <v>6773</v>
      </c>
      <c r="E15" s="41">
        <v>7817</v>
      </c>
      <c r="F15" s="41">
        <v>9180</v>
      </c>
      <c r="G15" s="41">
        <v>9539</v>
      </c>
      <c r="H15" s="41">
        <v>9243</v>
      </c>
      <c r="I15" s="41">
        <v>9754</v>
      </c>
      <c r="J15" s="41">
        <v>12598</v>
      </c>
      <c r="K15" s="41">
        <v>11999</v>
      </c>
      <c r="L15" s="41">
        <v>10300</v>
      </c>
      <c r="M15" s="41">
        <v>8876</v>
      </c>
      <c r="N15" s="41">
        <v>6144</v>
      </c>
      <c r="O15" s="41">
        <v>5549</v>
      </c>
      <c r="P15" s="41">
        <v>6014</v>
      </c>
      <c r="Q15" s="42">
        <v>8495</v>
      </c>
      <c r="S15" s="16">
        <v>1938</v>
      </c>
      <c r="T15" s="7">
        <v>5296</v>
      </c>
      <c r="U15" s="7">
        <v>6773</v>
      </c>
      <c r="V15" s="7">
        <v>7817</v>
      </c>
      <c r="W15" s="7">
        <v>9180</v>
      </c>
      <c r="X15" s="7">
        <v>9539</v>
      </c>
      <c r="Y15" s="7">
        <v>9243</v>
      </c>
      <c r="Z15" s="7">
        <v>9075</v>
      </c>
      <c r="AA15" s="7">
        <v>11750</v>
      </c>
      <c r="AB15" s="7">
        <v>11081</v>
      </c>
      <c r="AC15" s="7">
        <v>9580</v>
      </c>
      <c r="AD15" s="7">
        <v>8958</v>
      </c>
      <c r="AE15" s="7">
        <v>6098</v>
      </c>
      <c r="AF15" s="7">
        <v>5354</v>
      </c>
      <c r="AG15" s="7">
        <v>6014</v>
      </c>
      <c r="AH15" s="8">
        <v>8292</v>
      </c>
      <c r="AJ15" s="16">
        <v>1938</v>
      </c>
      <c r="AK15" s="23">
        <v>24.95495748366078</v>
      </c>
      <c r="AL15" s="23">
        <v>25.80318603522238</v>
      </c>
      <c r="AM15" s="23">
        <v>28.198141060593294</v>
      </c>
      <c r="AN15" s="23">
        <v>25.623861536672027</v>
      </c>
      <c r="AO15" s="23">
        <v>24.569134409087024</v>
      </c>
      <c r="AP15" s="23">
        <v>21.969789727314943</v>
      </c>
      <c r="AQ15" s="23">
        <v>15.323673729366705</v>
      </c>
      <c r="AR15" s="23">
        <v>9.844011728297339</v>
      </c>
      <c r="AS15" s="23">
        <v>17.707102884186597</v>
      </c>
      <c r="AT15" s="23">
        <v>21.190617594924046</v>
      </c>
      <c r="AU15" s="23">
        <v>26.278114131958258</v>
      </c>
      <c r="AV15" s="24">
        <v>23.696429540316274</v>
      </c>
      <c r="AX15" s="16">
        <v>1938</v>
      </c>
      <c r="AY15" s="25">
        <f t="shared" si="2"/>
        <v>0</v>
      </c>
      <c r="AZ15" s="25">
        <f t="shared" si="0"/>
        <v>0</v>
      </c>
      <c r="BA15" s="25">
        <f t="shared" si="0"/>
        <v>0</v>
      </c>
      <c r="BB15" s="25">
        <f t="shared" si="0"/>
        <v>0</v>
      </c>
      <c r="BC15" s="25">
        <f t="shared" si="0"/>
        <v>0</v>
      </c>
      <c r="BD15" s="25">
        <f t="shared" si="0"/>
        <v>0</v>
      </c>
      <c r="BE15" s="25">
        <f t="shared" si="0"/>
        <v>3745718.8064063974</v>
      </c>
      <c r="BF15" s="25">
        <f t="shared" si="3"/>
        <v>4678011.1161010675</v>
      </c>
      <c r="BG15" s="25">
        <f t="shared" si="1"/>
        <v>6723381.2583332565</v>
      </c>
      <c r="BH15" s="25">
        <f t="shared" si="1"/>
        <v>9179362.135162331</v>
      </c>
      <c r="BI15" s="25">
        <f t="shared" si="1"/>
        <v>-1292797.1982311262</v>
      </c>
      <c r="BJ15" s="25">
        <f t="shared" si="1"/>
        <v>435165.5700252288</v>
      </c>
      <c r="BK15" s="25">
        <f t="shared" si="4"/>
        <v>1967705.1862010343</v>
      </c>
      <c r="BL15" s="25">
        <f t="shared" si="4"/>
        <v>0</v>
      </c>
      <c r="BM15" s="26">
        <f t="shared" si="5"/>
        <v>25436546.87399819</v>
      </c>
    </row>
    <row r="16" spans="2:65" ht="15">
      <c r="B16" s="16">
        <v>1939</v>
      </c>
      <c r="C16" s="41">
        <v>5238</v>
      </c>
      <c r="D16" s="41">
        <v>6652</v>
      </c>
      <c r="E16" s="41">
        <v>6642</v>
      </c>
      <c r="F16" s="41">
        <v>7903</v>
      </c>
      <c r="G16" s="41">
        <v>7259</v>
      </c>
      <c r="H16" s="41">
        <v>6824</v>
      </c>
      <c r="I16" s="41">
        <v>7543</v>
      </c>
      <c r="J16" s="41">
        <v>9765</v>
      </c>
      <c r="K16" s="41">
        <v>9765</v>
      </c>
      <c r="L16" s="41">
        <v>6844</v>
      </c>
      <c r="M16" s="41">
        <v>7238</v>
      </c>
      <c r="N16" s="41">
        <v>6748</v>
      </c>
      <c r="O16" s="41">
        <v>5810</v>
      </c>
      <c r="P16" s="41">
        <v>5915</v>
      </c>
      <c r="Q16" s="42">
        <v>7099</v>
      </c>
      <c r="S16" s="16">
        <v>1939</v>
      </c>
      <c r="T16" s="7">
        <v>5238</v>
      </c>
      <c r="U16" s="7">
        <v>6652</v>
      </c>
      <c r="V16" s="7">
        <v>6642</v>
      </c>
      <c r="W16" s="7">
        <v>7903</v>
      </c>
      <c r="X16" s="7">
        <v>7259</v>
      </c>
      <c r="Y16" s="7">
        <v>6824</v>
      </c>
      <c r="Z16" s="7">
        <v>6701</v>
      </c>
      <c r="AA16" s="7">
        <v>8413</v>
      </c>
      <c r="AB16" s="7">
        <v>8374</v>
      </c>
      <c r="AC16" s="7">
        <v>6015</v>
      </c>
      <c r="AD16" s="7">
        <v>7244</v>
      </c>
      <c r="AE16" s="7">
        <v>6676</v>
      </c>
      <c r="AF16" s="7">
        <v>5650</v>
      </c>
      <c r="AG16" s="7">
        <v>5915</v>
      </c>
      <c r="AH16" s="8">
        <v>6813</v>
      </c>
      <c r="AJ16" s="16">
        <v>1939</v>
      </c>
      <c r="AK16" s="23">
        <v>24.242626712399108</v>
      </c>
      <c r="AL16" s="23">
        <v>25.97177377911117</v>
      </c>
      <c r="AM16" s="23">
        <v>30.377059158714847</v>
      </c>
      <c r="AN16" s="23">
        <v>27.40671552406845</v>
      </c>
      <c r="AO16" s="23">
        <v>29.638243021283827</v>
      </c>
      <c r="AP16" s="23">
        <v>25.822474815290345</v>
      </c>
      <c r="AQ16" s="23">
        <v>19.3599323378669</v>
      </c>
      <c r="AR16" s="23">
        <v>18.094468460288073</v>
      </c>
      <c r="AS16" s="23">
        <v>23.72638870610132</v>
      </c>
      <c r="AT16" s="23">
        <v>25.61395008153812</v>
      </c>
      <c r="AU16" s="23">
        <v>28.14357997909665</v>
      </c>
      <c r="AV16" s="24">
        <v>25.179791973431914</v>
      </c>
      <c r="AX16" s="16">
        <v>1939</v>
      </c>
      <c r="AY16" s="25">
        <f t="shared" si="2"/>
        <v>0</v>
      </c>
      <c r="AZ16" s="25">
        <f t="shared" si="0"/>
        <v>0</v>
      </c>
      <c r="BA16" s="25">
        <f t="shared" si="0"/>
        <v>0</v>
      </c>
      <c r="BB16" s="25">
        <f t="shared" si="0"/>
        <v>0</v>
      </c>
      <c r="BC16" s="25">
        <f t="shared" si="0"/>
        <v>0</v>
      </c>
      <c r="BD16" s="25">
        <f t="shared" si="0"/>
        <v>0</v>
      </c>
      <c r="BE16" s="25">
        <f t="shared" si="0"/>
        <v>5868382.690254215</v>
      </c>
      <c r="BF16" s="25">
        <f t="shared" si="3"/>
        <v>9422866.267486578</v>
      </c>
      <c r="BG16" s="25">
        <f t="shared" si="1"/>
        <v>18726037.78742597</v>
      </c>
      <c r="BH16" s="25">
        <f t="shared" si="1"/>
        <v>14161806.890897756</v>
      </c>
      <c r="BI16" s="25">
        <f t="shared" si="1"/>
        <v>-114340.67316398617</v>
      </c>
      <c r="BJ16" s="25">
        <f t="shared" si="1"/>
        <v>729481.5930581852</v>
      </c>
      <c r="BK16" s="25">
        <f t="shared" si="4"/>
        <v>1729141.553915698</v>
      </c>
      <c r="BL16" s="25">
        <f t="shared" si="4"/>
        <v>0</v>
      </c>
      <c r="BM16" s="26">
        <f t="shared" si="5"/>
        <v>50523376.10987441</v>
      </c>
    </row>
    <row r="17" spans="2:65" ht="15">
      <c r="B17" s="16">
        <v>1940</v>
      </c>
      <c r="C17" s="41">
        <v>5397</v>
      </c>
      <c r="D17" s="41">
        <v>7382</v>
      </c>
      <c r="E17" s="41">
        <v>7130</v>
      </c>
      <c r="F17" s="41">
        <v>8240</v>
      </c>
      <c r="G17" s="41">
        <v>7032</v>
      </c>
      <c r="H17" s="41">
        <v>10092</v>
      </c>
      <c r="I17" s="41">
        <v>7951</v>
      </c>
      <c r="J17" s="41">
        <v>8992</v>
      </c>
      <c r="K17" s="41">
        <v>9440</v>
      </c>
      <c r="L17" s="41">
        <v>6746</v>
      </c>
      <c r="M17" s="41">
        <v>6950</v>
      </c>
      <c r="N17" s="41">
        <v>6108</v>
      </c>
      <c r="O17" s="41">
        <v>5391</v>
      </c>
      <c r="P17" s="41">
        <v>5763</v>
      </c>
      <c r="Q17" s="42">
        <v>7370</v>
      </c>
      <c r="S17" s="16">
        <v>1940</v>
      </c>
      <c r="T17" s="7">
        <v>5397</v>
      </c>
      <c r="U17" s="7">
        <v>7382</v>
      </c>
      <c r="V17" s="7">
        <v>7130</v>
      </c>
      <c r="W17" s="7">
        <v>8240</v>
      </c>
      <c r="X17" s="7">
        <v>7032</v>
      </c>
      <c r="Y17" s="7">
        <v>10092</v>
      </c>
      <c r="Z17" s="7">
        <v>7161</v>
      </c>
      <c r="AA17" s="7">
        <v>7630</v>
      </c>
      <c r="AB17" s="7">
        <v>8044</v>
      </c>
      <c r="AC17" s="7">
        <v>5899</v>
      </c>
      <c r="AD17" s="7">
        <v>6930</v>
      </c>
      <c r="AE17" s="7">
        <v>6018</v>
      </c>
      <c r="AF17" s="7">
        <v>5273</v>
      </c>
      <c r="AG17" s="7">
        <v>5763</v>
      </c>
      <c r="AH17" s="8">
        <v>7083</v>
      </c>
      <c r="AJ17" s="16">
        <v>1940</v>
      </c>
      <c r="AK17" s="23">
        <v>25.188205397513624</v>
      </c>
      <c r="AL17" s="23">
        <v>26.444314701084302</v>
      </c>
      <c r="AM17" s="23">
        <v>31.04324874980479</v>
      </c>
      <c r="AN17" s="23">
        <v>28.154112975315364</v>
      </c>
      <c r="AO17" s="23">
        <v>29.446456922803616</v>
      </c>
      <c r="AP17" s="23">
        <v>20.950795146433872</v>
      </c>
      <c r="AQ17" s="23">
        <v>20.907515922652365</v>
      </c>
      <c r="AR17" s="23">
        <v>17.97501578843723</v>
      </c>
      <c r="AS17" s="23">
        <v>23.750547122955297</v>
      </c>
      <c r="AT17" s="23">
        <v>26.254050094594266</v>
      </c>
      <c r="AU17" s="23">
        <v>29.446654533570793</v>
      </c>
      <c r="AV17" s="24">
        <v>25.804180278778084</v>
      </c>
      <c r="AX17" s="16">
        <v>1940</v>
      </c>
      <c r="AY17" s="25">
        <f t="shared" si="2"/>
        <v>0</v>
      </c>
      <c r="AZ17" s="25">
        <f t="shared" si="0"/>
        <v>0</v>
      </c>
      <c r="BA17" s="25">
        <f t="shared" si="0"/>
        <v>0</v>
      </c>
      <c r="BB17" s="25">
        <f t="shared" si="0"/>
        <v>0</v>
      </c>
      <c r="BC17" s="25">
        <f t="shared" si="0"/>
        <v>0</v>
      </c>
      <c r="BD17" s="25">
        <f t="shared" si="0"/>
        <v>0</v>
      </c>
      <c r="BE17" s="25">
        <f t="shared" si="0"/>
        <v>5946097.528402332</v>
      </c>
      <c r="BF17" s="25">
        <f t="shared" si="3"/>
        <v>10251373.207194908</v>
      </c>
      <c r="BG17" s="25">
        <f t="shared" si="1"/>
        <v>18669282.79824983</v>
      </c>
      <c r="BH17" s="25">
        <f t="shared" si="1"/>
        <v>14484033.657463059</v>
      </c>
      <c r="BI17" s="25">
        <f t="shared" si="1"/>
        <v>390660.26540756266</v>
      </c>
      <c r="BJ17" s="25">
        <f t="shared" si="1"/>
        <v>954071.6068876937</v>
      </c>
      <c r="BK17" s="25">
        <f t="shared" si="4"/>
        <v>1334286.8102251599</v>
      </c>
      <c r="BL17" s="25">
        <f t="shared" si="4"/>
        <v>0</v>
      </c>
      <c r="BM17" s="26">
        <f t="shared" si="5"/>
        <v>52029805.87383054</v>
      </c>
    </row>
    <row r="18" spans="2:65" ht="15">
      <c r="B18" s="16">
        <v>1941</v>
      </c>
      <c r="C18" s="41">
        <v>5213</v>
      </c>
      <c r="D18" s="41">
        <v>6998</v>
      </c>
      <c r="E18" s="41">
        <v>7526</v>
      </c>
      <c r="F18" s="41">
        <v>6412</v>
      </c>
      <c r="G18" s="41">
        <v>6430</v>
      </c>
      <c r="H18" s="41">
        <v>6302</v>
      </c>
      <c r="I18" s="41">
        <v>5124</v>
      </c>
      <c r="J18" s="41">
        <v>6600</v>
      </c>
      <c r="K18" s="41">
        <v>8765</v>
      </c>
      <c r="L18" s="41">
        <v>6905</v>
      </c>
      <c r="M18" s="41">
        <v>6951</v>
      </c>
      <c r="N18" s="41">
        <v>7010</v>
      </c>
      <c r="O18" s="41">
        <v>5994</v>
      </c>
      <c r="P18" s="41">
        <v>6037</v>
      </c>
      <c r="Q18" s="42">
        <v>6661</v>
      </c>
      <c r="S18" s="16">
        <v>1941</v>
      </c>
      <c r="T18" s="7">
        <v>5213</v>
      </c>
      <c r="U18" s="7">
        <v>6998</v>
      </c>
      <c r="V18" s="7">
        <v>7526</v>
      </c>
      <c r="W18" s="7">
        <v>6412</v>
      </c>
      <c r="X18" s="7">
        <v>6430</v>
      </c>
      <c r="Y18" s="7">
        <v>6302</v>
      </c>
      <c r="Z18" s="7">
        <v>4374</v>
      </c>
      <c r="AA18" s="7">
        <v>5544</v>
      </c>
      <c r="AB18" s="7">
        <v>7334</v>
      </c>
      <c r="AC18" s="7">
        <v>6026</v>
      </c>
      <c r="AD18" s="7">
        <v>6988</v>
      </c>
      <c r="AE18" s="7">
        <v>6955</v>
      </c>
      <c r="AF18" s="7">
        <v>5762</v>
      </c>
      <c r="AG18" s="7">
        <v>6037</v>
      </c>
      <c r="AH18" s="8">
        <v>6384</v>
      </c>
      <c r="AJ18" s="16">
        <v>1941</v>
      </c>
      <c r="AK18" s="23">
        <v>24.191641020005758</v>
      </c>
      <c r="AL18" s="23">
        <v>25.920893143020322</v>
      </c>
      <c r="AM18" s="23">
        <v>29.429292530141822</v>
      </c>
      <c r="AN18" s="23">
        <v>32.21134889356552</v>
      </c>
      <c r="AO18" s="23">
        <v>31.38157796178547</v>
      </c>
      <c r="AP18" s="23">
        <v>26.618879758878478</v>
      </c>
      <c r="AQ18" s="23">
        <v>23.70866910881468</v>
      </c>
      <c r="AR18" s="23">
        <v>19.148830554049486</v>
      </c>
      <c r="AS18" s="23">
        <v>22.96920318338605</v>
      </c>
      <c r="AT18" s="23">
        <v>24.849870780206494</v>
      </c>
      <c r="AU18" s="23">
        <v>25.76019870619621</v>
      </c>
      <c r="AV18" s="24">
        <v>24.410231695175188</v>
      </c>
      <c r="AX18" s="16">
        <v>1941</v>
      </c>
      <c r="AY18" s="25">
        <f t="shared" si="2"/>
        <v>0</v>
      </c>
      <c r="AZ18" s="25">
        <f t="shared" si="0"/>
        <v>0</v>
      </c>
      <c r="BA18" s="25">
        <f t="shared" si="0"/>
        <v>0</v>
      </c>
      <c r="BB18" s="25">
        <f t="shared" si="0"/>
        <v>0</v>
      </c>
      <c r="BC18" s="25">
        <f t="shared" si="0"/>
        <v>0</v>
      </c>
      <c r="BD18" s="25">
        <f t="shared" si="0"/>
        <v>0</v>
      </c>
      <c r="BE18" s="25">
        <f t="shared" si="0"/>
        <v>6401340.659379963</v>
      </c>
      <c r="BF18" s="25">
        <f t="shared" si="3"/>
        <v>9013087.648406988</v>
      </c>
      <c r="BG18" s="25">
        <f t="shared" si="1"/>
        <v>20387070.532996543</v>
      </c>
      <c r="BH18" s="25">
        <f t="shared" si="1"/>
        <v>14536749.310701363</v>
      </c>
      <c r="BI18" s="25">
        <f t="shared" si="1"/>
        <v>-684067.2428375244</v>
      </c>
      <c r="BJ18" s="25">
        <f t="shared" si="1"/>
        <v>510051.93438268494</v>
      </c>
      <c r="BK18" s="25">
        <f t="shared" si="4"/>
        <v>2294924.582337608</v>
      </c>
      <c r="BL18" s="25">
        <f t="shared" si="4"/>
        <v>0</v>
      </c>
      <c r="BM18" s="26">
        <f t="shared" si="5"/>
        <v>52459157.42536762</v>
      </c>
    </row>
    <row r="19" spans="2:65" ht="15">
      <c r="B19" s="16">
        <v>1942</v>
      </c>
      <c r="C19" s="41">
        <v>5229</v>
      </c>
      <c r="D19" s="41">
        <v>7604</v>
      </c>
      <c r="E19" s="41">
        <v>8523</v>
      </c>
      <c r="F19" s="41">
        <v>9762</v>
      </c>
      <c r="G19" s="41">
        <v>8616</v>
      </c>
      <c r="H19" s="41">
        <v>8141</v>
      </c>
      <c r="I19" s="41">
        <v>6158</v>
      </c>
      <c r="J19" s="41">
        <v>8618</v>
      </c>
      <c r="K19" s="41">
        <v>9384</v>
      </c>
      <c r="L19" s="41">
        <v>9694</v>
      </c>
      <c r="M19" s="41">
        <v>9581</v>
      </c>
      <c r="N19" s="41">
        <v>7578</v>
      </c>
      <c r="O19" s="41">
        <v>6973</v>
      </c>
      <c r="P19" s="41">
        <v>6624</v>
      </c>
      <c r="Q19" s="42">
        <v>8151</v>
      </c>
      <c r="S19" s="16">
        <v>1942</v>
      </c>
      <c r="T19" s="7">
        <v>5229</v>
      </c>
      <c r="U19" s="7">
        <v>7604</v>
      </c>
      <c r="V19" s="7">
        <v>8523</v>
      </c>
      <c r="W19" s="7">
        <v>9762</v>
      </c>
      <c r="X19" s="7">
        <v>8616</v>
      </c>
      <c r="Y19" s="7">
        <v>8141</v>
      </c>
      <c r="Z19" s="7">
        <v>5275</v>
      </c>
      <c r="AA19" s="7">
        <v>7292</v>
      </c>
      <c r="AB19" s="7">
        <v>8009</v>
      </c>
      <c r="AC19" s="7">
        <v>8914</v>
      </c>
      <c r="AD19" s="7">
        <v>9673</v>
      </c>
      <c r="AE19" s="7">
        <v>7514</v>
      </c>
      <c r="AF19" s="7">
        <v>6727</v>
      </c>
      <c r="AG19" s="7">
        <v>6624</v>
      </c>
      <c r="AH19" s="8">
        <v>7873</v>
      </c>
      <c r="AJ19" s="16">
        <v>1942</v>
      </c>
      <c r="AK19" s="23">
        <v>25.521385918894143</v>
      </c>
      <c r="AL19" s="23">
        <v>25.85680529155279</v>
      </c>
      <c r="AM19" s="23">
        <v>27.89766804325965</v>
      </c>
      <c r="AN19" s="23">
        <v>27.078610115153804</v>
      </c>
      <c r="AO19" s="23">
        <v>28.265131078447645</v>
      </c>
      <c r="AP19" s="23">
        <v>24.48090854807786</v>
      </c>
      <c r="AQ19" s="23">
        <v>20.860250597529948</v>
      </c>
      <c r="AR19" s="23">
        <v>17.541070107234432</v>
      </c>
      <c r="AS19" s="23">
        <v>18.405202468236276</v>
      </c>
      <c r="AT19" s="23">
        <v>21.04567907266723</v>
      </c>
      <c r="AU19" s="23">
        <v>25.505609871495142</v>
      </c>
      <c r="AV19" s="24">
        <v>24.09077065308885</v>
      </c>
      <c r="AX19" s="16">
        <v>1942</v>
      </c>
      <c r="AY19" s="25">
        <f t="shared" si="2"/>
        <v>0</v>
      </c>
      <c r="AZ19" s="25">
        <f t="shared" si="0"/>
        <v>0</v>
      </c>
      <c r="BA19" s="25">
        <f t="shared" si="0"/>
        <v>0</v>
      </c>
      <c r="BB19" s="25">
        <f t="shared" si="0"/>
        <v>0</v>
      </c>
      <c r="BC19" s="25">
        <f t="shared" si="0"/>
        <v>0</v>
      </c>
      <c r="BD19" s="25">
        <f t="shared" si="0"/>
        <v>0</v>
      </c>
      <c r="BE19" s="25">
        <f t="shared" si="0"/>
        <v>6631056.45994282</v>
      </c>
      <c r="BF19" s="25">
        <f t="shared" si="3"/>
        <v>9957849.225236896</v>
      </c>
      <c r="BG19" s="25">
        <f t="shared" si="1"/>
        <v>17944514.719700824</v>
      </c>
      <c r="BH19" s="25">
        <f t="shared" si="1"/>
        <v>10336361.706161492</v>
      </c>
      <c r="BI19" s="25">
        <f t="shared" si="1"/>
        <v>-1440534.6411659266</v>
      </c>
      <c r="BJ19" s="25">
        <f t="shared" si="1"/>
        <v>587649.2514392481</v>
      </c>
      <c r="BK19" s="25">
        <f t="shared" si="4"/>
        <v>2409361.930900917</v>
      </c>
      <c r="BL19" s="25">
        <f t="shared" si="4"/>
        <v>0</v>
      </c>
      <c r="BM19" s="26">
        <f t="shared" si="5"/>
        <v>46426258.65221627</v>
      </c>
    </row>
    <row r="20" spans="2:65" ht="15">
      <c r="B20" s="16">
        <v>1943</v>
      </c>
      <c r="C20" s="41">
        <v>5313</v>
      </c>
      <c r="D20" s="41">
        <v>5962</v>
      </c>
      <c r="E20" s="41">
        <v>7168</v>
      </c>
      <c r="F20" s="41">
        <v>10453</v>
      </c>
      <c r="G20" s="41">
        <v>9611</v>
      </c>
      <c r="H20" s="41">
        <v>9625</v>
      </c>
      <c r="I20" s="41">
        <v>12375</v>
      </c>
      <c r="J20" s="41">
        <v>12991</v>
      </c>
      <c r="K20" s="41">
        <v>10960</v>
      </c>
      <c r="L20" s="41">
        <v>13420</v>
      </c>
      <c r="M20" s="41">
        <v>11290</v>
      </c>
      <c r="N20" s="41">
        <v>8492</v>
      </c>
      <c r="O20" s="41">
        <v>6752</v>
      </c>
      <c r="P20" s="41">
        <v>5412</v>
      </c>
      <c r="Q20" s="42">
        <v>9118</v>
      </c>
      <c r="S20" s="16">
        <v>1943</v>
      </c>
      <c r="T20" s="7">
        <v>5313</v>
      </c>
      <c r="U20" s="7">
        <v>5962</v>
      </c>
      <c r="V20" s="7">
        <v>7168</v>
      </c>
      <c r="W20" s="7">
        <v>10453</v>
      </c>
      <c r="X20" s="7">
        <v>9611</v>
      </c>
      <c r="Y20" s="7">
        <v>9625</v>
      </c>
      <c r="Z20" s="7">
        <v>12221</v>
      </c>
      <c r="AA20" s="7">
        <v>12657</v>
      </c>
      <c r="AB20" s="7">
        <v>9780</v>
      </c>
      <c r="AC20" s="7">
        <v>13072</v>
      </c>
      <c r="AD20" s="7">
        <v>11381</v>
      </c>
      <c r="AE20" s="7">
        <v>8457</v>
      </c>
      <c r="AF20" s="7">
        <v>6489</v>
      </c>
      <c r="AG20" s="7">
        <v>5412</v>
      </c>
      <c r="AH20" s="8">
        <v>8963</v>
      </c>
      <c r="AJ20" s="16">
        <v>1943</v>
      </c>
      <c r="AK20" s="23">
        <v>24.31657577483881</v>
      </c>
      <c r="AL20" s="23">
        <v>25.794288111526633</v>
      </c>
      <c r="AM20" s="23">
        <v>28.711074049754785</v>
      </c>
      <c r="AN20" s="23">
        <v>24.985583281773405</v>
      </c>
      <c r="AO20" s="23">
        <v>24.698440912791643</v>
      </c>
      <c r="AP20" s="23">
        <v>20.99113983998874</v>
      </c>
      <c r="AQ20" s="23">
        <v>7.333220358689606</v>
      </c>
      <c r="AR20" s="23">
        <v>14.462917448115622</v>
      </c>
      <c r="AS20" s="23">
        <v>3.3986230843597127</v>
      </c>
      <c r="AT20" s="23">
        <v>16.436961708394094</v>
      </c>
      <c r="AU20" s="23">
        <v>25.093959789122295</v>
      </c>
      <c r="AV20" s="24">
        <v>25.363395684560135</v>
      </c>
      <c r="AX20" s="16">
        <v>1943</v>
      </c>
      <c r="AY20" s="25">
        <f t="shared" si="2"/>
        <v>0</v>
      </c>
      <c r="AZ20" s="25">
        <f t="shared" si="0"/>
        <v>0</v>
      </c>
      <c r="BA20" s="25">
        <f t="shared" si="0"/>
        <v>0</v>
      </c>
      <c r="BB20" s="25">
        <f t="shared" si="0"/>
        <v>0</v>
      </c>
      <c r="BC20" s="25">
        <f t="shared" si="0"/>
        <v>0</v>
      </c>
      <c r="BD20" s="25">
        <f t="shared" si="0"/>
        <v>0</v>
      </c>
      <c r="BE20" s="25">
        <f t="shared" si="0"/>
        <v>406553.73668575176</v>
      </c>
      <c r="BF20" s="25">
        <f t="shared" si="3"/>
        <v>881746.4159288382</v>
      </c>
      <c r="BG20" s="25">
        <f t="shared" si="1"/>
        <v>12697284.486049667</v>
      </c>
      <c r="BH20" s="25">
        <f t="shared" si="1"/>
        <v>851559.0000171696</v>
      </c>
      <c r="BI20" s="25">
        <f t="shared" si="1"/>
        <v>-1112848.0555051137</v>
      </c>
      <c r="BJ20" s="25">
        <f t="shared" si="1"/>
        <v>316183.8933429409</v>
      </c>
      <c r="BK20" s="25">
        <f t="shared" si="4"/>
        <v>2534289.187023039</v>
      </c>
      <c r="BL20" s="25">
        <f t="shared" si="4"/>
        <v>0</v>
      </c>
      <c r="BM20" s="26">
        <f t="shared" si="5"/>
        <v>16574768.663542293</v>
      </c>
    </row>
    <row r="21" spans="2:65" ht="15">
      <c r="B21" s="16">
        <v>1944</v>
      </c>
      <c r="C21" s="41">
        <v>5078</v>
      </c>
      <c r="D21" s="41">
        <v>6846</v>
      </c>
      <c r="E21" s="41">
        <v>6811</v>
      </c>
      <c r="F21" s="41">
        <v>6867</v>
      </c>
      <c r="G21" s="41">
        <v>6629</v>
      </c>
      <c r="H21" s="41">
        <v>5811</v>
      </c>
      <c r="I21" s="41">
        <v>4815</v>
      </c>
      <c r="J21" s="41">
        <v>6726</v>
      </c>
      <c r="K21" s="41">
        <v>6741</v>
      </c>
      <c r="L21" s="41">
        <v>4978</v>
      </c>
      <c r="M21" s="41">
        <v>5947</v>
      </c>
      <c r="N21" s="41">
        <v>7051</v>
      </c>
      <c r="O21" s="41">
        <v>5692</v>
      </c>
      <c r="P21" s="41">
        <v>5614</v>
      </c>
      <c r="Q21" s="42">
        <v>6121</v>
      </c>
      <c r="S21" s="16">
        <v>1944</v>
      </c>
      <c r="T21" s="7">
        <v>5078</v>
      </c>
      <c r="U21" s="7">
        <v>6846</v>
      </c>
      <c r="V21" s="7">
        <v>6811</v>
      </c>
      <c r="W21" s="7">
        <v>6867</v>
      </c>
      <c r="X21" s="7">
        <v>6629</v>
      </c>
      <c r="Y21" s="7">
        <v>5811</v>
      </c>
      <c r="Z21" s="7">
        <v>3944</v>
      </c>
      <c r="AA21" s="7">
        <v>5496</v>
      </c>
      <c r="AB21" s="7">
        <v>5292</v>
      </c>
      <c r="AC21" s="7">
        <v>4165</v>
      </c>
      <c r="AD21" s="7">
        <v>5997</v>
      </c>
      <c r="AE21" s="7">
        <v>6997</v>
      </c>
      <c r="AF21" s="7">
        <v>5504</v>
      </c>
      <c r="AG21" s="7">
        <v>5614</v>
      </c>
      <c r="AH21" s="8">
        <v>5839</v>
      </c>
      <c r="AJ21" s="16">
        <v>1944</v>
      </c>
      <c r="AK21" s="23">
        <v>23.537342164593362</v>
      </c>
      <c r="AL21" s="23">
        <v>24.97262768692515</v>
      </c>
      <c r="AM21" s="23">
        <v>29.512663556683457</v>
      </c>
      <c r="AN21" s="23">
        <v>31.32026325553977</v>
      </c>
      <c r="AO21" s="23">
        <v>32.610438360486725</v>
      </c>
      <c r="AP21" s="23">
        <v>27.49532083264912</v>
      </c>
      <c r="AQ21" s="23">
        <v>23.2357107231352</v>
      </c>
      <c r="AR21" s="23">
        <v>22.125758568189507</v>
      </c>
      <c r="AS21" s="23">
        <v>26.97403758366903</v>
      </c>
      <c r="AT21" s="23">
        <v>26.892795309456467</v>
      </c>
      <c r="AU21" s="23">
        <v>27.526319414569517</v>
      </c>
      <c r="AV21" s="24">
        <v>25.812220211029064</v>
      </c>
      <c r="AX21" s="16">
        <v>1944</v>
      </c>
      <c r="AY21" s="25">
        <f t="shared" si="2"/>
        <v>0</v>
      </c>
      <c r="AZ21" s="25">
        <f t="shared" si="0"/>
        <v>0</v>
      </c>
      <c r="BA21" s="25">
        <f t="shared" si="0"/>
        <v>0</v>
      </c>
      <c r="BB21" s="25">
        <f t="shared" si="0"/>
        <v>0</v>
      </c>
      <c r="BC21" s="25">
        <f t="shared" si="0"/>
        <v>0</v>
      </c>
      <c r="BD21" s="25">
        <f t="shared" si="0"/>
        <v>0</v>
      </c>
      <c r="BE21" s="25">
        <f t="shared" si="0"/>
        <v>7285789.454346273</v>
      </c>
      <c r="BF21" s="25">
        <f>(J21*BF$5*24-AA21*BF$5*24)*AQ21</f>
        <v>10288772.708204266</v>
      </c>
      <c r="BG21" s="25">
        <f t="shared" si="1"/>
        <v>23852806.778988108</v>
      </c>
      <c r="BH21" s="25">
        <f t="shared" si="1"/>
        <v>15789522.639976503</v>
      </c>
      <c r="BI21" s="25">
        <f t="shared" si="1"/>
        <v>-1000411.9855117806</v>
      </c>
      <c r="BJ21" s="25">
        <f t="shared" si="1"/>
        <v>535111.6494192315</v>
      </c>
      <c r="BK21" s="25">
        <f t="shared" si="4"/>
        <v>1987180.0511766025</v>
      </c>
      <c r="BL21" s="25">
        <f t="shared" si="4"/>
        <v>0</v>
      </c>
      <c r="BM21" s="26">
        <f t="shared" si="5"/>
        <v>58738771.2965992</v>
      </c>
    </row>
    <row r="22" spans="2:65" ht="15">
      <c r="B22" s="16">
        <v>1945</v>
      </c>
      <c r="C22" s="41">
        <v>5266</v>
      </c>
      <c r="D22" s="41">
        <v>6944</v>
      </c>
      <c r="E22" s="41">
        <v>7133</v>
      </c>
      <c r="F22" s="41">
        <v>5804</v>
      </c>
      <c r="G22" s="41">
        <v>5884</v>
      </c>
      <c r="H22" s="41">
        <v>5807</v>
      </c>
      <c r="I22" s="41">
        <v>4906</v>
      </c>
      <c r="J22" s="41">
        <v>4124</v>
      </c>
      <c r="K22" s="41">
        <v>10269</v>
      </c>
      <c r="L22" s="41">
        <v>10888</v>
      </c>
      <c r="M22" s="41">
        <v>5795</v>
      </c>
      <c r="N22" s="41">
        <v>6522</v>
      </c>
      <c r="O22" s="41">
        <v>5774</v>
      </c>
      <c r="P22" s="41">
        <v>5568</v>
      </c>
      <c r="Q22" s="42">
        <v>6670</v>
      </c>
      <c r="S22" s="16">
        <v>1945</v>
      </c>
      <c r="T22" s="7">
        <v>5266</v>
      </c>
      <c r="U22" s="7">
        <v>6944</v>
      </c>
      <c r="V22" s="7">
        <v>7133</v>
      </c>
      <c r="W22" s="7">
        <v>5804</v>
      </c>
      <c r="X22" s="7">
        <v>5884</v>
      </c>
      <c r="Y22" s="7">
        <v>5807</v>
      </c>
      <c r="Z22" s="7">
        <v>4142</v>
      </c>
      <c r="AA22" s="7">
        <v>3567</v>
      </c>
      <c r="AB22" s="7">
        <v>8963</v>
      </c>
      <c r="AC22" s="7">
        <v>10174</v>
      </c>
      <c r="AD22" s="7">
        <v>5888</v>
      </c>
      <c r="AE22" s="7">
        <v>6472</v>
      </c>
      <c r="AF22" s="7">
        <v>5569</v>
      </c>
      <c r="AG22" s="7">
        <v>5568</v>
      </c>
      <c r="AH22" s="8">
        <v>6443</v>
      </c>
      <c r="AJ22" s="16">
        <v>1945</v>
      </c>
      <c r="AK22" s="23">
        <v>25.81619518956832</v>
      </c>
      <c r="AL22" s="23">
        <v>26.761805942551288</v>
      </c>
      <c r="AM22" s="23">
        <v>31.513571113668483</v>
      </c>
      <c r="AN22" s="23">
        <v>31.650425326439663</v>
      </c>
      <c r="AO22" s="23">
        <v>31.298564876828898</v>
      </c>
      <c r="AP22" s="23">
        <v>26.379896327079102</v>
      </c>
      <c r="AQ22" s="23">
        <v>24.103556714057888</v>
      </c>
      <c r="AR22" s="23">
        <v>15.94773858247265</v>
      </c>
      <c r="AS22" s="23">
        <v>17.324519713719692</v>
      </c>
      <c r="AT22" s="23">
        <v>26.526137722948594</v>
      </c>
      <c r="AU22" s="23">
        <v>27.018255580625226</v>
      </c>
      <c r="AV22" s="24">
        <v>25.186676594416287</v>
      </c>
      <c r="AX22" s="16">
        <v>1945</v>
      </c>
      <c r="AY22" s="25">
        <f t="shared" si="2"/>
        <v>0</v>
      </c>
      <c r="AZ22" s="25">
        <f t="shared" si="2"/>
        <v>0</v>
      </c>
      <c r="BA22" s="25">
        <f t="shared" si="2"/>
        <v>0</v>
      </c>
      <c r="BB22" s="25">
        <f t="shared" si="2"/>
        <v>0</v>
      </c>
      <c r="BC22" s="25">
        <f t="shared" si="2"/>
        <v>0</v>
      </c>
      <c r="BD22" s="25">
        <f t="shared" si="2"/>
        <v>0</v>
      </c>
      <c r="BE22" s="25">
        <f t="shared" si="2"/>
        <v>6629442.238634481</v>
      </c>
      <c r="BF22" s="25">
        <f t="shared" si="3"/>
        <v>4833245.192302887</v>
      </c>
      <c r="BG22" s="25">
        <f t="shared" si="3"/>
        <v>15495843.461999705</v>
      </c>
      <c r="BH22" s="25">
        <f t="shared" si="3"/>
        <v>8906189.09442902</v>
      </c>
      <c r="BI22" s="25">
        <f t="shared" si="3"/>
        <v>-1835396.521326259</v>
      </c>
      <c r="BJ22" s="25">
        <f t="shared" si="3"/>
        <v>486328.60045125405</v>
      </c>
      <c r="BK22" s="25">
        <f t="shared" si="4"/>
        <v>2126877.0793068176</v>
      </c>
      <c r="BL22" s="25">
        <f t="shared" si="4"/>
        <v>0</v>
      </c>
      <c r="BM22" s="26">
        <f t="shared" si="5"/>
        <v>36642529.14579791</v>
      </c>
    </row>
    <row r="23" spans="2:65" ht="15">
      <c r="B23" s="16">
        <v>1946</v>
      </c>
      <c r="C23" s="41">
        <v>5136</v>
      </c>
      <c r="D23" s="41">
        <v>6881</v>
      </c>
      <c r="E23" s="41">
        <v>7655</v>
      </c>
      <c r="F23" s="41">
        <v>8832</v>
      </c>
      <c r="G23" s="41">
        <v>8601</v>
      </c>
      <c r="H23" s="41">
        <v>9012</v>
      </c>
      <c r="I23" s="41">
        <v>10584</v>
      </c>
      <c r="J23" s="41">
        <v>12792</v>
      </c>
      <c r="K23" s="41">
        <v>12235</v>
      </c>
      <c r="L23" s="41">
        <v>10364</v>
      </c>
      <c r="M23" s="41">
        <v>10288</v>
      </c>
      <c r="N23" s="41">
        <v>7975</v>
      </c>
      <c r="O23" s="41">
        <v>7204</v>
      </c>
      <c r="P23" s="41">
        <v>6115</v>
      </c>
      <c r="Q23" s="42">
        <v>8699</v>
      </c>
      <c r="S23" s="16">
        <v>1946</v>
      </c>
      <c r="T23" s="7">
        <v>5136</v>
      </c>
      <c r="U23" s="7">
        <v>6881</v>
      </c>
      <c r="V23" s="7">
        <v>7655</v>
      </c>
      <c r="W23" s="7">
        <v>8832</v>
      </c>
      <c r="X23" s="7">
        <v>8601</v>
      </c>
      <c r="Y23" s="7">
        <v>9012</v>
      </c>
      <c r="Z23" s="7">
        <v>10025</v>
      </c>
      <c r="AA23" s="7">
        <v>11985</v>
      </c>
      <c r="AB23" s="7">
        <v>11393</v>
      </c>
      <c r="AC23" s="7">
        <v>9633</v>
      </c>
      <c r="AD23" s="7">
        <v>10338</v>
      </c>
      <c r="AE23" s="7">
        <v>7908</v>
      </c>
      <c r="AF23" s="7">
        <v>6945</v>
      </c>
      <c r="AG23" s="7">
        <v>6115</v>
      </c>
      <c r="AH23" s="8">
        <v>8501</v>
      </c>
      <c r="AJ23" s="16">
        <v>1946</v>
      </c>
      <c r="AK23" s="23">
        <v>24.056987457121576</v>
      </c>
      <c r="AL23" s="23">
        <v>25.427768221972894</v>
      </c>
      <c r="AM23" s="23">
        <v>29.090678578551117</v>
      </c>
      <c r="AN23" s="23">
        <v>26.48099461114532</v>
      </c>
      <c r="AO23" s="23">
        <v>27.410955980845888</v>
      </c>
      <c r="AP23" s="23">
        <v>23.11875625452471</v>
      </c>
      <c r="AQ23" s="23">
        <v>15.062726670155921</v>
      </c>
      <c r="AR23" s="23">
        <v>10.799902649113676</v>
      </c>
      <c r="AS23" s="23">
        <v>16.905766238106576</v>
      </c>
      <c r="AT23" s="23">
        <v>19.54567804439094</v>
      </c>
      <c r="AU23" s="23">
        <v>25.79097376792662</v>
      </c>
      <c r="AV23" s="24">
        <v>24.723567171096825</v>
      </c>
      <c r="AX23" s="16">
        <v>1946</v>
      </c>
      <c r="AY23" s="25">
        <f t="shared" si="2"/>
        <v>0</v>
      </c>
      <c r="AZ23" s="25">
        <f t="shared" si="2"/>
        <v>0</v>
      </c>
      <c r="BA23" s="25">
        <f t="shared" si="2"/>
        <v>0</v>
      </c>
      <c r="BB23" s="25">
        <f t="shared" si="2"/>
        <v>0</v>
      </c>
      <c r="BC23" s="25">
        <f t="shared" si="2"/>
        <v>0</v>
      </c>
      <c r="BD23" s="25">
        <f t="shared" si="2"/>
        <v>0</v>
      </c>
      <c r="BE23" s="25">
        <f t="shared" si="2"/>
        <v>3031223.1151021775</v>
      </c>
      <c r="BF23" s="25">
        <f t="shared" si="3"/>
        <v>4376023.352213698</v>
      </c>
      <c r="BG23" s="25">
        <f t="shared" si="3"/>
        <v>6765577.4147319645</v>
      </c>
      <c r="BH23" s="25">
        <f t="shared" si="3"/>
        <v>8897842.886440253</v>
      </c>
      <c r="BI23" s="25">
        <f t="shared" si="3"/>
        <v>-727099.223251343</v>
      </c>
      <c r="BJ23" s="25">
        <f t="shared" si="3"/>
        <v>622078.28728239</v>
      </c>
      <c r="BK23" s="25">
        <f t="shared" si="4"/>
        <v>2565067.0870629097</v>
      </c>
      <c r="BL23" s="25">
        <f t="shared" si="4"/>
        <v>0</v>
      </c>
      <c r="BM23" s="26">
        <f t="shared" si="5"/>
        <v>25530712.91958205</v>
      </c>
    </row>
    <row r="24" spans="2:65" ht="15">
      <c r="B24" s="16">
        <v>1947</v>
      </c>
      <c r="C24" s="41">
        <v>5089</v>
      </c>
      <c r="D24" s="41">
        <v>6932</v>
      </c>
      <c r="E24" s="41">
        <v>11332</v>
      </c>
      <c r="F24" s="41">
        <v>12075</v>
      </c>
      <c r="G24" s="41">
        <v>11160</v>
      </c>
      <c r="H24" s="41">
        <v>10484</v>
      </c>
      <c r="I24" s="41">
        <v>8939</v>
      </c>
      <c r="J24" s="41">
        <v>9470</v>
      </c>
      <c r="K24" s="41">
        <v>12031</v>
      </c>
      <c r="L24" s="41">
        <v>10868</v>
      </c>
      <c r="M24" s="41">
        <v>9675</v>
      </c>
      <c r="N24" s="41">
        <v>7697</v>
      </c>
      <c r="O24" s="41">
        <v>6614</v>
      </c>
      <c r="P24" s="41">
        <v>5840</v>
      </c>
      <c r="Q24" s="42">
        <v>9316</v>
      </c>
      <c r="S24" s="16">
        <v>1947</v>
      </c>
      <c r="T24" s="7">
        <v>5089</v>
      </c>
      <c r="U24" s="7">
        <v>6932</v>
      </c>
      <c r="V24" s="7">
        <v>11332</v>
      </c>
      <c r="W24" s="7">
        <v>12075</v>
      </c>
      <c r="X24" s="7">
        <v>11160</v>
      </c>
      <c r="Y24" s="7">
        <v>10484</v>
      </c>
      <c r="Z24" s="7">
        <v>8174</v>
      </c>
      <c r="AA24" s="7">
        <v>8168</v>
      </c>
      <c r="AB24" s="7">
        <v>11107</v>
      </c>
      <c r="AC24" s="7">
        <v>10164</v>
      </c>
      <c r="AD24" s="7">
        <v>9734</v>
      </c>
      <c r="AE24" s="7">
        <v>7636</v>
      </c>
      <c r="AF24" s="7">
        <v>6356</v>
      </c>
      <c r="AG24" s="7">
        <v>5840</v>
      </c>
      <c r="AH24" s="8">
        <v>9086</v>
      </c>
      <c r="AJ24" s="16">
        <v>1947</v>
      </c>
      <c r="AK24" s="23">
        <v>24.484867190545593</v>
      </c>
      <c r="AL24" s="23">
        <v>23.766154601736</v>
      </c>
      <c r="AM24" s="23">
        <v>22.93707850107586</v>
      </c>
      <c r="AN24" s="23">
        <v>23.687252921699223</v>
      </c>
      <c r="AO24" s="23">
        <v>23.0531187568392</v>
      </c>
      <c r="AP24" s="23">
        <v>20.614270042490688</v>
      </c>
      <c r="AQ24" s="23">
        <v>18.211578635109795</v>
      </c>
      <c r="AR24" s="23">
        <v>13.935392353451407</v>
      </c>
      <c r="AS24" s="23">
        <v>17.787340282069323</v>
      </c>
      <c r="AT24" s="23">
        <v>22.344491422304557</v>
      </c>
      <c r="AU24" s="23">
        <v>26.608935972182955</v>
      </c>
      <c r="AV24" s="24">
        <v>25.744163152376778</v>
      </c>
      <c r="AX24" s="16">
        <v>1947</v>
      </c>
      <c r="AY24" s="25">
        <f t="shared" si="2"/>
        <v>0</v>
      </c>
      <c r="AZ24" s="25">
        <f t="shared" si="2"/>
        <v>0</v>
      </c>
      <c r="BA24" s="25">
        <f t="shared" si="2"/>
        <v>0</v>
      </c>
      <c r="BB24" s="25">
        <f t="shared" si="2"/>
        <v>0</v>
      </c>
      <c r="BC24" s="25">
        <f t="shared" si="2"/>
        <v>0</v>
      </c>
      <c r="BD24" s="25">
        <f t="shared" si="2"/>
        <v>0</v>
      </c>
      <c r="BE24" s="25">
        <f t="shared" si="2"/>
        <v>5015468.756109238</v>
      </c>
      <c r="BF24" s="25">
        <f t="shared" si="3"/>
        <v>8536131.137848664</v>
      </c>
      <c r="BG24" s="25">
        <f t="shared" si="3"/>
        <v>9579969.085734291</v>
      </c>
      <c r="BH24" s="25">
        <f t="shared" si="3"/>
        <v>9016047.042175299</v>
      </c>
      <c r="BI24" s="25">
        <f t="shared" si="3"/>
        <v>-980833.7954734808</v>
      </c>
      <c r="BJ24" s="25">
        <f t="shared" si="3"/>
        <v>584332.2339491377</v>
      </c>
      <c r="BK24" s="25">
        <f t="shared" si="4"/>
        <v>2636200.50463611</v>
      </c>
      <c r="BL24" s="25">
        <f t="shared" si="4"/>
        <v>0</v>
      </c>
      <c r="BM24" s="26">
        <f t="shared" si="5"/>
        <v>34387314.96497925</v>
      </c>
    </row>
    <row r="25" spans="2:65" ht="15">
      <c r="B25" s="16">
        <v>1948</v>
      </c>
      <c r="C25" s="41">
        <v>8098</v>
      </c>
      <c r="D25" s="41">
        <v>8500</v>
      </c>
      <c r="E25" s="41">
        <v>9664</v>
      </c>
      <c r="F25" s="41">
        <v>11675</v>
      </c>
      <c r="G25" s="41">
        <v>9829</v>
      </c>
      <c r="H25" s="41">
        <v>9165</v>
      </c>
      <c r="I25" s="41">
        <v>8205</v>
      </c>
      <c r="J25" s="41">
        <v>11132</v>
      </c>
      <c r="K25" s="41">
        <v>13375</v>
      </c>
      <c r="L25" s="41">
        <v>13472</v>
      </c>
      <c r="M25" s="41">
        <v>10855</v>
      </c>
      <c r="N25" s="41">
        <v>9992</v>
      </c>
      <c r="O25" s="41">
        <v>8877</v>
      </c>
      <c r="P25" s="41">
        <v>6485</v>
      </c>
      <c r="Q25" s="42">
        <v>10023</v>
      </c>
      <c r="S25" s="16">
        <v>1948</v>
      </c>
      <c r="T25" s="7">
        <v>8098</v>
      </c>
      <c r="U25" s="7">
        <v>8500</v>
      </c>
      <c r="V25" s="7">
        <v>9664</v>
      </c>
      <c r="W25" s="7">
        <v>11675</v>
      </c>
      <c r="X25" s="7">
        <v>9829</v>
      </c>
      <c r="Y25" s="7">
        <v>9165</v>
      </c>
      <c r="Z25" s="7">
        <v>7384</v>
      </c>
      <c r="AA25" s="7">
        <v>9973</v>
      </c>
      <c r="AB25" s="7">
        <v>13289</v>
      </c>
      <c r="AC25" s="7">
        <v>13446</v>
      </c>
      <c r="AD25" s="7">
        <v>10938</v>
      </c>
      <c r="AE25" s="7">
        <v>9922</v>
      </c>
      <c r="AF25" s="7">
        <v>8577</v>
      </c>
      <c r="AG25" s="7">
        <v>6485</v>
      </c>
      <c r="AH25" s="8">
        <v>9924</v>
      </c>
      <c r="AJ25" s="16">
        <v>1948</v>
      </c>
      <c r="AK25" s="23">
        <v>19.701278608076024</v>
      </c>
      <c r="AL25" s="23">
        <v>23.943244494148498</v>
      </c>
      <c r="AM25" s="23">
        <v>27.38648070776335</v>
      </c>
      <c r="AN25" s="23">
        <v>23.975183275694494</v>
      </c>
      <c r="AO25" s="23">
        <v>26.150181307111488</v>
      </c>
      <c r="AP25" s="23">
        <v>22.928951314577027</v>
      </c>
      <c r="AQ25" s="23">
        <v>19.17962890042199</v>
      </c>
      <c r="AR25" s="23">
        <v>6.237728088401179</v>
      </c>
      <c r="AS25" s="23">
        <v>5.347955519788796</v>
      </c>
      <c r="AT25" s="23">
        <v>19.231489257915023</v>
      </c>
      <c r="AU25" s="23">
        <v>21.967561702574464</v>
      </c>
      <c r="AV25" s="24">
        <v>24.149652056693988</v>
      </c>
      <c r="AX25" s="16">
        <v>1948</v>
      </c>
      <c r="AY25" s="25">
        <f t="shared" si="2"/>
        <v>0</v>
      </c>
      <c r="AZ25" s="25">
        <f t="shared" si="2"/>
        <v>0</v>
      </c>
      <c r="BA25" s="25">
        <f t="shared" si="2"/>
        <v>0</v>
      </c>
      <c r="BB25" s="25">
        <f t="shared" si="2"/>
        <v>0</v>
      </c>
      <c r="BC25" s="25">
        <f t="shared" si="2"/>
        <v>0</v>
      </c>
      <c r="BD25" s="25">
        <f t="shared" si="2"/>
        <v>0</v>
      </c>
      <c r="BE25" s="25">
        <f t="shared" si="2"/>
        <v>5668731.117808723</v>
      </c>
      <c r="BF25" s="25">
        <f t="shared" si="3"/>
        <v>8002508.362412071</v>
      </c>
      <c r="BG25" s="25">
        <f t="shared" si="3"/>
        <v>399114.79400826106</v>
      </c>
      <c r="BH25" s="25">
        <f t="shared" si="3"/>
        <v>100113.72733044626</v>
      </c>
      <c r="BI25" s="25">
        <f t="shared" si="3"/>
        <v>-1187582.9246547685</v>
      </c>
      <c r="BJ25" s="25">
        <f t="shared" si="3"/>
        <v>553582.5549048765</v>
      </c>
      <c r="BK25" s="25">
        <f t="shared" si="4"/>
        <v>2530663.1081365785</v>
      </c>
      <c r="BL25" s="25">
        <f t="shared" si="4"/>
        <v>0</v>
      </c>
      <c r="BM25" s="26">
        <f t="shared" si="5"/>
        <v>16067130.739946187</v>
      </c>
    </row>
    <row r="26" spans="2:65" ht="15">
      <c r="B26" s="16">
        <v>1949</v>
      </c>
      <c r="C26" s="41">
        <v>5658</v>
      </c>
      <c r="D26" s="41">
        <v>6632</v>
      </c>
      <c r="E26" s="41">
        <v>7924</v>
      </c>
      <c r="F26" s="41">
        <v>9117</v>
      </c>
      <c r="G26" s="41">
        <v>8120</v>
      </c>
      <c r="H26" s="41">
        <v>10269</v>
      </c>
      <c r="I26" s="41">
        <v>9176</v>
      </c>
      <c r="J26" s="41">
        <v>11727</v>
      </c>
      <c r="K26" s="41">
        <v>12560</v>
      </c>
      <c r="L26" s="41">
        <v>10618</v>
      </c>
      <c r="M26" s="41">
        <v>6383</v>
      </c>
      <c r="N26" s="41">
        <v>6122</v>
      </c>
      <c r="O26" s="41">
        <v>5146</v>
      </c>
      <c r="P26" s="41">
        <v>5513</v>
      </c>
      <c r="Q26" s="42">
        <v>8239</v>
      </c>
      <c r="S26" s="16">
        <v>1949</v>
      </c>
      <c r="T26" s="7">
        <v>5658</v>
      </c>
      <c r="U26" s="7">
        <v>6632</v>
      </c>
      <c r="V26" s="7">
        <v>7924</v>
      </c>
      <c r="W26" s="7">
        <v>9117</v>
      </c>
      <c r="X26" s="7">
        <v>8120</v>
      </c>
      <c r="Y26" s="7">
        <v>10269</v>
      </c>
      <c r="Z26" s="7">
        <v>8447</v>
      </c>
      <c r="AA26" s="7">
        <v>10722</v>
      </c>
      <c r="AB26" s="7">
        <v>12114</v>
      </c>
      <c r="AC26" s="7">
        <v>9927</v>
      </c>
      <c r="AD26" s="7">
        <v>6432</v>
      </c>
      <c r="AE26" s="7">
        <v>6077</v>
      </c>
      <c r="AF26" s="7">
        <v>4976</v>
      </c>
      <c r="AG26" s="7">
        <v>5513</v>
      </c>
      <c r="AH26" s="8">
        <v>8068</v>
      </c>
      <c r="AJ26" s="16">
        <v>1949</v>
      </c>
      <c r="AK26" s="23">
        <v>23.79605959384669</v>
      </c>
      <c r="AL26" s="23">
        <v>26.83160151952513</v>
      </c>
      <c r="AM26" s="23">
        <v>28.839551903611845</v>
      </c>
      <c r="AN26" s="23">
        <v>26.687961828067724</v>
      </c>
      <c r="AO26" s="23">
        <v>26.208696433476028</v>
      </c>
      <c r="AP26" s="23">
        <v>19.607504584811704</v>
      </c>
      <c r="AQ26" s="23">
        <v>15.848710355758637</v>
      </c>
      <c r="AR26" s="23">
        <v>8.200181412418441</v>
      </c>
      <c r="AS26" s="23">
        <v>15.711555377973433</v>
      </c>
      <c r="AT26" s="23">
        <v>25.51280668192013</v>
      </c>
      <c r="AU26" s="23">
        <v>26.744122401360528</v>
      </c>
      <c r="AV26" s="24">
        <v>24.824531561533583</v>
      </c>
      <c r="AX26" s="16">
        <v>1949</v>
      </c>
      <c r="AY26" s="25">
        <f t="shared" si="2"/>
        <v>0</v>
      </c>
      <c r="AZ26" s="25">
        <f t="shared" si="2"/>
        <v>0</v>
      </c>
      <c r="BA26" s="25">
        <f t="shared" si="2"/>
        <v>0</v>
      </c>
      <c r="BB26" s="25">
        <f t="shared" si="2"/>
        <v>0</v>
      </c>
      <c r="BC26" s="25">
        <f t="shared" si="2"/>
        <v>0</v>
      </c>
      <c r="BD26" s="25">
        <f t="shared" si="2"/>
        <v>0</v>
      </c>
      <c r="BE26" s="25">
        <f t="shared" si="2"/>
        <v>4159335.5457652966</v>
      </c>
      <c r="BF26" s="25">
        <f t="shared" si="3"/>
        <v>5734063.406713475</v>
      </c>
      <c r="BG26" s="25">
        <f t="shared" si="3"/>
        <v>2721016.996994337</v>
      </c>
      <c r="BH26" s="25">
        <f t="shared" si="3"/>
        <v>7816813.031649342</v>
      </c>
      <c r="BI26" s="25">
        <f t="shared" si="3"/>
        <v>-930094.8803960802</v>
      </c>
      <c r="BJ26" s="25">
        <f t="shared" si="3"/>
        <v>433254.7829020406</v>
      </c>
      <c r="BK26" s="25">
        <f t="shared" si="4"/>
        <v>1745856.3103608154</v>
      </c>
      <c r="BL26" s="25">
        <f t="shared" si="4"/>
        <v>0</v>
      </c>
      <c r="BM26" s="26">
        <f t="shared" si="5"/>
        <v>21680245.193989225</v>
      </c>
    </row>
    <row r="27" spans="2:65" ht="15">
      <c r="B27" s="16">
        <v>1950</v>
      </c>
      <c r="C27" s="41">
        <v>5062</v>
      </c>
      <c r="D27" s="41">
        <v>6576</v>
      </c>
      <c r="E27" s="41">
        <v>7368</v>
      </c>
      <c r="F27" s="41">
        <v>11351</v>
      </c>
      <c r="G27" s="41">
        <v>11786</v>
      </c>
      <c r="H27" s="41">
        <v>10411</v>
      </c>
      <c r="I27" s="41">
        <v>10794</v>
      </c>
      <c r="J27" s="41">
        <v>10461</v>
      </c>
      <c r="K27" s="41">
        <v>10880</v>
      </c>
      <c r="L27" s="41">
        <v>13390</v>
      </c>
      <c r="M27" s="41">
        <v>12522</v>
      </c>
      <c r="N27" s="41">
        <v>9907</v>
      </c>
      <c r="O27" s="41">
        <v>8677</v>
      </c>
      <c r="P27" s="41">
        <v>6254</v>
      </c>
      <c r="Q27" s="42">
        <v>9612</v>
      </c>
      <c r="S27" s="16">
        <v>1950</v>
      </c>
      <c r="T27" s="7">
        <v>5062</v>
      </c>
      <c r="U27" s="7">
        <v>6576</v>
      </c>
      <c r="V27" s="7">
        <v>7368</v>
      </c>
      <c r="W27" s="7">
        <v>11351</v>
      </c>
      <c r="X27" s="7">
        <v>11786</v>
      </c>
      <c r="Y27" s="7">
        <v>10411</v>
      </c>
      <c r="Z27" s="7">
        <v>10322</v>
      </c>
      <c r="AA27" s="7">
        <v>9326</v>
      </c>
      <c r="AB27" s="7">
        <v>9765</v>
      </c>
      <c r="AC27" s="7">
        <v>13050</v>
      </c>
      <c r="AD27" s="7">
        <v>12445</v>
      </c>
      <c r="AE27" s="7">
        <v>9857</v>
      </c>
      <c r="AF27" s="7">
        <v>8388</v>
      </c>
      <c r="AG27" s="7">
        <v>6254</v>
      </c>
      <c r="AH27" s="8">
        <v>9402</v>
      </c>
      <c r="AJ27" s="16">
        <v>1950</v>
      </c>
      <c r="AK27" s="23">
        <v>25.26296585682898</v>
      </c>
      <c r="AL27" s="23">
        <v>26.46292560341953</v>
      </c>
      <c r="AM27" s="23">
        <v>30.717768419429806</v>
      </c>
      <c r="AN27" s="23">
        <v>24.162369213822096</v>
      </c>
      <c r="AO27" s="23">
        <v>23.064385914802557</v>
      </c>
      <c r="AP27" s="23">
        <v>20.084098098063066</v>
      </c>
      <c r="AQ27" s="23">
        <v>14.805386170546184</v>
      </c>
      <c r="AR27" s="23">
        <v>14.132447824074402</v>
      </c>
      <c r="AS27" s="23">
        <v>2.681338348653569</v>
      </c>
      <c r="AT27" s="23">
        <v>10.771605438909324</v>
      </c>
      <c r="AU27" s="23">
        <v>22.574955381885673</v>
      </c>
      <c r="AV27" s="24">
        <v>25.65603395144146</v>
      </c>
      <c r="AX27" s="16">
        <v>1950</v>
      </c>
      <c r="AY27" s="25">
        <f t="shared" si="2"/>
        <v>0</v>
      </c>
      <c r="AZ27" s="25">
        <f t="shared" si="2"/>
        <v>0</v>
      </c>
      <c r="BA27" s="25">
        <f t="shared" si="2"/>
        <v>0</v>
      </c>
      <c r="BB27" s="25">
        <f t="shared" si="2"/>
        <v>0</v>
      </c>
      <c r="BC27" s="25">
        <f t="shared" si="2"/>
        <v>0</v>
      </c>
      <c r="BD27" s="25">
        <f t="shared" si="2"/>
        <v>0</v>
      </c>
      <c r="BE27" s="25">
        <f t="shared" si="2"/>
        <v>2515731.2180992076</v>
      </c>
      <c r="BF27" s="25">
        <f t="shared" si="3"/>
        <v>6049480.789285171</v>
      </c>
      <c r="BG27" s="25">
        <f t="shared" si="3"/>
        <v>11723713.416939162</v>
      </c>
      <c r="BH27" s="25">
        <f t="shared" si="3"/>
        <v>656391.6277503937</v>
      </c>
      <c r="BI27" s="25">
        <f t="shared" si="3"/>
        <v>617083.7323842373</v>
      </c>
      <c r="BJ27" s="25">
        <f t="shared" si="3"/>
        <v>406349.1968739421</v>
      </c>
      <c r="BK27" s="25">
        <f t="shared" si="4"/>
        <v>2505278.2484601443</v>
      </c>
      <c r="BL27" s="25">
        <f t="shared" si="4"/>
        <v>0</v>
      </c>
      <c r="BM27" s="26">
        <f t="shared" si="5"/>
        <v>24474028.229792256</v>
      </c>
    </row>
    <row r="28" spans="2:65" ht="15">
      <c r="B28" s="16">
        <v>1951</v>
      </c>
      <c r="C28" s="41">
        <v>6345</v>
      </c>
      <c r="D28" s="41">
        <v>8890</v>
      </c>
      <c r="E28" s="41">
        <v>11476</v>
      </c>
      <c r="F28" s="41">
        <v>13493</v>
      </c>
      <c r="G28" s="41">
        <v>13240</v>
      </c>
      <c r="H28" s="41">
        <v>13296</v>
      </c>
      <c r="I28" s="41">
        <v>11349</v>
      </c>
      <c r="J28" s="41">
        <v>11370</v>
      </c>
      <c r="K28" s="41">
        <v>12251</v>
      </c>
      <c r="L28" s="41">
        <v>10683</v>
      </c>
      <c r="M28" s="41">
        <v>11036</v>
      </c>
      <c r="N28" s="41">
        <v>8236</v>
      </c>
      <c r="O28" s="41">
        <v>6624</v>
      </c>
      <c r="P28" s="41">
        <v>5896</v>
      </c>
      <c r="Q28" s="42">
        <v>10438</v>
      </c>
      <c r="S28" s="16">
        <v>1951</v>
      </c>
      <c r="T28" s="7">
        <v>6345</v>
      </c>
      <c r="U28" s="7">
        <v>8890</v>
      </c>
      <c r="V28" s="7">
        <v>11476</v>
      </c>
      <c r="W28" s="7">
        <v>13493</v>
      </c>
      <c r="X28" s="7">
        <v>13240</v>
      </c>
      <c r="Y28" s="7">
        <v>13296</v>
      </c>
      <c r="Z28" s="7">
        <v>10901</v>
      </c>
      <c r="AA28" s="7">
        <v>10473</v>
      </c>
      <c r="AB28" s="7">
        <v>11361</v>
      </c>
      <c r="AC28" s="7">
        <v>9995</v>
      </c>
      <c r="AD28" s="7">
        <v>11103</v>
      </c>
      <c r="AE28" s="7">
        <v>8178</v>
      </c>
      <c r="AF28" s="7">
        <v>6364</v>
      </c>
      <c r="AG28" s="7">
        <v>5896</v>
      </c>
      <c r="AH28" s="8">
        <v>10243</v>
      </c>
      <c r="AJ28" s="16">
        <v>1951</v>
      </c>
      <c r="AK28" s="23">
        <v>22.512797965541967</v>
      </c>
      <c r="AL28" s="23">
        <v>22.88130162602158</v>
      </c>
      <c r="AM28" s="23">
        <v>23.323098693611822</v>
      </c>
      <c r="AN28" s="23">
        <v>21.697077950354547</v>
      </c>
      <c r="AO28" s="23">
        <v>19.80870122079336</v>
      </c>
      <c r="AP28" s="23">
        <v>16.593040128960777</v>
      </c>
      <c r="AQ28" s="23">
        <v>14.566234176423833</v>
      </c>
      <c r="AR28" s="23">
        <v>10.823546849463558</v>
      </c>
      <c r="AS28" s="23">
        <v>17.455138166745503</v>
      </c>
      <c r="AT28" s="23">
        <v>19.359027089226647</v>
      </c>
      <c r="AU28" s="23">
        <v>26.107583021348486</v>
      </c>
      <c r="AV28" s="24">
        <v>25.245180179278083</v>
      </c>
      <c r="AX28" s="16">
        <v>1951</v>
      </c>
      <c r="AY28" s="25">
        <f t="shared" si="2"/>
        <v>0</v>
      </c>
      <c r="AZ28" s="25">
        <f t="shared" si="2"/>
        <v>0</v>
      </c>
      <c r="BA28" s="25">
        <f t="shared" si="2"/>
        <v>0</v>
      </c>
      <c r="BB28" s="25">
        <f t="shared" si="2"/>
        <v>0</v>
      </c>
      <c r="BC28" s="25">
        <f t="shared" si="2"/>
        <v>0</v>
      </c>
      <c r="BD28" s="25">
        <f t="shared" si="2"/>
        <v>0</v>
      </c>
      <c r="BE28" s="25">
        <f t="shared" si="2"/>
        <v>2349242.247973636</v>
      </c>
      <c r="BF28" s="25">
        <f t="shared" si="3"/>
        <v>4703728.3402507845</v>
      </c>
      <c r="BG28" s="25">
        <f t="shared" si="3"/>
        <v>7166919.781840789</v>
      </c>
      <c r="BH28" s="25">
        <f t="shared" si="3"/>
        <v>8646577.242279053</v>
      </c>
      <c r="BI28" s="25">
        <f t="shared" si="3"/>
        <v>-965008.7823437699</v>
      </c>
      <c r="BJ28" s="25">
        <f t="shared" si="3"/>
        <v>545126.3334857564</v>
      </c>
      <c r="BK28" s="25">
        <f t="shared" si="4"/>
        <v>2606581.088851433</v>
      </c>
      <c r="BL28" s="25">
        <f t="shared" si="4"/>
        <v>0</v>
      </c>
      <c r="BM28" s="26">
        <f t="shared" si="5"/>
        <v>25053166.25233768</v>
      </c>
    </row>
    <row r="29" spans="2:65" ht="15">
      <c r="B29" s="16">
        <v>1952</v>
      </c>
      <c r="C29" s="41">
        <v>7462</v>
      </c>
      <c r="D29" s="41">
        <v>7648</v>
      </c>
      <c r="E29" s="41">
        <v>9663</v>
      </c>
      <c r="F29" s="41">
        <v>11343</v>
      </c>
      <c r="G29" s="41">
        <v>10256</v>
      </c>
      <c r="H29" s="41">
        <v>9200</v>
      </c>
      <c r="I29" s="41">
        <v>11061</v>
      </c>
      <c r="J29" s="41">
        <v>13176</v>
      </c>
      <c r="K29" s="41">
        <v>13606</v>
      </c>
      <c r="L29" s="41">
        <v>11245</v>
      </c>
      <c r="M29" s="41">
        <v>9347</v>
      </c>
      <c r="N29" s="41">
        <v>7598</v>
      </c>
      <c r="O29" s="41">
        <v>6200</v>
      </c>
      <c r="P29" s="41">
        <v>5087</v>
      </c>
      <c r="Q29" s="42">
        <v>9488</v>
      </c>
      <c r="S29" s="16">
        <v>1952</v>
      </c>
      <c r="T29" s="7">
        <v>7462</v>
      </c>
      <c r="U29" s="7">
        <v>7648</v>
      </c>
      <c r="V29" s="7">
        <v>9663</v>
      </c>
      <c r="W29" s="7">
        <v>11343</v>
      </c>
      <c r="X29" s="7">
        <v>10256</v>
      </c>
      <c r="Y29" s="7">
        <v>9200</v>
      </c>
      <c r="Z29" s="7">
        <v>10636</v>
      </c>
      <c r="AA29" s="7">
        <v>12814</v>
      </c>
      <c r="AB29" s="7">
        <v>13284</v>
      </c>
      <c r="AC29" s="7">
        <v>10534</v>
      </c>
      <c r="AD29" s="7">
        <v>9438</v>
      </c>
      <c r="AE29" s="7">
        <v>7547</v>
      </c>
      <c r="AF29" s="7">
        <v>5923</v>
      </c>
      <c r="AG29" s="7">
        <v>5087</v>
      </c>
      <c r="AH29" s="8">
        <v>9364</v>
      </c>
      <c r="AJ29" s="16">
        <v>1952</v>
      </c>
      <c r="AK29" s="23">
        <v>20.32808128172354</v>
      </c>
      <c r="AL29" s="23">
        <v>24.172060472525423</v>
      </c>
      <c r="AM29" s="23">
        <v>25.613775087171966</v>
      </c>
      <c r="AN29" s="23">
        <v>24.715749780080642</v>
      </c>
      <c r="AO29" s="23">
        <v>24.09437052862986</v>
      </c>
      <c r="AP29" s="23">
        <v>22.695777277959316</v>
      </c>
      <c r="AQ29" s="23">
        <v>13.661805508269213</v>
      </c>
      <c r="AR29" s="23">
        <v>3.917303100668935</v>
      </c>
      <c r="AS29" s="23">
        <v>15.7647822168138</v>
      </c>
      <c r="AT29" s="23">
        <v>21.18005010286968</v>
      </c>
      <c r="AU29" s="23">
        <v>25.309606449834778</v>
      </c>
      <c r="AV29" s="24">
        <v>25.663614420890767</v>
      </c>
      <c r="AX29" s="16">
        <v>1952</v>
      </c>
      <c r="AY29" s="25">
        <f t="shared" si="2"/>
        <v>0</v>
      </c>
      <c r="AZ29" s="25">
        <f t="shared" si="2"/>
        <v>0</v>
      </c>
      <c r="BA29" s="25">
        <f t="shared" si="2"/>
        <v>0</v>
      </c>
      <c r="BB29" s="25">
        <f t="shared" si="2"/>
        <v>0</v>
      </c>
      <c r="BC29" s="25">
        <f t="shared" si="2"/>
        <v>0</v>
      </c>
      <c r="BD29" s="25">
        <f t="shared" si="2"/>
        <v>0</v>
      </c>
      <c r="BE29" s="25">
        <f t="shared" si="2"/>
        <v>2090256.2427651896</v>
      </c>
      <c r="BF29" s="25">
        <f t="shared" si="3"/>
        <v>1780406.4938376439</v>
      </c>
      <c r="BG29" s="25">
        <f t="shared" si="3"/>
        <v>938460.4692210554</v>
      </c>
      <c r="BH29" s="25">
        <f t="shared" si="3"/>
        <v>8070307.312431321</v>
      </c>
      <c r="BI29" s="25">
        <f t="shared" si="3"/>
        <v>-1433974.1121646888</v>
      </c>
      <c r="BJ29" s="25">
        <f t="shared" si="3"/>
        <v>464684.37441896653</v>
      </c>
      <c r="BK29" s="25">
        <f t="shared" si="4"/>
        <v>2692132.2188560255</v>
      </c>
      <c r="BL29" s="25">
        <f t="shared" si="4"/>
        <v>0</v>
      </c>
      <c r="BM29" s="26">
        <f t="shared" si="5"/>
        <v>14602272.999365512</v>
      </c>
    </row>
    <row r="30" spans="2:65" ht="15">
      <c r="B30" s="16">
        <v>1953</v>
      </c>
      <c r="C30" s="41">
        <v>5199</v>
      </c>
      <c r="D30" s="41">
        <v>6598</v>
      </c>
      <c r="E30" s="41">
        <v>6600</v>
      </c>
      <c r="F30" s="41">
        <v>8025</v>
      </c>
      <c r="G30" s="41">
        <v>9260</v>
      </c>
      <c r="H30" s="41">
        <v>8163</v>
      </c>
      <c r="I30" s="41">
        <v>6527</v>
      </c>
      <c r="J30" s="41">
        <v>7894</v>
      </c>
      <c r="K30" s="41">
        <v>10184</v>
      </c>
      <c r="L30" s="41">
        <v>13930</v>
      </c>
      <c r="M30" s="41">
        <v>11745</v>
      </c>
      <c r="N30" s="41">
        <v>8242</v>
      </c>
      <c r="O30" s="41">
        <v>7262</v>
      </c>
      <c r="P30" s="41">
        <v>5955</v>
      </c>
      <c r="Q30" s="42">
        <v>8376</v>
      </c>
      <c r="S30" s="16">
        <v>1953</v>
      </c>
      <c r="T30" s="7">
        <v>5199</v>
      </c>
      <c r="U30" s="7">
        <v>6598</v>
      </c>
      <c r="V30" s="7">
        <v>6600</v>
      </c>
      <c r="W30" s="7">
        <v>8025</v>
      </c>
      <c r="X30" s="7">
        <v>9260</v>
      </c>
      <c r="Y30" s="7">
        <v>8163</v>
      </c>
      <c r="Z30" s="7">
        <v>5623</v>
      </c>
      <c r="AA30" s="7">
        <v>6479</v>
      </c>
      <c r="AB30" s="7">
        <v>8941</v>
      </c>
      <c r="AC30" s="7">
        <v>13681</v>
      </c>
      <c r="AD30" s="7">
        <v>11865</v>
      </c>
      <c r="AE30" s="7">
        <v>8192</v>
      </c>
      <c r="AF30" s="7">
        <v>6984</v>
      </c>
      <c r="AG30" s="7">
        <v>5955</v>
      </c>
      <c r="AH30" s="8">
        <v>8151</v>
      </c>
      <c r="AJ30" s="16">
        <v>1953</v>
      </c>
      <c r="AK30" s="23">
        <v>24.647402473418985</v>
      </c>
      <c r="AL30" s="23">
        <v>26.851717909728247</v>
      </c>
      <c r="AM30" s="23">
        <v>30.846389554136515</v>
      </c>
      <c r="AN30" s="23">
        <v>27.117745092863696</v>
      </c>
      <c r="AO30" s="23">
        <v>24.516078046390014</v>
      </c>
      <c r="AP30" s="23">
        <v>22.771991806781134</v>
      </c>
      <c r="AQ30" s="23">
        <v>20.178349355591664</v>
      </c>
      <c r="AR30" s="23">
        <v>15.231868959114093</v>
      </c>
      <c r="AS30" s="23">
        <v>1.9927925529165413</v>
      </c>
      <c r="AT30" s="23">
        <v>16.52126715513323</v>
      </c>
      <c r="AU30" s="23">
        <v>24.293585659611626</v>
      </c>
      <c r="AV30" s="24">
        <v>24.072074864705364</v>
      </c>
      <c r="AX30" s="16">
        <v>1953</v>
      </c>
      <c r="AY30" s="25">
        <f t="shared" si="2"/>
        <v>0</v>
      </c>
      <c r="AZ30" s="25">
        <f t="shared" si="2"/>
        <v>0</v>
      </c>
      <c r="BA30" s="25">
        <f t="shared" si="2"/>
        <v>0</v>
      </c>
      <c r="BB30" s="25">
        <f t="shared" si="2"/>
        <v>0</v>
      </c>
      <c r="BC30" s="25">
        <f t="shared" si="2"/>
        <v>0</v>
      </c>
      <c r="BD30" s="25">
        <f t="shared" si="2"/>
        <v>0</v>
      </c>
      <c r="BE30" s="25">
        <f t="shared" si="2"/>
        <v>6566842.014283751</v>
      </c>
      <c r="BF30" s="25">
        <f t="shared" si="3"/>
        <v>10278851.161738394</v>
      </c>
      <c r="BG30" s="25">
        <f t="shared" si="3"/>
        <v>14086310.55843704</v>
      </c>
      <c r="BH30" s="25">
        <f t="shared" si="3"/>
        <v>357267.84888687753</v>
      </c>
      <c r="BI30" s="25">
        <f t="shared" si="3"/>
        <v>-1475018.731610295</v>
      </c>
      <c r="BJ30" s="25">
        <f t="shared" si="3"/>
        <v>437284.5418730093</v>
      </c>
      <c r="BK30" s="25">
        <f t="shared" si="4"/>
        <v>2593388.8563348604</v>
      </c>
      <c r="BL30" s="25">
        <f t="shared" si="4"/>
        <v>0</v>
      </c>
      <c r="BM30" s="26">
        <f t="shared" si="5"/>
        <v>32844926.249943636</v>
      </c>
    </row>
    <row r="31" spans="2:65" ht="15">
      <c r="B31" s="16">
        <v>1954</v>
      </c>
      <c r="C31" s="41">
        <v>5583</v>
      </c>
      <c r="D31" s="41">
        <v>6944</v>
      </c>
      <c r="E31" s="41">
        <v>8793</v>
      </c>
      <c r="F31" s="41">
        <v>11056</v>
      </c>
      <c r="G31" s="41">
        <v>10836</v>
      </c>
      <c r="H31" s="41">
        <v>10498</v>
      </c>
      <c r="I31" s="41">
        <v>8357</v>
      </c>
      <c r="J31" s="41">
        <v>9452</v>
      </c>
      <c r="K31" s="41">
        <v>11994</v>
      </c>
      <c r="L31" s="41">
        <v>12383</v>
      </c>
      <c r="M31" s="41">
        <v>12505</v>
      </c>
      <c r="N31" s="41">
        <v>10431</v>
      </c>
      <c r="O31" s="41">
        <v>10110</v>
      </c>
      <c r="P31" s="41">
        <v>8617</v>
      </c>
      <c r="Q31" s="42">
        <v>9864</v>
      </c>
      <c r="S31" s="16">
        <v>1954</v>
      </c>
      <c r="T31" s="7">
        <v>5583</v>
      </c>
      <c r="U31" s="7">
        <v>6944</v>
      </c>
      <c r="V31" s="7">
        <v>8793</v>
      </c>
      <c r="W31" s="7">
        <v>11056</v>
      </c>
      <c r="X31" s="7">
        <v>10836</v>
      </c>
      <c r="Y31" s="7">
        <v>10498</v>
      </c>
      <c r="Z31" s="7">
        <v>7572</v>
      </c>
      <c r="AA31" s="7">
        <v>8168</v>
      </c>
      <c r="AB31" s="7">
        <v>10935</v>
      </c>
      <c r="AC31" s="7">
        <v>11788</v>
      </c>
      <c r="AD31" s="7">
        <v>12423</v>
      </c>
      <c r="AE31" s="7">
        <v>10346</v>
      </c>
      <c r="AF31" s="7">
        <v>9802</v>
      </c>
      <c r="AG31" s="7">
        <v>8617</v>
      </c>
      <c r="AH31" s="8">
        <v>9616</v>
      </c>
      <c r="AJ31" s="16">
        <v>1954</v>
      </c>
      <c r="AK31" s="23">
        <v>22.908608953414426</v>
      </c>
      <c r="AL31" s="23">
        <v>24.193119309910763</v>
      </c>
      <c r="AM31" s="23">
        <v>25.365733557875423</v>
      </c>
      <c r="AN31" s="23">
        <v>22.632909659672833</v>
      </c>
      <c r="AO31" s="23">
        <v>23.364806369372744</v>
      </c>
      <c r="AP31" s="23">
        <v>19.79433551129867</v>
      </c>
      <c r="AQ31" s="23">
        <v>17.97696698268254</v>
      </c>
      <c r="AR31" s="23">
        <v>13.432316372365314</v>
      </c>
      <c r="AS31" s="23">
        <v>12.585784394211228</v>
      </c>
      <c r="AT31" s="23">
        <v>12.498491813594915</v>
      </c>
      <c r="AU31" s="23">
        <v>20.717479158986002</v>
      </c>
      <c r="AV31" s="24">
        <v>20.60872201601662</v>
      </c>
      <c r="AX31" s="16">
        <v>1954</v>
      </c>
      <c r="AY31" s="25">
        <f t="shared" si="2"/>
        <v>0</v>
      </c>
      <c r="AZ31" s="25">
        <f t="shared" si="2"/>
        <v>0</v>
      </c>
      <c r="BA31" s="25">
        <f t="shared" si="2"/>
        <v>0</v>
      </c>
      <c r="BB31" s="25">
        <f t="shared" si="2"/>
        <v>0</v>
      </c>
      <c r="BC31" s="25">
        <f t="shared" si="2"/>
        <v>0</v>
      </c>
      <c r="BD31" s="25">
        <f t="shared" si="2"/>
        <v>0</v>
      </c>
      <c r="BE31" s="25">
        <f t="shared" si="2"/>
        <v>5080290.869306086</v>
      </c>
      <c r="BF31" s="25">
        <f t="shared" si="3"/>
        <v>8309673.218075178</v>
      </c>
      <c r="BG31" s="25">
        <f t="shared" si="3"/>
        <v>10583268.340521142</v>
      </c>
      <c r="BH31" s="25">
        <f t="shared" si="3"/>
        <v>5391750.03448009</v>
      </c>
      <c r="BI31" s="25">
        <f t="shared" si="3"/>
        <v>762507.9885637986</v>
      </c>
      <c r="BJ31" s="25">
        <f t="shared" si="3"/>
        <v>633954.8622649717</v>
      </c>
      <c r="BK31" s="25">
        <f t="shared" si="4"/>
        <v>2450297.6950915926</v>
      </c>
      <c r="BL31" s="25">
        <f t="shared" si="4"/>
        <v>0</v>
      </c>
      <c r="BM31" s="26">
        <f t="shared" si="5"/>
        <v>33211743.00830286</v>
      </c>
    </row>
    <row r="32" spans="2:65" ht="15">
      <c r="B32" s="16">
        <v>1955</v>
      </c>
      <c r="C32" s="41">
        <v>5688</v>
      </c>
      <c r="D32" s="41">
        <v>7884</v>
      </c>
      <c r="E32" s="41">
        <v>8936</v>
      </c>
      <c r="F32" s="41">
        <v>7838</v>
      </c>
      <c r="G32" s="41">
        <v>7564</v>
      </c>
      <c r="H32" s="41">
        <v>6021</v>
      </c>
      <c r="I32" s="41">
        <v>5794</v>
      </c>
      <c r="J32" s="41">
        <v>7664</v>
      </c>
      <c r="K32" s="41">
        <v>9632</v>
      </c>
      <c r="L32" s="41">
        <v>13514</v>
      </c>
      <c r="M32" s="41">
        <v>12153</v>
      </c>
      <c r="N32" s="41">
        <v>9608</v>
      </c>
      <c r="O32" s="41">
        <v>7568</v>
      </c>
      <c r="P32" s="41">
        <v>5699</v>
      </c>
      <c r="Q32" s="42">
        <v>8356</v>
      </c>
      <c r="S32" s="16">
        <v>1955</v>
      </c>
      <c r="T32" s="7">
        <v>5688</v>
      </c>
      <c r="U32" s="7">
        <v>7884</v>
      </c>
      <c r="V32" s="7">
        <v>8936</v>
      </c>
      <c r="W32" s="7">
        <v>7838</v>
      </c>
      <c r="X32" s="7">
        <v>7564</v>
      </c>
      <c r="Y32" s="7">
        <v>6021</v>
      </c>
      <c r="Z32" s="7">
        <v>4859</v>
      </c>
      <c r="AA32" s="7">
        <v>6229</v>
      </c>
      <c r="AB32" s="7">
        <v>8246</v>
      </c>
      <c r="AC32" s="7">
        <v>12947</v>
      </c>
      <c r="AD32" s="7">
        <v>12146</v>
      </c>
      <c r="AE32" s="7">
        <v>9527</v>
      </c>
      <c r="AF32" s="7">
        <v>7280</v>
      </c>
      <c r="AG32" s="7">
        <v>5699</v>
      </c>
      <c r="AH32" s="8">
        <v>8078</v>
      </c>
      <c r="AJ32" s="16">
        <v>1955</v>
      </c>
      <c r="AK32" s="23">
        <v>24.847108785567787</v>
      </c>
      <c r="AL32" s="23">
        <v>24.28234733212505</v>
      </c>
      <c r="AM32" s="23">
        <v>27.84406431464735</v>
      </c>
      <c r="AN32" s="23">
        <v>29.82370598700735</v>
      </c>
      <c r="AO32" s="23">
        <v>29.1479621955327</v>
      </c>
      <c r="AP32" s="23">
        <v>27.800573624447928</v>
      </c>
      <c r="AQ32" s="23">
        <v>21.53725443787048</v>
      </c>
      <c r="AR32" s="23">
        <v>17.897429133487034</v>
      </c>
      <c r="AS32" s="23">
        <v>5.839306010140304</v>
      </c>
      <c r="AT32" s="23">
        <v>15.729363999587893</v>
      </c>
      <c r="AU32" s="23">
        <v>24.533306236420923</v>
      </c>
      <c r="AV32" s="24">
        <v>25.94014345963792</v>
      </c>
      <c r="AX32" s="16">
        <v>1955</v>
      </c>
      <c r="AY32" s="25">
        <f t="shared" si="2"/>
        <v>0</v>
      </c>
      <c r="AZ32" s="25">
        <f t="shared" si="2"/>
        <v>0</v>
      </c>
      <c r="BA32" s="25">
        <f t="shared" si="2"/>
        <v>0</v>
      </c>
      <c r="BB32" s="25">
        <f t="shared" si="2"/>
        <v>0</v>
      </c>
      <c r="BC32" s="25">
        <f t="shared" si="2"/>
        <v>0</v>
      </c>
      <c r="BD32" s="25">
        <f t="shared" si="2"/>
        <v>0</v>
      </c>
      <c r="BE32" s="25">
        <f t="shared" si="2"/>
        <v>7249439.843787204</v>
      </c>
      <c r="BF32" s="25">
        <f t="shared" si="3"/>
        <v>11126145.642603891</v>
      </c>
      <c r="BG32" s="25">
        <f t="shared" si="3"/>
        <v>18455542.563585695</v>
      </c>
      <c r="BH32" s="25">
        <f t="shared" si="3"/>
        <v>2383838.2855796777</v>
      </c>
      <c r="BI32" s="25">
        <f t="shared" si="3"/>
        <v>81918.52770985375</v>
      </c>
      <c r="BJ32" s="25">
        <f t="shared" si="3"/>
        <v>715391.2098540341</v>
      </c>
      <c r="BK32" s="25">
        <f t="shared" si="4"/>
        <v>2713187.403298263</v>
      </c>
      <c r="BL32" s="25">
        <f t="shared" si="4"/>
        <v>0</v>
      </c>
      <c r="BM32" s="26">
        <f t="shared" si="5"/>
        <v>42725463.47641862</v>
      </c>
    </row>
    <row r="33" spans="2:65" ht="15">
      <c r="B33" s="16">
        <v>1956</v>
      </c>
      <c r="C33" s="41">
        <v>5861</v>
      </c>
      <c r="D33" s="41">
        <v>8376</v>
      </c>
      <c r="E33" s="41">
        <v>11390</v>
      </c>
      <c r="F33" s="41">
        <v>13068</v>
      </c>
      <c r="G33" s="41">
        <v>12745</v>
      </c>
      <c r="H33" s="41">
        <v>11973</v>
      </c>
      <c r="I33" s="41">
        <v>10382</v>
      </c>
      <c r="J33" s="41">
        <v>12873</v>
      </c>
      <c r="K33" s="41">
        <v>13355</v>
      </c>
      <c r="L33" s="41">
        <v>13210</v>
      </c>
      <c r="M33" s="41">
        <v>11161</v>
      </c>
      <c r="N33" s="41">
        <v>9041</v>
      </c>
      <c r="O33" s="41">
        <v>8197</v>
      </c>
      <c r="P33" s="41">
        <v>5973</v>
      </c>
      <c r="Q33" s="42">
        <v>10609</v>
      </c>
      <c r="S33" s="16">
        <v>1956</v>
      </c>
      <c r="T33" s="7">
        <v>5861</v>
      </c>
      <c r="U33" s="7">
        <v>8376</v>
      </c>
      <c r="V33" s="7">
        <v>11390</v>
      </c>
      <c r="W33" s="7">
        <v>13068</v>
      </c>
      <c r="X33" s="7">
        <v>12745</v>
      </c>
      <c r="Y33" s="7">
        <v>11973</v>
      </c>
      <c r="Z33" s="7">
        <v>9901</v>
      </c>
      <c r="AA33" s="7">
        <v>12721</v>
      </c>
      <c r="AB33" s="7">
        <v>13267</v>
      </c>
      <c r="AC33" s="7">
        <v>12863</v>
      </c>
      <c r="AD33" s="7">
        <v>11213</v>
      </c>
      <c r="AE33" s="7">
        <v>8979</v>
      </c>
      <c r="AF33" s="7">
        <v>7909</v>
      </c>
      <c r="AG33" s="7">
        <v>5973</v>
      </c>
      <c r="AH33" s="8">
        <v>10537</v>
      </c>
      <c r="AJ33" s="16">
        <v>1956</v>
      </c>
      <c r="AK33" s="23">
        <v>22.271167900485384</v>
      </c>
      <c r="AL33" s="23">
        <v>22.372333502207336</v>
      </c>
      <c r="AM33" s="23">
        <v>22.93121741587119</v>
      </c>
      <c r="AN33" s="23">
        <v>20.158471287690798</v>
      </c>
      <c r="AO33" s="23">
        <v>20.30235664503913</v>
      </c>
      <c r="AP33" s="23">
        <v>18.31527308424582</v>
      </c>
      <c r="AQ33" s="23">
        <v>13.604132160345737</v>
      </c>
      <c r="AR33" s="23">
        <v>6.4920124399005195</v>
      </c>
      <c r="AS33" s="23">
        <v>4.804332217848346</v>
      </c>
      <c r="AT33" s="23">
        <v>18.649552079298168</v>
      </c>
      <c r="AU33" s="23">
        <v>24.290705002507863</v>
      </c>
      <c r="AV33" s="24">
        <v>25.90694246133167</v>
      </c>
      <c r="AX33" s="16">
        <v>1956</v>
      </c>
      <c r="AY33" s="25">
        <f t="shared" si="2"/>
        <v>0</v>
      </c>
      <c r="AZ33" s="25">
        <f t="shared" si="2"/>
        <v>0</v>
      </c>
      <c r="BA33" s="25">
        <f t="shared" si="2"/>
        <v>0</v>
      </c>
      <c r="BB33" s="25">
        <f t="shared" si="2"/>
        <v>0</v>
      </c>
      <c r="BC33" s="25">
        <f t="shared" si="2"/>
        <v>0</v>
      </c>
      <c r="BD33" s="25">
        <f t="shared" si="2"/>
        <v>0</v>
      </c>
      <c r="BE33" s="25">
        <f t="shared" si="2"/>
        <v>2355691.5248854677</v>
      </c>
      <c r="BF33" s="25">
        <f t="shared" si="3"/>
        <v>744418.1118141187</v>
      </c>
      <c r="BG33" s="25">
        <f t="shared" si="3"/>
        <v>425045.0384651668</v>
      </c>
      <c r="BH33" s="25">
        <f t="shared" si="3"/>
        <v>1200314.3613072308</v>
      </c>
      <c r="BI33" s="25">
        <f t="shared" si="3"/>
        <v>-721513.8708438876</v>
      </c>
      <c r="BJ33" s="25">
        <f t="shared" si="3"/>
        <v>542168.5356559755</v>
      </c>
      <c r="BK33" s="25">
        <f t="shared" si="4"/>
        <v>2686357.6476373496</v>
      </c>
      <c r="BL33" s="25">
        <f t="shared" si="4"/>
        <v>0</v>
      </c>
      <c r="BM33" s="26">
        <f t="shared" si="5"/>
        <v>7232481.348921421</v>
      </c>
    </row>
    <row r="34" spans="2:65" ht="15">
      <c r="B34" s="16">
        <v>1957</v>
      </c>
      <c r="C34" s="41">
        <v>5811</v>
      </c>
      <c r="D34" s="41">
        <v>6605</v>
      </c>
      <c r="E34" s="41">
        <v>9015</v>
      </c>
      <c r="F34" s="41">
        <v>9434</v>
      </c>
      <c r="G34" s="41">
        <v>8071</v>
      </c>
      <c r="H34" s="41">
        <v>8637</v>
      </c>
      <c r="I34" s="41">
        <v>10130</v>
      </c>
      <c r="J34" s="41">
        <v>9176</v>
      </c>
      <c r="K34" s="41">
        <v>13963</v>
      </c>
      <c r="L34" s="41">
        <v>13795</v>
      </c>
      <c r="M34" s="41">
        <v>8544</v>
      </c>
      <c r="N34" s="41">
        <v>7084</v>
      </c>
      <c r="O34" s="41">
        <v>6376</v>
      </c>
      <c r="P34" s="41">
        <v>5922</v>
      </c>
      <c r="Q34" s="42">
        <v>8852</v>
      </c>
      <c r="S34" s="16">
        <v>1957</v>
      </c>
      <c r="T34" s="7">
        <v>5811</v>
      </c>
      <c r="U34" s="7">
        <v>6605</v>
      </c>
      <c r="V34" s="7">
        <v>9015</v>
      </c>
      <c r="W34" s="7">
        <v>9434</v>
      </c>
      <c r="X34" s="7">
        <v>8071</v>
      </c>
      <c r="Y34" s="7">
        <v>8637</v>
      </c>
      <c r="Z34" s="7">
        <v>9518</v>
      </c>
      <c r="AA34" s="7">
        <v>7831</v>
      </c>
      <c r="AB34" s="7">
        <v>13781</v>
      </c>
      <c r="AC34" s="7">
        <v>13320</v>
      </c>
      <c r="AD34" s="7">
        <v>8607</v>
      </c>
      <c r="AE34" s="7">
        <v>7035</v>
      </c>
      <c r="AF34" s="7">
        <v>6112</v>
      </c>
      <c r="AG34" s="7">
        <v>5922</v>
      </c>
      <c r="AH34" s="8">
        <v>8709</v>
      </c>
      <c r="AJ34" s="16">
        <v>1957</v>
      </c>
      <c r="AK34" s="23">
        <v>23.824476046716025</v>
      </c>
      <c r="AL34" s="23">
        <v>27.064628605703696</v>
      </c>
      <c r="AM34" s="23">
        <v>26.89013945312911</v>
      </c>
      <c r="AN34" s="23">
        <v>28.21208523473433</v>
      </c>
      <c r="AO34" s="23">
        <v>28.65761485099794</v>
      </c>
      <c r="AP34" s="23">
        <v>23.483089080858</v>
      </c>
      <c r="AQ34" s="23">
        <v>19.4965626970927</v>
      </c>
      <c r="AR34" s="23">
        <v>5.969363287507822</v>
      </c>
      <c r="AS34" s="23">
        <v>7.477412044919181</v>
      </c>
      <c r="AT34" s="23">
        <v>26.535432395627417</v>
      </c>
      <c r="AU34" s="23">
        <v>29.28495606145553</v>
      </c>
      <c r="AV34" s="24">
        <v>28.20941183408104</v>
      </c>
      <c r="AX34" s="16">
        <v>1957</v>
      </c>
      <c r="AY34" s="25">
        <f t="shared" si="2"/>
        <v>0</v>
      </c>
      <c r="AZ34" s="25">
        <f t="shared" si="2"/>
        <v>0</v>
      </c>
      <c r="BA34" s="25">
        <f t="shared" si="2"/>
        <v>0</v>
      </c>
      <c r="BB34" s="25">
        <f t="shared" si="2"/>
        <v>0</v>
      </c>
      <c r="BC34" s="25">
        <f t="shared" si="2"/>
        <v>0</v>
      </c>
      <c r="BD34" s="25">
        <f t="shared" si="2"/>
        <v>0</v>
      </c>
      <c r="BE34" s="25">
        <f t="shared" si="2"/>
        <v>4295482.693423463</v>
      </c>
      <c r="BF34" s="25">
        <f t="shared" si="3"/>
        <v>9440235.657932285</v>
      </c>
      <c r="BG34" s="25">
        <f t="shared" si="3"/>
        <v>808299.5440348592</v>
      </c>
      <c r="BH34" s="25">
        <f t="shared" si="3"/>
        <v>2557274.91936236</v>
      </c>
      <c r="BI34" s="25">
        <f t="shared" si="3"/>
        <v>-1243768.7872478482</v>
      </c>
      <c r="BJ34" s="25">
        <f t="shared" si="3"/>
        <v>516586.62492407556</v>
      </c>
      <c r="BK34" s="25">
        <f t="shared" si="4"/>
        <v>2968791.705686116</v>
      </c>
      <c r="BL34" s="25">
        <f t="shared" si="4"/>
        <v>0</v>
      </c>
      <c r="BM34" s="26">
        <f t="shared" si="5"/>
        <v>19342902.358115308</v>
      </c>
    </row>
    <row r="35" spans="2:65" ht="15">
      <c r="B35" s="16">
        <v>1958</v>
      </c>
      <c r="C35" s="41">
        <v>5127</v>
      </c>
      <c r="D35" s="41">
        <v>6919</v>
      </c>
      <c r="E35" s="41">
        <v>6848</v>
      </c>
      <c r="F35" s="41">
        <v>9745</v>
      </c>
      <c r="G35" s="41">
        <v>9049</v>
      </c>
      <c r="H35" s="41">
        <v>8981</v>
      </c>
      <c r="I35" s="41">
        <v>7793</v>
      </c>
      <c r="J35" s="41">
        <v>10202</v>
      </c>
      <c r="K35" s="41">
        <v>12733</v>
      </c>
      <c r="L35" s="41">
        <v>12635</v>
      </c>
      <c r="M35" s="41">
        <v>7952</v>
      </c>
      <c r="N35" s="41">
        <v>7478</v>
      </c>
      <c r="O35" s="41">
        <v>6154</v>
      </c>
      <c r="P35" s="41">
        <v>5549</v>
      </c>
      <c r="Q35" s="42">
        <v>8438</v>
      </c>
      <c r="S35" s="16">
        <v>1958</v>
      </c>
      <c r="T35" s="7">
        <v>5127</v>
      </c>
      <c r="U35" s="7">
        <v>6919</v>
      </c>
      <c r="V35" s="7">
        <v>6848</v>
      </c>
      <c r="W35" s="7">
        <v>9745</v>
      </c>
      <c r="X35" s="7">
        <v>9049</v>
      </c>
      <c r="Y35" s="7">
        <v>8981</v>
      </c>
      <c r="Z35" s="7">
        <v>6964</v>
      </c>
      <c r="AA35" s="7">
        <v>9030</v>
      </c>
      <c r="AB35" s="7">
        <v>12219</v>
      </c>
      <c r="AC35" s="7">
        <v>12015</v>
      </c>
      <c r="AD35" s="7">
        <v>8004</v>
      </c>
      <c r="AE35" s="7">
        <v>7424</v>
      </c>
      <c r="AF35" s="7">
        <v>5913</v>
      </c>
      <c r="AG35" s="7">
        <v>5549</v>
      </c>
      <c r="AH35" s="8">
        <v>8253</v>
      </c>
      <c r="AJ35" s="16">
        <v>1958</v>
      </c>
      <c r="AK35" s="23">
        <v>26.419495507209497</v>
      </c>
      <c r="AL35" s="23">
        <v>27.144395529975828</v>
      </c>
      <c r="AM35" s="23">
        <v>31.23510729676935</v>
      </c>
      <c r="AN35" s="23">
        <v>25.49082644883021</v>
      </c>
      <c r="AO35" s="23">
        <v>25.941484352520558</v>
      </c>
      <c r="AP35" s="23">
        <v>22.900103121041273</v>
      </c>
      <c r="AQ35" s="23">
        <v>19.1694896586736</v>
      </c>
      <c r="AR35" s="23">
        <v>9.097118004135046</v>
      </c>
      <c r="AS35" s="23">
        <v>11.072144948194408</v>
      </c>
      <c r="AT35" s="23">
        <v>24.970376586144965</v>
      </c>
      <c r="AU35" s="23">
        <v>26.28861335323701</v>
      </c>
      <c r="AV35" s="24">
        <v>25.893325486183166</v>
      </c>
      <c r="AX35" s="16">
        <v>1958</v>
      </c>
      <c r="AY35" s="25">
        <f t="shared" si="2"/>
        <v>0</v>
      </c>
      <c r="AZ35" s="25">
        <f t="shared" si="2"/>
        <v>0</v>
      </c>
      <c r="BA35" s="25">
        <f t="shared" si="2"/>
        <v>0</v>
      </c>
      <c r="BB35" s="25">
        <f t="shared" si="2"/>
        <v>0</v>
      </c>
      <c r="BC35" s="25">
        <f t="shared" si="2"/>
        <v>0</v>
      </c>
      <c r="BD35" s="25">
        <f t="shared" si="2"/>
        <v>0</v>
      </c>
      <c r="BE35" s="25">
        <f t="shared" si="2"/>
        <v>5720942.49373455</v>
      </c>
      <c r="BF35" s="25">
        <f t="shared" si="3"/>
        <v>8087991.076787566</v>
      </c>
      <c r="BG35" s="25">
        <f t="shared" si="3"/>
        <v>3478883.4786693077</v>
      </c>
      <c r="BH35" s="25">
        <f t="shared" si="3"/>
        <v>4942605.504873984</v>
      </c>
      <c r="BI35" s="25">
        <f t="shared" si="3"/>
        <v>-966053.9293647765</v>
      </c>
      <c r="BJ35" s="25">
        <f t="shared" si="3"/>
        <v>511050.6435869275</v>
      </c>
      <c r="BK35" s="25">
        <f t="shared" si="4"/>
        <v>2432853.4341619657</v>
      </c>
      <c r="BL35" s="25">
        <f t="shared" si="4"/>
        <v>0</v>
      </c>
      <c r="BM35" s="26">
        <f t="shared" si="5"/>
        <v>24208272.70244952</v>
      </c>
    </row>
    <row r="36" spans="2:65" ht="15">
      <c r="B36" s="16">
        <v>1959</v>
      </c>
      <c r="C36" s="41">
        <v>5433</v>
      </c>
      <c r="D36" s="41">
        <v>7666</v>
      </c>
      <c r="E36" s="41">
        <v>10751</v>
      </c>
      <c r="F36" s="41">
        <v>12575</v>
      </c>
      <c r="G36" s="41">
        <v>12086</v>
      </c>
      <c r="H36" s="41">
        <v>11215</v>
      </c>
      <c r="I36" s="41">
        <v>9786</v>
      </c>
      <c r="J36" s="41">
        <v>9164</v>
      </c>
      <c r="K36" s="41">
        <v>11081</v>
      </c>
      <c r="L36" s="41">
        <v>12789</v>
      </c>
      <c r="M36" s="41">
        <v>11641</v>
      </c>
      <c r="N36" s="41">
        <v>9606</v>
      </c>
      <c r="O36" s="41">
        <v>8808</v>
      </c>
      <c r="P36" s="41">
        <v>9163</v>
      </c>
      <c r="Q36" s="42">
        <v>10246</v>
      </c>
      <c r="S36" s="16">
        <v>1959</v>
      </c>
      <c r="T36" s="7">
        <v>5433</v>
      </c>
      <c r="U36" s="7">
        <v>7666</v>
      </c>
      <c r="V36" s="7">
        <v>10751</v>
      </c>
      <c r="W36" s="7">
        <v>12575</v>
      </c>
      <c r="X36" s="7">
        <v>12086</v>
      </c>
      <c r="Y36" s="7">
        <v>11215</v>
      </c>
      <c r="Z36" s="7">
        <v>9109</v>
      </c>
      <c r="AA36" s="7">
        <v>7810</v>
      </c>
      <c r="AB36" s="7">
        <v>9981</v>
      </c>
      <c r="AC36" s="7">
        <v>12155</v>
      </c>
      <c r="AD36" s="7">
        <v>11678</v>
      </c>
      <c r="AE36" s="7">
        <v>9526</v>
      </c>
      <c r="AF36" s="7">
        <v>8508</v>
      </c>
      <c r="AG36" s="7">
        <v>9163</v>
      </c>
      <c r="AH36" s="8">
        <v>10004</v>
      </c>
      <c r="AJ36" s="16">
        <v>1959</v>
      </c>
      <c r="AK36" s="23">
        <v>24.516139816468762</v>
      </c>
      <c r="AL36" s="23">
        <v>23.91611439196315</v>
      </c>
      <c r="AM36" s="23">
        <v>23.92516095279366</v>
      </c>
      <c r="AN36" s="23">
        <v>20.823529208603723</v>
      </c>
      <c r="AO36" s="23">
        <v>21.6775324038097</v>
      </c>
      <c r="AP36" s="23">
        <v>19.407676691707376</v>
      </c>
      <c r="AQ36" s="23">
        <v>18.108972501224944</v>
      </c>
      <c r="AR36" s="23">
        <v>14.945451038258657</v>
      </c>
      <c r="AS36" s="23">
        <v>11.612641377126183</v>
      </c>
      <c r="AT36" s="23">
        <v>17.604617414423217</v>
      </c>
      <c r="AU36" s="23">
        <v>23.16804293355634</v>
      </c>
      <c r="AV36" s="24">
        <v>21.37205392519636</v>
      </c>
      <c r="AX36" s="16">
        <v>1959</v>
      </c>
      <c r="AY36" s="25">
        <f t="shared" si="2"/>
        <v>0</v>
      </c>
      <c r="AZ36" s="25">
        <f t="shared" si="2"/>
        <v>0</v>
      </c>
      <c r="BA36" s="25">
        <f t="shared" si="2"/>
        <v>0</v>
      </c>
      <c r="BB36" s="25">
        <f t="shared" si="2"/>
        <v>0</v>
      </c>
      <c r="BC36" s="25">
        <f t="shared" si="2"/>
        <v>0</v>
      </c>
      <c r="BD36" s="25">
        <f t="shared" si="2"/>
        <v>0</v>
      </c>
      <c r="BE36" s="25">
        <f t="shared" si="2"/>
        <v>4413518.777998543</v>
      </c>
      <c r="BF36" s="25">
        <f t="shared" si="3"/>
        <v>8827037.555997087</v>
      </c>
      <c r="BG36" s="25">
        <f t="shared" si="3"/>
        <v>12231357.129710885</v>
      </c>
      <c r="BH36" s="25">
        <f t="shared" si="3"/>
        <v>5300938.53583056</v>
      </c>
      <c r="BI36" s="25">
        <f t="shared" si="3"/>
        <v>-484619.9081842423</v>
      </c>
      <c r="BJ36" s="25">
        <f t="shared" si="3"/>
        <v>667239.6364864226</v>
      </c>
      <c r="BK36" s="25">
        <f t="shared" si="4"/>
        <v>2668958.5459456905</v>
      </c>
      <c r="BL36" s="25">
        <f t="shared" si="4"/>
        <v>0</v>
      </c>
      <c r="BM36" s="26">
        <f t="shared" si="5"/>
        <v>33624430.27378495</v>
      </c>
    </row>
    <row r="37" spans="2:65" ht="15">
      <c r="B37" s="16">
        <v>1960</v>
      </c>
      <c r="C37" s="41">
        <v>9173</v>
      </c>
      <c r="D37" s="41">
        <v>9934</v>
      </c>
      <c r="E37" s="41">
        <v>10701</v>
      </c>
      <c r="F37" s="41">
        <v>10510</v>
      </c>
      <c r="G37" s="41">
        <v>9354</v>
      </c>
      <c r="H37" s="41">
        <v>9002</v>
      </c>
      <c r="I37" s="41">
        <v>13030</v>
      </c>
      <c r="J37" s="41">
        <v>10917</v>
      </c>
      <c r="K37" s="41">
        <v>9321</v>
      </c>
      <c r="L37" s="41">
        <v>11594</v>
      </c>
      <c r="M37" s="41">
        <v>9568</v>
      </c>
      <c r="N37" s="41">
        <v>7890</v>
      </c>
      <c r="O37" s="41">
        <v>6150</v>
      </c>
      <c r="P37" s="41">
        <v>5520</v>
      </c>
      <c r="Q37" s="42">
        <v>9468</v>
      </c>
      <c r="S37" s="16">
        <v>1960</v>
      </c>
      <c r="T37" s="7">
        <v>9173</v>
      </c>
      <c r="U37" s="7">
        <v>9934</v>
      </c>
      <c r="V37" s="7">
        <v>10701</v>
      </c>
      <c r="W37" s="7">
        <v>10510</v>
      </c>
      <c r="X37" s="7">
        <v>9354</v>
      </c>
      <c r="Y37" s="7">
        <v>9002</v>
      </c>
      <c r="Z37" s="7">
        <v>12648</v>
      </c>
      <c r="AA37" s="7">
        <v>9803</v>
      </c>
      <c r="AB37" s="7">
        <v>7947</v>
      </c>
      <c r="AC37" s="7">
        <v>10936</v>
      </c>
      <c r="AD37" s="7">
        <v>9579</v>
      </c>
      <c r="AE37" s="7">
        <v>7822</v>
      </c>
      <c r="AF37" s="7">
        <v>5895</v>
      </c>
      <c r="AG37" s="7">
        <v>5520</v>
      </c>
      <c r="AH37" s="8">
        <v>9223</v>
      </c>
      <c r="AJ37" s="16">
        <v>1960</v>
      </c>
      <c r="AK37" s="23">
        <v>19.832439146503347</v>
      </c>
      <c r="AL37" s="23">
        <v>22.689532598543078</v>
      </c>
      <c r="AM37" s="23">
        <v>25.756617274335646</v>
      </c>
      <c r="AN37" s="23">
        <v>26.0601613065248</v>
      </c>
      <c r="AO37" s="23">
        <v>25.926627996989616</v>
      </c>
      <c r="AP37" s="23">
        <v>22.330335115263296</v>
      </c>
      <c r="AQ37" s="23">
        <v>12.095140482584643</v>
      </c>
      <c r="AR37" s="23">
        <v>16.723197777809606</v>
      </c>
      <c r="AS37" s="23">
        <v>13.99795434342491</v>
      </c>
      <c r="AT37" s="23">
        <v>20.710330020227723</v>
      </c>
      <c r="AU37" s="23">
        <v>25.010443975848506</v>
      </c>
      <c r="AV37" s="24">
        <v>24.936193159421286</v>
      </c>
      <c r="AX37" s="16">
        <v>1960</v>
      </c>
      <c r="AY37" s="25">
        <f t="shared" si="2"/>
        <v>0</v>
      </c>
      <c r="AZ37" s="25">
        <f t="shared" si="2"/>
        <v>0</v>
      </c>
      <c r="BA37" s="25">
        <f t="shared" si="2"/>
        <v>0</v>
      </c>
      <c r="BB37" s="25">
        <f t="shared" si="2"/>
        <v>0</v>
      </c>
      <c r="BC37" s="25">
        <f t="shared" si="2"/>
        <v>0</v>
      </c>
      <c r="BD37" s="25">
        <f t="shared" si="2"/>
        <v>0</v>
      </c>
      <c r="BE37" s="25">
        <f t="shared" si="2"/>
        <v>1663323.7191650402</v>
      </c>
      <c r="BF37" s="25">
        <f t="shared" si="3"/>
        <v>4850635.139135745</v>
      </c>
      <c r="BG37" s="25">
        <f t="shared" si="3"/>
        <v>17095389.267552536</v>
      </c>
      <c r="BH37" s="25">
        <f t="shared" si="3"/>
        <v>6631670.849740985</v>
      </c>
      <c r="BI37" s="25">
        <f t="shared" si="3"/>
        <v>-169493.34088554367</v>
      </c>
      <c r="BJ37" s="25">
        <f t="shared" si="3"/>
        <v>612255.6685287715</v>
      </c>
      <c r="BK37" s="25">
        <f t="shared" si="4"/>
        <v>2449022.674115086</v>
      </c>
      <c r="BL37" s="25">
        <f t="shared" si="4"/>
        <v>0</v>
      </c>
      <c r="BM37" s="26">
        <f t="shared" si="5"/>
        <v>33132803.977352627</v>
      </c>
    </row>
    <row r="38" spans="2:65" ht="15">
      <c r="B38" s="16">
        <v>1961</v>
      </c>
      <c r="C38" s="41">
        <v>5559</v>
      </c>
      <c r="D38" s="41">
        <v>6803</v>
      </c>
      <c r="E38" s="41">
        <v>8217</v>
      </c>
      <c r="F38" s="41">
        <v>10032</v>
      </c>
      <c r="G38" s="41">
        <v>10064</v>
      </c>
      <c r="H38" s="41">
        <v>11118</v>
      </c>
      <c r="I38" s="41">
        <v>8801</v>
      </c>
      <c r="J38" s="41">
        <v>8802</v>
      </c>
      <c r="K38" s="41">
        <v>11813</v>
      </c>
      <c r="L38" s="41">
        <v>12765</v>
      </c>
      <c r="M38" s="41">
        <v>8380</v>
      </c>
      <c r="N38" s="41">
        <v>7663</v>
      </c>
      <c r="O38" s="41">
        <v>6460</v>
      </c>
      <c r="P38" s="41">
        <v>5647</v>
      </c>
      <c r="Q38" s="42">
        <v>8847</v>
      </c>
      <c r="S38" s="16">
        <v>1961</v>
      </c>
      <c r="T38" s="7">
        <v>5559</v>
      </c>
      <c r="U38" s="7">
        <v>6803</v>
      </c>
      <c r="V38" s="7">
        <v>8217</v>
      </c>
      <c r="W38" s="7">
        <v>10032</v>
      </c>
      <c r="X38" s="7">
        <v>10064</v>
      </c>
      <c r="Y38" s="7">
        <v>11118</v>
      </c>
      <c r="Z38" s="7">
        <v>7997</v>
      </c>
      <c r="AA38" s="7">
        <v>7372</v>
      </c>
      <c r="AB38" s="7">
        <v>10698</v>
      </c>
      <c r="AC38" s="7">
        <v>12279</v>
      </c>
      <c r="AD38" s="7">
        <v>8380</v>
      </c>
      <c r="AE38" s="7">
        <v>7584</v>
      </c>
      <c r="AF38" s="7">
        <v>6258</v>
      </c>
      <c r="AG38" s="7">
        <v>5647</v>
      </c>
      <c r="AH38" s="8">
        <v>8609</v>
      </c>
      <c r="AJ38" s="16">
        <v>1961</v>
      </c>
      <c r="AK38" s="23">
        <v>24.04229680261304</v>
      </c>
      <c r="AL38" s="23">
        <v>24.583027965946474</v>
      </c>
      <c r="AM38" s="23">
        <v>28.257087957987213</v>
      </c>
      <c r="AN38" s="23">
        <v>25.788071043004276</v>
      </c>
      <c r="AO38" s="23">
        <v>24.95202430316383</v>
      </c>
      <c r="AP38" s="23">
        <v>20.472098347636933</v>
      </c>
      <c r="AQ38" s="23">
        <v>20.553493137359627</v>
      </c>
      <c r="AR38" s="23">
        <v>14.772893477255288</v>
      </c>
      <c r="AS38" s="23">
        <v>11.456876345392738</v>
      </c>
      <c r="AT38" s="23">
        <v>24.88038669709239</v>
      </c>
      <c r="AU38" s="23">
        <v>26.81494323515126</v>
      </c>
      <c r="AV38" s="24">
        <v>26.520518002510066</v>
      </c>
      <c r="AX38" s="16">
        <v>1961</v>
      </c>
      <c r="AY38" s="25">
        <f t="shared" si="2"/>
        <v>0</v>
      </c>
      <c r="AZ38" s="25">
        <f t="shared" si="2"/>
        <v>0</v>
      </c>
      <c r="BA38" s="25">
        <f t="shared" si="2"/>
        <v>0</v>
      </c>
      <c r="BB38" s="25">
        <f t="shared" si="2"/>
        <v>0</v>
      </c>
      <c r="BC38" s="25">
        <f t="shared" si="2"/>
        <v>0</v>
      </c>
      <c r="BD38" s="25">
        <f t="shared" si="2"/>
        <v>0</v>
      </c>
      <c r="BE38" s="25">
        <f t="shared" si="2"/>
        <v>5949003.053677371</v>
      </c>
      <c r="BF38" s="25">
        <f t="shared" si="3"/>
        <v>10580938.267112736</v>
      </c>
      <c r="BG38" s="25">
        <f t="shared" si="3"/>
        <v>12255001.512991896</v>
      </c>
      <c r="BH38" s="25">
        <f t="shared" si="3"/>
        <v>4008990.1707798266</v>
      </c>
      <c r="BI38" s="25">
        <f t="shared" si="3"/>
        <v>0</v>
      </c>
      <c r="BJ38" s="25">
        <f t="shared" si="3"/>
        <v>762616.9856077019</v>
      </c>
      <c r="BK38" s="25">
        <f t="shared" si="4"/>
        <v>2079981.5168642132</v>
      </c>
      <c r="BL38" s="25">
        <f t="shared" si="4"/>
        <v>0</v>
      </c>
      <c r="BM38" s="26">
        <f t="shared" si="5"/>
        <v>35636531.50703374</v>
      </c>
    </row>
    <row r="39" spans="2:65" ht="15">
      <c r="B39" s="16">
        <v>1962</v>
      </c>
      <c r="C39" s="41">
        <v>4983</v>
      </c>
      <c r="D39" s="41">
        <v>6825</v>
      </c>
      <c r="E39" s="41">
        <v>7727</v>
      </c>
      <c r="F39" s="41">
        <v>9491</v>
      </c>
      <c r="G39" s="41">
        <v>9249</v>
      </c>
      <c r="H39" s="41">
        <v>6876</v>
      </c>
      <c r="I39" s="41">
        <v>10902</v>
      </c>
      <c r="J39" s="41">
        <v>12526</v>
      </c>
      <c r="K39" s="41">
        <v>10943</v>
      </c>
      <c r="L39" s="41">
        <v>9950</v>
      </c>
      <c r="M39" s="41">
        <v>8453</v>
      </c>
      <c r="N39" s="41">
        <v>7506</v>
      </c>
      <c r="O39" s="41">
        <v>6817</v>
      </c>
      <c r="P39" s="41">
        <v>5340</v>
      </c>
      <c r="Q39" s="42">
        <v>8214</v>
      </c>
      <c r="S39" s="16">
        <v>1962</v>
      </c>
      <c r="T39" s="7">
        <v>4983</v>
      </c>
      <c r="U39" s="7">
        <v>6825</v>
      </c>
      <c r="V39" s="7">
        <v>7727</v>
      </c>
      <c r="W39" s="7">
        <v>9491</v>
      </c>
      <c r="X39" s="7">
        <v>9249</v>
      </c>
      <c r="Y39" s="7">
        <v>6876</v>
      </c>
      <c r="Z39" s="7">
        <v>10377</v>
      </c>
      <c r="AA39" s="7">
        <v>11709</v>
      </c>
      <c r="AB39" s="7">
        <v>9746</v>
      </c>
      <c r="AC39" s="7">
        <v>9223</v>
      </c>
      <c r="AD39" s="7">
        <v>8512</v>
      </c>
      <c r="AE39" s="7">
        <v>7455</v>
      </c>
      <c r="AF39" s="7">
        <v>6552</v>
      </c>
      <c r="AG39" s="7">
        <v>5340</v>
      </c>
      <c r="AH39" s="8">
        <v>7989</v>
      </c>
      <c r="AJ39" s="16">
        <v>1962</v>
      </c>
      <c r="AK39" s="23">
        <v>25.584754443168638</v>
      </c>
      <c r="AL39" s="23">
        <v>26.38425270717449</v>
      </c>
      <c r="AM39" s="23">
        <v>29.15776225828353</v>
      </c>
      <c r="AN39" s="23">
        <v>26.274084857202325</v>
      </c>
      <c r="AO39" s="23">
        <v>27.18106038911</v>
      </c>
      <c r="AP39" s="23">
        <v>27.74748642986908</v>
      </c>
      <c r="AQ39" s="23">
        <v>13.689717796279334</v>
      </c>
      <c r="AR39" s="23">
        <v>16.42775254839209</v>
      </c>
      <c r="AS39" s="23">
        <v>18.554398428069245</v>
      </c>
      <c r="AT39" s="23">
        <v>23.48828205036859</v>
      </c>
      <c r="AU39" s="23">
        <v>26.105827623797985</v>
      </c>
      <c r="AV39" s="24">
        <v>26.26618923981982</v>
      </c>
      <c r="AX39" s="16">
        <v>1962</v>
      </c>
      <c r="AY39" s="25">
        <f t="shared" si="2"/>
        <v>0</v>
      </c>
      <c r="AZ39" s="25">
        <f t="shared" si="2"/>
        <v>0</v>
      </c>
      <c r="BA39" s="25">
        <f t="shared" si="2"/>
        <v>0</v>
      </c>
      <c r="BB39" s="25">
        <f t="shared" si="2"/>
        <v>0</v>
      </c>
      <c r="BC39" s="25">
        <f t="shared" si="2"/>
        <v>0</v>
      </c>
      <c r="BD39" s="25">
        <f t="shared" si="2"/>
        <v>0</v>
      </c>
      <c r="BE39" s="25">
        <f t="shared" si="2"/>
        <v>2587356.663496794</v>
      </c>
      <c r="BF39" s="25">
        <f t="shared" si="3"/>
        <v>4026419.7982416777</v>
      </c>
      <c r="BG39" s="25">
        <f t="shared" si="3"/>
        <v>14630030.731516445</v>
      </c>
      <c r="BH39" s="25">
        <f t="shared" si="3"/>
        <v>9712114.313188566</v>
      </c>
      <c r="BI39" s="25">
        <f t="shared" si="3"/>
        <v>-1031041.6288829796</v>
      </c>
      <c r="BJ39" s="25">
        <f t="shared" si="3"/>
        <v>479302.995172931</v>
      </c>
      <c r="BK39" s="25">
        <f t="shared" si="4"/>
        <v>2656529.018997683</v>
      </c>
      <c r="BL39" s="25">
        <f t="shared" si="4"/>
        <v>0</v>
      </c>
      <c r="BM39" s="26">
        <f t="shared" si="5"/>
        <v>33060711.891731124</v>
      </c>
    </row>
    <row r="40" spans="2:65" ht="15">
      <c r="B40" s="16">
        <v>1963</v>
      </c>
      <c r="C40" s="41">
        <v>6141</v>
      </c>
      <c r="D40" s="41">
        <v>7855</v>
      </c>
      <c r="E40" s="41">
        <v>10318</v>
      </c>
      <c r="F40" s="41">
        <v>10832</v>
      </c>
      <c r="G40" s="41">
        <v>9395</v>
      </c>
      <c r="H40" s="41">
        <v>8237</v>
      </c>
      <c r="I40" s="41">
        <v>6192</v>
      </c>
      <c r="J40" s="41">
        <v>8076</v>
      </c>
      <c r="K40" s="41">
        <v>10022</v>
      </c>
      <c r="L40" s="41">
        <v>10034</v>
      </c>
      <c r="M40" s="41">
        <v>9255</v>
      </c>
      <c r="N40" s="41">
        <v>7504</v>
      </c>
      <c r="O40" s="41">
        <v>6457</v>
      </c>
      <c r="P40" s="41">
        <v>6219</v>
      </c>
      <c r="Q40" s="42">
        <v>8535</v>
      </c>
      <c r="S40" s="16">
        <v>1963</v>
      </c>
      <c r="T40" s="7">
        <v>6141</v>
      </c>
      <c r="U40" s="7">
        <v>7855</v>
      </c>
      <c r="V40" s="7">
        <v>10318</v>
      </c>
      <c r="W40" s="7">
        <v>10832</v>
      </c>
      <c r="X40" s="7">
        <v>9395</v>
      </c>
      <c r="Y40" s="7">
        <v>8237</v>
      </c>
      <c r="Z40" s="7">
        <v>5275</v>
      </c>
      <c r="AA40" s="7">
        <v>6659</v>
      </c>
      <c r="AB40" s="7">
        <v>8721</v>
      </c>
      <c r="AC40" s="7">
        <v>9283</v>
      </c>
      <c r="AD40" s="7">
        <v>9330</v>
      </c>
      <c r="AE40" s="7">
        <v>7453</v>
      </c>
      <c r="AF40" s="7">
        <v>6204</v>
      </c>
      <c r="AG40" s="7">
        <v>6219</v>
      </c>
      <c r="AH40" s="8">
        <v>8260</v>
      </c>
      <c r="AJ40" s="16">
        <v>1963</v>
      </c>
      <c r="AK40" s="23">
        <v>24.06505780450759</v>
      </c>
      <c r="AL40" s="23">
        <v>25.0106729887064</v>
      </c>
      <c r="AM40" s="23">
        <v>27.21479711635137</v>
      </c>
      <c r="AN40" s="23">
        <v>26.943327165675445</v>
      </c>
      <c r="AO40" s="23">
        <v>24.81449860845293</v>
      </c>
      <c r="AP40" s="23">
        <v>24.451811043154</v>
      </c>
      <c r="AQ40" s="23">
        <v>21.876719768842065</v>
      </c>
      <c r="AR40" s="23">
        <v>17.836204840290932</v>
      </c>
      <c r="AS40" s="23">
        <v>19.61922057469689</v>
      </c>
      <c r="AT40" s="23">
        <v>23.803001454568676</v>
      </c>
      <c r="AU40" s="23">
        <v>27.996461972882692</v>
      </c>
      <c r="AV40" s="24">
        <v>26.062290500005084</v>
      </c>
      <c r="AX40" s="16">
        <v>1963</v>
      </c>
      <c r="AY40" s="25">
        <f t="shared" si="2"/>
        <v>0</v>
      </c>
      <c r="AZ40" s="25">
        <f t="shared" si="2"/>
        <v>0</v>
      </c>
      <c r="BA40" s="25">
        <f t="shared" si="2"/>
        <v>0</v>
      </c>
      <c r="BB40" s="25">
        <f t="shared" si="2"/>
        <v>0</v>
      </c>
      <c r="BC40" s="25">
        <f t="shared" si="2"/>
        <v>0</v>
      </c>
      <c r="BD40" s="25">
        <f t="shared" si="2"/>
        <v>0</v>
      </c>
      <c r="BE40" s="25">
        <f t="shared" si="2"/>
        <v>7221942.730090142</v>
      </c>
      <c r="BF40" s="25">
        <f t="shared" si="3"/>
        <v>11159752.288481714</v>
      </c>
      <c r="BG40" s="25">
        <f t="shared" si="3"/>
        <v>17264447.457930565</v>
      </c>
      <c r="BH40" s="25">
        <f t="shared" si="3"/>
        <v>10608504.949150102</v>
      </c>
      <c r="BI40" s="25">
        <f t="shared" si="3"/>
        <v>-1328207.481164932</v>
      </c>
      <c r="BJ40" s="25">
        <f t="shared" si="3"/>
        <v>514015.0418221262</v>
      </c>
      <c r="BK40" s="25">
        <f t="shared" si="4"/>
        <v>2719912.2735894993</v>
      </c>
      <c r="BL40" s="25">
        <f t="shared" si="4"/>
        <v>0</v>
      </c>
      <c r="BM40" s="26">
        <f t="shared" si="5"/>
        <v>48160367.259899214</v>
      </c>
    </row>
    <row r="41" spans="2:65" ht="15">
      <c r="B41" s="16">
        <v>1964</v>
      </c>
      <c r="C41" s="41">
        <v>5104</v>
      </c>
      <c r="D41" s="41">
        <v>6550</v>
      </c>
      <c r="E41" s="41">
        <v>8175</v>
      </c>
      <c r="F41" s="41">
        <v>7965</v>
      </c>
      <c r="G41" s="41">
        <v>7797</v>
      </c>
      <c r="H41" s="41">
        <v>6976</v>
      </c>
      <c r="I41" s="41">
        <v>9247</v>
      </c>
      <c r="J41" s="41">
        <v>7771</v>
      </c>
      <c r="K41" s="41">
        <v>10593</v>
      </c>
      <c r="L41" s="41">
        <v>13601</v>
      </c>
      <c r="M41" s="41">
        <v>11940</v>
      </c>
      <c r="N41" s="41">
        <v>9490</v>
      </c>
      <c r="O41" s="41">
        <v>8432</v>
      </c>
      <c r="P41" s="41">
        <v>6866</v>
      </c>
      <c r="Q41" s="42">
        <v>8586</v>
      </c>
      <c r="S41" s="16">
        <v>1964</v>
      </c>
      <c r="T41" s="7">
        <v>5104</v>
      </c>
      <c r="U41" s="7">
        <v>6550</v>
      </c>
      <c r="V41" s="7">
        <v>8175</v>
      </c>
      <c r="W41" s="7">
        <v>7965</v>
      </c>
      <c r="X41" s="7">
        <v>7797</v>
      </c>
      <c r="Y41" s="7">
        <v>6976</v>
      </c>
      <c r="Z41" s="7">
        <v>8498</v>
      </c>
      <c r="AA41" s="7">
        <v>6347</v>
      </c>
      <c r="AB41" s="7">
        <v>9348</v>
      </c>
      <c r="AC41" s="7">
        <v>13496</v>
      </c>
      <c r="AD41" s="7">
        <v>12043</v>
      </c>
      <c r="AE41" s="7">
        <v>9433</v>
      </c>
      <c r="AF41" s="7">
        <v>8144</v>
      </c>
      <c r="AG41" s="7">
        <v>6866</v>
      </c>
      <c r="AH41" s="8">
        <v>8377</v>
      </c>
      <c r="AJ41" s="16">
        <v>1964</v>
      </c>
      <c r="AK41" s="23">
        <v>24.0666927314574</v>
      </c>
      <c r="AL41" s="23">
        <v>25.86450323509605</v>
      </c>
      <c r="AM41" s="23">
        <v>28.603373745949078</v>
      </c>
      <c r="AN41" s="23">
        <v>27.44831349721519</v>
      </c>
      <c r="AO41" s="23">
        <v>28.056207759039715</v>
      </c>
      <c r="AP41" s="23">
        <v>25.49313813558657</v>
      </c>
      <c r="AQ41" s="23">
        <v>19.774342782762268</v>
      </c>
      <c r="AR41" s="23">
        <v>16.56177183722939</v>
      </c>
      <c r="AS41" s="23">
        <v>1.7154430958959772</v>
      </c>
      <c r="AT41" s="23">
        <v>17.309951603669003</v>
      </c>
      <c r="AU41" s="23">
        <v>24.70512769991354</v>
      </c>
      <c r="AV41" s="24">
        <v>24.392558695475287</v>
      </c>
      <c r="AX41" s="16">
        <v>1964</v>
      </c>
      <c r="AY41" s="25">
        <f t="shared" si="2"/>
        <v>0</v>
      </c>
      <c r="AZ41" s="25">
        <f t="shared" si="2"/>
        <v>0</v>
      </c>
      <c r="BA41" s="25">
        <f t="shared" si="2"/>
        <v>0</v>
      </c>
      <c r="BB41" s="25">
        <f t="shared" si="2"/>
        <v>0</v>
      </c>
      <c r="BC41" s="25">
        <f t="shared" si="2"/>
        <v>0</v>
      </c>
      <c r="BD41" s="25">
        <f t="shared" si="2"/>
        <v>0</v>
      </c>
      <c r="BE41" s="25">
        <f t="shared" si="2"/>
        <v>5331953.787944018</v>
      </c>
      <c r="BF41" s="25">
        <f t="shared" si="3"/>
        <v>10137119.084155248</v>
      </c>
      <c r="BG41" s="25">
        <f t="shared" si="3"/>
        <v>15340838.01738884</v>
      </c>
      <c r="BH41" s="25">
        <f t="shared" si="3"/>
        <v>129687.49804973588</v>
      </c>
      <c r="BI41" s="25">
        <f t="shared" si="3"/>
        <v>-1326496.211292363</v>
      </c>
      <c r="BJ41" s="25">
        <f t="shared" si="3"/>
        <v>506949.22040222585</v>
      </c>
      <c r="BK41" s="25">
        <f t="shared" si="4"/>
        <v>2732189.4825888383</v>
      </c>
      <c r="BL41" s="25">
        <f t="shared" si="4"/>
        <v>0</v>
      </c>
      <c r="BM41" s="26">
        <f t="shared" si="5"/>
        <v>32852240.87923654</v>
      </c>
    </row>
    <row r="42" spans="2:65" ht="15">
      <c r="B42" s="16">
        <v>1965</v>
      </c>
      <c r="C42" s="41">
        <v>6427</v>
      </c>
      <c r="D42" s="41">
        <v>7491</v>
      </c>
      <c r="E42" s="41">
        <v>11610</v>
      </c>
      <c r="F42" s="41">
        <v>13905</v>
      </c>
      <c r="G42" s="41">
        <v>14322</v>
      </c>
      <c r="H42" s="41">
        <v>12563</v>
      </c>
      <c r="I42" s="41">
        <v>7905</v>
      </c>
      <c r="J42" s="41">
        <v>12896</v>
      </c>
      <c r="K42" s="41">
        <v>12643</v>
      </c>
      <c r="L42" s="41">
        <v>11377</v>
      </c>
      <c r="M42" s="41">
        <v>9402</v>
      </c>
      <c r="N42" s="41">
        <v>8921</v>
      </c>
      <c r="O42" s="41">
        <v>8244</v>
      </c>
      <c r="P42" s="41">
        <v>5594</v>
      </c>
      <c r="Q42" s="42">
        <v>10344</v>
      </c>
      <c r="S42" s="16">
        <v>1965</v>
      </c>
      <c r="T42" s="7">
        <v>6427</v>
      </c>
      <c r="U42" s="7">
        <v>7491</v>
      </c>
      <c r="V42" s="7">
        <v>11610</v>
      </c>
      <c r="W42" s="7">
        <v>13905</v>
      </c>
      <c r="X42" s="7">
        <v>14322</v>
      </c>
      <c r="Y42" s="7">
        <v>12563</v>
      </c>
      <c r="Z42" s="7">
        <v>7128</v>
      </c>
      <c r="AA42" s="7">
        <v>12239</v>
      </c>
      <c r="AB42" s="7">
        <v>11847</v>
      </c>
      <c r="AC42" s="7">
        <v>10981</v>
      </c>
      <c r="AD42" s="7">
        <v>9548</v>
      </c>
      <c r="AE42" s="7">
        <v>8896</v>
      </c>
      <c r="AF42" s="7">
        <v>7986</v>
      </c>
      <c r="AG42" s="7">
        <v>5594</v>
      </c>
      <c r="AH42" s="8">
        <v>10185</v>
      </c>
      <c r="AJ42" s="16">
        <v>1965</v>
      </c>
      <c r="AK42" s="23">
        <v>24.592464800034815</v>
      </c>
      <c r="AL42" s="23">
        <v>25.56939825337073</v>
      </c>
      <c r="AM42" s="23">
        <v>23.49742692952518</v>
      </c>
      <c r="AN42" s="23">
        <v>19.780699042927832</v>
      </c>
      <c r="AO42" s="23">
        <v>17.762173487991102</v>
      </c>
      <c r="AP42" s="23">
        <v>16.789803122623816</v>
      </c>
      <c r="AQ42" s="23">
        <v>15.424579125245423</v>
      </c>
      <c r="AR42" s="23">
        <v>9.595388927002293</v>
      </c>
      <c r="AS42" s="23">
        <v>16.174281644821132</v>
      </c>
      <c r="AT42" s="23">
        <v>21.575590708691585</v>
      </c>
      <c r="AU42" s="23">
        <v>23.356488875419885</v>
      </c>
      <c r="AV42" s="24">
        <v>25.609109609921738</v>
      </c>
      <c r="AX42" s="16">
        <v>1965</v>
      </c>
      <c r="AY42" s="25">
        <f t="shared" si="2"/>
        <v>0</v>
      </c>
      <c r="AZ42" s="25">
        <f t="shared" si="2"/>
        <v>0</v>
      </c>
      <c r="BA42" s="25">
        <f t="shared" si="2"/>
        <v>0</v>
      </c>
      <c r="BB42" s="25">
        <f t="shared" si="2"/>
        <v>0</v>
      </c>
      <c r="BC42" s="25">
        <f t="shared" si="2"/>
        <v>0</v>
      </c>
      <c r="BD42" s="25">
        <f t="shared" si="2"/>
        <v>0</v>
      </c>
      <c r="BE42" s="25">
        <f t="shared" si="2"/>
        <v>4314563.27291365</v>
      </c>
      <c r="BF42" s="25">
        <f t="shared" si="3"/>
        <v>3648221.4547030474</v>
      </c>
      <c r="BG42" s="25">
        <f t="shared" si="3"/>
        <v>5682619.611905006</v>
      </c>
      <c r="BH42" s="25">
        <f t="shared" si="3"/>
        <v>4611611.182571401</v>
      </c>
      <c r="BI42" s="25">
        <f t="shared" si="3"/>
        <v>-2343626.965140915</v>
      </c>
      <c r="BJ42" s="25">
        <f t="shared" si="3"/>
        <v>210208.39987877896</v>
      </c>
      <c r="BK42" s="25">
        <f t="shared" si="4"/>
        <v>2313974.0658655986</v>
      </c>
      <c r="BL42" s="25">
        <f t="shared" si="4"/>
        <v>0</v>
      </c>
      <c r="BM42" s="26">
        <f t="shared" si="5"/>
        <v>18437571.022696566</v>
      </c>
    </row>
    <row r="43" spans="2:65" ht="15">
      <c r="B43" s="16">
        <v>1966</v>
      </c>
      <c r="C43" s="41">
        <v>5868</v>
      </c>
      <c r="D43" s="41">
        <v>6865</v>
      </c>
      <c r="E43" s="41">
        <v>8594</v>
      </c>
      <c r="F43" s="41">
        <v>8913</v>
      </c>
      <c r="G43" s="41">
        <v>8585</v>
      </c>
      <c r="H43" s="41">
        <v>7229</v>
      </c>
      <c r="I43" s="41">
        <v>11072</v>
      </c>
      <c r="J43" s="41">
        <v>8828</v>
      </c>
      <c r="K43" s="41">
        <v>8518</v>
      </c>
      <c r="L43" s="41">
        <v>9516</v>
      </c>
      <c r="M43" s="41">
        <v>9443</v>
      </c>
      <c r="N43" s="41">
        <v>8447</v>
      </c>
      <c r="O43" s="41">
        <v>6253</v>
      </c>
      <c r="P43" s="41">
        <v>5640</v>
      </c>
      <c r="Q43" s="42">
        <v>8032</v>
      </c>
      <c r="S43" s="16">
        <v>1966</v>
      </c>
      <c r="T43" s="7">
        <v>5868</v>
      </c>
      <c r="U43" s="7">
        <v>6865</v>
      </c>
      <c r="V43" s="7">
        <v>8594</v>
      </c>
      <c r="W43" s="7">
        <v>8913</v>
      </c>
      <c r="X43" s="7">
        <v>8585</v>
      </c>
      <c r="Y43" s="7">
        <v>7229</v>
      </c>
      <c r="Z43" s="7">
        <v>10526</v>
      </c>
      <c r="AA43" s="7">
        <v>7404</v>
      </c>
      <c r="AB43" s="7">
        <v>7064</v>
      </c>
      <c r="AC43" s="7">
        <v>8711</v>
      </c>
      <c r="AD43" s="7">
        <v>9442</v>
      </c>
      <c r="AE43" s="7">
        <v>8371</v>
      </c>
      <c r="AF43" s="7">
        <v>6055</v>
      </c>
      <c r="AG43" s="7">
        <v>5640</v>
      </c>
      <c r="AH43" s="8">
        <v>7750</v>
      </c>
      <c r="AJ43" s="16">
        <v>1966</v>
      </c>
      <c r="AK43" s="23">
        <v>23.296929557092753</v>
      </c>
      <c r="AL43" s="23">
        <v>26.496426098819587</v>
      </c>
      <c r="AM43" s="23">
        <v>28.889116678443013</v>
      </c>
      <c r="AN43" s="23">
        <v>28.1055144627889</v>
      </c>
      <c r="AO43" s="23">
        <v>28.192456320353884</v>
      </c>
      <c r="AP43" s="23">
        <v>24.594376122646693</v>
      </c>
      <c r="AQ43" s="23">
        <v>17.49703346411388</v>
      </c>
      <c r="AR43" s="23">
        <v>19.21147765498012</v>
      </c>
      <c r="AS43" s="23">
        <v>19.165162250730745</v>
      </c>
      <c r="AT43" s="23">
        <v>21.92290448834821</v>
      </c>
      <c r="AU43" s="23">
        <v>25.94833729344034</v>
      </c>
      <c r="AV43" s="24">
        <v>25.204149119059238</v>
      </c>
      <c r="AX43" s="16">
        <v>1966</v>
      </c>
      <c r="AY43" s="25">
        <f t="shared" si="2"/>
        <v>0</v>
      </c>
      <c r="AZ43" s="25">
        <f t="shared" si="2"/>
        <v>0</v>
      </c>
      <c r="BA43" s="25">
        <f t="shared" si="2"/>
        <v>0</v>
      </c>
      <c r="BB43" s="25">
        <f t="shared" si="2"/>
        <v>0</v>
      </c>
      <c r="BC43" s="25">
        <f t="shared" si="2"/>
        <v>0</v>
      </c>
      <c r="BD43" s="25">
        <f t="shared" si="2"/>
        <v>0</v>
      </c>
      <c r="BE43" s="25">
        <f t="shared" si="2"/>
        <v>3439216.897706224</v>
      </c>
      <c r="BF43" s="25">
        <f t="shared" si="3"/>
        <v>8969679.23504334</v>
      </c>
      <c r="BG43" s="25">
        <f t="shared" si="3"/>
        <v>20782515.451693773</v>
      </c>
      <c r="BH43" s="25">
        <f t="shared" si="3"/>
        <v>11108128.04052354</v>
      </c>
      <c r="BI43" s="25">
        <f t="shared" si="3"/>
        <v>16310.640939331068</v>
      </c>
      <c r="BJ43" s="25">
        <f t="shared" si="3"/>
        <v>709946.5083485277</v>
      </c>
      <c r="BK43" s="25">
        <f t="shared" si="4"/>
        <v>1972903.9810948558</v>
      </c>
      <c r="BL43" s="25">
        <f t="shared" si="4"/>
        <v>0</v>
      </c>
      <c r="BM43" s="26">
        <f t="shared" si="5"/>
        <v>46998700.75534959</v>
      </c>
    </row>
    <row r="44" spans="2:65" ht="15">
      <c r="B44" s="16">
        <v>1967</v>
      </c>
      <c r="C44" s="41">
        <v>5208</v>
      </c>
      <c r="D44" s="41">
        <v>6532</v>
      </c>
      <c r="E44" s="41">
        <v>8813</v>
      </c>
      <c r="F44" s="41">
        <v>11722</v>
      </c>
      <c r="G44" s="41">
        <v>11550</v>
      </c>
      <c r="H44" s="41">
        <v>10693</v>
      </c>
      <c r="I44" s="41">
        <v>7492</v>
      </c>
      <c r="J44" s="41">
        <v>5737</v>
      </c>
      <c r="K44" s="41">
        <v>10275</v>
      </c>
      <c r="L44" s="41">
        <v>13294</v>
      </c>
      <c r="M44" s="41">
        <v>11390</v>
      </c>
      <c r="N44" s="41">
        <v>8372</v>
      </c>
      <c r="O44" s="41">
        <v>7610</v>
      </c>
      <c r="P44" s="41">
        <v>6123</v>
      </c>
      <c r="Q44" s="42">
        <v>9175</v>
      </c>
      <c r="S44" s="16">
        <v>1967</v>
      </c>
      <c r="T44" s="7">
        <v>5208</v>
      </c>
      <c r="U44" s="7">
        <v>6532</v>
      </c>
      <c r="V44" s="7">
        <v>8813</v>
      </c>
      <c r="W44" s="7">
        <v>11722</v>
      </c>
      <c r="X44" s="7">
        <v>11550</v>
      </c>
      <c r="Y44" s="7">
        <v>10693</v>
      </c>
      <c r="Z44" s="7">
        <v>6620</v>
      </c>
      <c r="AA44" s="7">
        <v>4705</v>
      </c>
      <c r="AB44" s="7">
        <v>9078</v>
      </c>
      <c r="AC44" s="7">
        <v>13080</v>
      </c>
      <c r="AD44" s="7">
        <v>11472</v>
      </c>
      <c r="AE44" s="7">
        <v>8308</v>
      </c>
      <c r="AF44" s="7">
        <v>7326</v>
      </c>
      <c r="AG44" s="7">
        <v>6123</v>
      </c>
      <c r="AH44" s="8">
        <v>8969</v>
      </c>
      <c r="AJ44" s="16">
        <v>1967</v>
      </c>
      <c r="AK44" s="23">
        <v>23.717704926767677</v>
      </c>
      <c r="AL44" s="23">
        <v>25.176499302145864</v>
      </c>
      <c r="AM44" s="23">
        <v>26.197731310321455</v>
      </c>
      <c r="AN44" s="23">
        <v>23.656744629336945</v>
      </c>
      <c r="AO44" s="23">
        <v>23.4650238752365</v>
      </c>
      <c r="AP44" s="23">
        <v>21.13928925063695</v>
      </c>
      <c r="AQ44" s="23">
        <v>22.557563417222777</v>
      </c>
      <c r="AR44" s="23">
        <v>15.596716134778934</v>
      </c>
      <c r="AS44" s="23">
        <v>4.244215988119423</v>
      </c>
      <c r="AT44" s="23">
        <v>17.398286255569225</v>
      </c>
      <c r="AU44" s="23">
        <v>24.353720772650924</v>
      </c>
      <c r="AV44" s="24">
        <v>24.147008897463486</v>
      </c>
      <c r="AX44" s="16">
        <v>1967</v>
      </c>
      <c r="AY44" s="25">
        <f t="shared" si="2"/>
        <v>0</v>
      </c>
      <c r="AZ44" s="25">
        <f t="shared" si="2"/>
        <v>0</v>
      </c>
      <c r="BA44" s="25">
        <f t="shared" si="2"/>
        <v>0</v>
      </c>
      <c r="BB44" s="25">
        <f t="shared" si="2"/>
        <v>0</v>
      </c>
      <c r="BC44" s="25">
        <f t="shared" si="2"/>
        <v>0</v>
      </c>
      <c r="BD44" s="25">
        <f t="shared" si="2"/>
        <v>0</v>
      </c>
      <c r="BE44" s="25">
        <f t="shared" si="2"/>
        <v>7081270.307934574</v>
      </c>
      <c r="BF44" s="25">
        <f t="shared" si="3"/>
        <v>8380585.960766606</v>
      </c>
      <c r="BG44" s="25">
        <f t="shared" si="3"/>
        <v>13889936.294717805</v>
      </c>
      <c r="BH44" s="25">
        <f t="shared" si="3"/>
        <v>653948.7994494408</v>
      </c>
      <c r="BI44" s="25">
        <f t="shared" si="3"/>
        <v>-1061434.6478797672</v>
      </c>
      <c r="BJ44" s="25">
        <f t="shared" si="3"/>
        <v>561109.7266018772</v>
      </c>
      <c r="BK44" s="25">
        <f t="shared" si="4"/>
        <v>2655919.372582219</v>
      </c>
      <c r="BL44" s="25">
        <f t="shared" si="4"/>
        <v>0</v>
      </c>
      <c r="BM44" s="26">
        <f t="shared" si="5"/>
        <v>32161335.814172752</v>
      </c>
    </row>
    <row r="45" spans="2:65" ht="15">
      <c r="B45" s="16">
        <v>1968</v>
      </c>
      <c r="C45" s="41">
        <v>5691</v>
      </c>
      <c r="D45" s="41">
        <v>7193</v>
      </c>
      <c r="E45" s="41">
        <v>8583</v>
      </c>
      <c r="F45" s="41">
        <v>10876</v>
      </c>
      <c r="G45" s="41">
        <v>10046</v>
      </c>
      <c r="H45" s="41">
        <v>9699</v>
      </c>
      <c r="I45" s="41">
        <v>5868</v>
      </c>
      <c r="J45" s="41">
        <v>7200</v>
      </c>
      <c r="K45" s="41">
        <v>8245</v>
      </c>
      <c r="L45" s="41">
        <v>11981</v>
      </c>
      <c r="M45" s="41">
        <v>10008</v>
      </c>
      <c r="N45" s="41">
        <v>8597</v>
      </c>
      <c r="O45" s="41">
        <v>7432</v>
      </c>
      <c r="P45" s="41">
        <v>7587</v>
      </c>
      <c r="Q45" s="42">
        <v>8700</v>
      </c>
      <c r="S45" s="16">
        <v>1968</v>
      </c>
      <c r="T45" s="7">
        <v>5691</v>
      </c>
      <c r="U45" s="7">
        <v>7193</v>
      </c>
      <c r="V45" s="7">
        <v>8583</v>
      </c>
      <c r="W45" s="7">
        <v>10876</v>
      </c>
      <c r="X45" s="7">
        <v>10046</v>
      </c>
      <c r="Y45" s="7">
        <v>9699</v>
      </c>
      <c r="Z45" s="7">
        <v>4940</v>
      </c>
      <c r="AA45" s="7">
        <v>5974</v>
      </c>
      <c r="AB45" s="7">
        <v>6757</v>
      </c>
      <c r="AC45" s="7">
        <v>11320</v>
      </c>
      <c r="AD45" s="7">
        <v>10029</v>
      </c>
      <c r="AE45" s="7">
        <v>8521</v>
      </c>
      <c r="AF45" s="7">
        <v>7158</v>
      </c>
      <c r="AG45" s="7">
        <v>7587</v>
      </c>
      <c r="AH45" s="8">
        <v>8418</v>
      </c>
      <c r="AJ45" s="16">
        <v>1968</v>
      </c>
      <c r="AK45" s="23">
        <v>25.199925641859764</v>
      </c>
      <c r="AL45" s="23">
        <v>26.25037688058225</v>
      </c>
      <c r="AM45" s="23">
        <v>27.846338994272305</v>
      </c>
      <c r="AN45" s="23">
        <v>25.15137644813906</v>
      </c>
      <c r="AO45" s="23">
        <v>25.768909754071927</v>
      </c>
      <c r="AP45" s="23">
        <v>22.859148995584277</v>
      </c>
      <c r="AQ45" s="23">
        <v>24.311828996870272</v>
      </c>
      <c r="AR45" s="23">
        <v>19.655071310330474</v>
      </c>
      <c r="AS45" s="23">
        <v>13.833717815081274</v>
      </c>
      <c r="AT45" s="23">
        <v>22.114621695139043</v>
      </c>
      <c r="AU45" s="23">
        <v>25.243823255262086</v>
      </c>
      <c r="AV45" s="24">
        <v>23.5879642264048</v>
      </c>
      <c r="AX45" s="16">
        <v>1968</v>
      </c>
      <c r="AY45" s="25">
        <f t="shared" si="2"/>
        <v>0</v>
      </c>
      <c r="AZ45" s="25">
        <f t="shared" si="2"/>
        <v>0</v>
      </c>
      <c r="BA45" s="25">
        <f t="shared" si="2"/>
        <v>0</v>
      </c>
      <c r="BB45" s="25">
        <f t="shared" si="2"/>
        <v>0</v>
      </c>
      <c r="BC45" s="25">
        <f t="shared" si="2"/>
        <v>0</v>
      </c>
      <c r="BD45" s="25">
        <f t="shared" si="2"/>
        <v>0</v>
      </c>
      <c r="BE45" s="25">
        <f t="shared" si="2"/>
        <v>8122095.83127442</v>
      </c>
      <c r="BF45" s="25">
        <f t="shared" si="3"/>
        <v>10730268.846058663</v>
      </c>
      <c r="BG45" s="25">
        <f t="shared" si="3"/>
        <v>21759579.105670176</v>
      </c>
      <c r="BH45" s="25">
        <f t="shared" si="3"/>
        <v>6583742.98255348</v>
      </c>
      <c r="BI45" s="25">
        <f t="shared" si="3"/>
        <v>-345518.8493648524</v>
      </c>
      <c r="BJ45" s="25">
        <f t="shared" si="3"/>
        <v>690671.0042639707</v>
      </c>
      <c r="BK45" s="25">
        <f t="shared" si="4"/>
        <v>2656054.107625656</v>
      </c>
      <c r="BL45" s="25">
        <f t="shared" si="4"/>
        <v>0</v>
      </c>
      <c r="BM45" s="26">
        <f t="shared" si="5"/>
        <v>50196893.02808151</v>
      </c>
    </row>
    <row r="46" spans="2:65" ht="15">
      <c r="B46" s="16">
        <v>1969</v>
      </c>
      <c r="C46" s="41">
        <v>6610</v>
      </c>
      <c r="D46" s="41">
        <v>8511</v>
      </c>
      <c r="E46" s="41">
        <v>9689</v>
      </c>
      <c r="F46" s="41">
        <v>12615</v>
      </c>
      <c r="G46" s="41">
        <v>13164</v>
      </c>
      <c r="H46" s="41">
        <v>11032</v>
      </c>
      <c r="I46" s="41">
        <v>11006</v>
      </c>
      <c r="J46" s="41">
        <v>12527</v>
      </c>
      <c r="K46" s="41">
        <v>13117</v>
      </c>
      <c r="L46" s="41">
        <v>11580</v>
      </c>
      <c r="M46" s="41">
        <v>9636</v>
      </c>
      <c r="N46" s="41">
        <v>7259</v>
      </c>
      <c r="O46" s="41">
        <v>6353</v>
      </c>
      <c r="P46" s="41">
        <v>5687</v>
      </c>
      <c r="Q46" s="42">
        <v>9998</v>
      </c>
      <c r="S46" s="16">
        <v>1969</v>
      </c>
      <c r="T46" s="7">
        <v>6610</v>
      </c>
      <c r="U46" s="7">
        <v>8511</v>
      </c>
      <c r="V46" s="7">
        <v>9689</v>
      </c>
      <c r="W46" s="7">
        <v>12615</v>
      </c>
      <c r="X46" s="7">
        <v>13164</v>
      </c>
      <c r="Y46" s="7">
        <v>11032</v>
      </c>
      <c r="Z46" s="7">
        <v>10583</v>
      </c>
      <c r="AA46" s="7">
        <v>11757</v>
      </c>
      <c r="AB46" s="7">
        <v>12604</v>
      </c>
      <c r="AC46" s="7">
        <v>10885</v>
      </c>
      <c r="AD46" s="7">
        <v>9677</v>
      </c>
      <c r="AE46" s="7">
        <v>7204</v>
      </c>
      <c r="AF46" s="7">
        <v>6119</v>
      </c>
      <c r="AG46" s="7">
        <v>5687</v>
      </c>
      <c r="AH46" s="8">
        <v>9839</v>
      </c>
      <c r="AJ46" s="16">
        <v>1969</v>
      </c>
      <c r="AK46" s="23">
        <v>22.623072466542634</v>
      </c>
      <c r="AL46" s="23">
        <v>23.910988717601615</v>
      </c>
      <c r="AM46" s="23">
        <v>26.256896686041248</v>
      </c>
      <c r="AN46" s="23">
        <v>23.020134631151823</v>
      </c>
      <c r="AO46" s="23">
        <v>21.971552012647884</v>
      </c>
      <c r="AP46" s="23">
        <v>20.728429445893074</v>
      </c>
      <c r="AQ46" s="23">
        <v>12.667572191274829</v>
      </c>
      <c r="AR46" s="23">
        <v>3.8771319400999817</v>
      </c>
      <c r="AS46" s="23">
        <v>14.441665502720399</v>
      </c>
      <c r="AT46" s="23">
        <v>22.19295713722065</v>
      </c>
      <c r="AU46" s="23">
        <v>26.684012030016987</v>
      </c>
      <c r="AV46" s="24">
        <v>25.500227692921943</v>
      </c>
      <c r="AX46" s="16">
        <v>1969</v>
      </c>
      <c r="AY46" s="25">
        <f t="shared" si="2"/>
        <v>0</v>
      </c>
      <c r="AZ46" s="25">
        <f t="shared" si="2"/>
        <v>0</v>
      </c>
      <c r="BA46" s="25">
        <f t="shared" si="2"/>
        <v>0</v>
      </c>
      <c r="BB46" s="25">
        <f t="shared" si="2"/>
        <v>0</v>
      </c>
      <c r="BC46" s="25">
        <f t="shared" si="2"/>
        <v>0</v>
      </c>
      <c r="BD46" s="25">
        <f t="shared" si="2"/>
        <v>0</v>
      </c>
      <c r="BE46" s="25">
        <f t="shared" si="2"/>
        <v>1929017.8932873309</v>
      </c>
      <c r="BF46" s="25">
        <f t="shared" si="3"/>
        <v>3511451.0114213824</v>
      </c>
      <c r="BG46" s="25">
        <f t="shared" si="3"/>
        <v>1479792.7018418403</v>
      </c>
      <c r="BH46" s="25">
        <f t="shared" si="3"/>
        <v>7226609.417561288</v>
      </c>
      <c r="BI46" s="25">
        <f t="shared" si="3"/>
        <v>-676973.9645137787</v>
      </c>
      <c r="BJ46" s="25">
        <f t="shared" si="3"/>
        <v>528343.4381943364</v>
      </c>
      <c r="BK46" s="25">
        <f t="shared" si="4"/>
        <v>2397718.5849692062</v>
      </c>
      <c r="BL46" s="25">
        <f t="shared" si="4"/>
        <v>0</v>
      </c>
      <c r="BM46" s="26">
        <f t="shared" si="5"/>
        <v>16395959.082761604</v>
      </c>
    </row>
    <row r="47" spans="2:65" ht="15">
      <c r="B47" s="16">
        <v>1970</v>
      </c>
      <c r="C47" s="41">
        <v>5613</v>
      </c>
      <c r="D47" s="41">
        <v>7034</v>
      </c>
      <c r="E47" s="41">
        <v>7278</v>
      </c>
      <c r="F47" s="41">
        <v>9509</v>
      </c>
      <c r="G47" s="41">
        <v>8979</v>
      </c>
      <c r="H47" s="41">
        <v>8397</v>
      </c>
      <c r="I47" s="41">
        <v>6635</v>
      </c>
      <c r="J47" s="41">
        <v>7718</v>
      </c>
      <c r="K47" s="41">
        <v>10431</v>
      </c>
      <c r="L47" s="41">
        <v>13003</v>
      </c>
      <c r="M47" s="41">
        <v>7217</v>
      </c>
      <c r="N47" s="41">
        <v>7089</v>
      </c>
      <c r="O47" s="41">
        <v>6050</v>
      </c>
      <c r="P47" s="41">
        <v>5601</v>
      </c>
      <c r="Q47" s="42">
        <v>8057</v>
      </c>
      <c r="S47" s="16">
        <v>1970</v>
      </c>
      <c r="T47" s="7">
        <v>5613</v>
      </c>
      <c r="U47" s="7">
        <v>7034</v>
      </c>
      <c r="V47" s="7">
        <v>7278</v>
      </c>
      <c r="W47" s="7">
        <v>9509</v>
      </c>
      <c r="X47" s="7">
        <v>8979</v>
      </c>
      <c r="Y47" s="7">
        <v>8397</v>
      </c>
      <c r="Z47" s="7">
        <v>5719</v>
      </c>
      <c r="AA47" s="7">
        <v>6352</v>
      </c>
      <c r="AB47" s="7">
        <v>9197</v>
      </c>
      <c r="AC47" s="7">
        <v>12695</v>
      </c>
      <c r="AD47" s="7">
        <v>7354</v>
      </c>
      <c r="AE47" s="7">
        <v>7048</v>
      </c>
      <c r="AF47" s="7">
        <v>5803</v>
      </c>
      <c r="AG47" s="7">
        <v>5601</v>
      </c>
      <c r="AH47" s="8">
        <v>7832</v>
      </c>
      <c r="AJ47" s="16">
        <v>1970</v>
      </c>
      <c r="AK47" s="23">
        <v>25.41911903658218</v>
      </c>
      <c r="AL47" s="23">
        <v>26.664981848323887</v>
      </c>
      <c r="AM47" s="23">
        <v>31.135851350907352</v>
      </c>
      <c r="AN47" s="23">
        <v>26.50500249273031</v>
      </c>
      <c r="AO47" s="23">
        <v>27.403184802191618</v>
      </c>
      <c r="AP47" s="23">
        <v>23.98641603025099</v>
      </c>
      <c r="AQ47" s="23">
        <v>21.98243692874911</v>
      </c>
      <c r="AR47" s="23">
        <v>16.0365285987495</v>
      </c>
      <c r="AS47" s="23">
        <v>9.811099047130996</v>
      </c>
      <c r="AT47" s="23">
        <v>26.740555351780298</v>
      </c>
      <c r="AU47" s="23">
        <v>26.118758412330404</v>
      </c>
      <c r="AV47" s="24">
        <v>25.40571549733478</v>
      </c>
      <c r="AX47" s="16">
        <v>1970</v>
      </c>
      <c r="AY47" s="25">
        <f t="shared" si="2"/>
        <v>0</v>
      </c>
      <c r="AZ47" s="25">
        <f t="shared" si="2"/>
        <v>0</v>
      </c>
      <c r="BA47" s="25">
        <f t="shared" si="2"/>
        <v>0</v>
      </c>
      <c r="BB47" s="25">
        <f t="shared" si="2"/>
        <v>0</v>
      </c>
      <c r="BC47" s="25">
        <f t="shared" si="2"/>
        <v>0</v>
      </c>
      <c r="BD47" s="25">
        <f t="shared" si="2"/>
        <v>0</v>
      </c>
      <c r="BE47" s="25">
        <f t="shared" si="2"/>
        <v>7248928.401624306</v>
      </c>
      <c r="BF47" s="25">
        <f t="shared" si="3"/>
        <v>10810083.184081662</v>
      </c>
      <c r="BG47" s="25">
        <f t="shared" si="3"/>
        <v>14723072.76039752</v>
      </c>
      <c r="BH47" s="25">
        <f t="shared" si="3"/>
        <v>2175709.3246917697</v>
      </c>
      <c r="BI47" s="25">
        <f t="shared" si="3"/>
        <v>-2725611.325896262</v>
      </c>
      <c r="BJ47" s="25">
        <f t="shared" si="3"/>
        <v>385512.8741659968</v>
      </c>
      <c r="BK47" s="25">
        <f t="shared" si="4"/>
        <v>2477311.997892714</v>
      </c>
      <c r="BL47" s="25">
        <f t="shared" si="4"/>
        <v>0</v>
      </c>
      <c r="BM47" s="26">
        <f t="shared" si="5"/>
        <v>35095007.21695771</v>
      </c>
    </row>
    <row r="48" spans="2:65" ht="15">
      <c r="B48" s="16">
        <v>1971</v>
      </c>
      <c r="C48" s="41">
        <v>5161</v>
      </c>
      <c r="D48" s="41">
        <v>6641</v>
      </c>
      <c r="E48" s="41">
        <v>7860</v>
      </c>
      <c r="F48" s="41">
        <v>12881</v>
      </c>
      <c r="G48" s="41">
        <v>14250</v>
      </c>
      <c r="H48" s="41">
        <v>12088</v>
      </c>
      <c r="I48" s="41">
        <v>10771</v>
      </c>
      <c r="J48" s="41">
        <v>11592</v>
      </c>
      <c r="K48" s="41">
        <v>13214</v>
      </c>
      <c r="L48" s="41">
        <v>13473</v>
      </c>
      <c r="M48" s="41">
        <v>11832</v>
      </c>
      <c r="N48" s="41">
        <v>9306</v>
      </c>
      <c r="O48" s="41">
        <v>9339</v>
      </c>
      <c r="P48" s="41">
        <v>6201</v>
      </c>
      <c r="Q48" s="42">
        <v>10320</v>
      </c>
      <c r="S48" s="16">
        <v>1971</v>
      </c>
      <c r="T48" s="7">
        <v>5161</v>
      </c>
      <c r="U48" s="7">
        <v>6641</v>
      </c>
      <c r="V48" s="7">
        <v>7860</v>
      </c>
      <c r="W48" s="7">
        <v>12881</v>
      </c>
      <c r="X48" s="7">
        <v>14250</v>
      </c>
      <c r="Y48" s="7">
        <v>12088</v>
      </c>
      <c r="Z48" s="7">
        <v>10226</v>
      </c>
      <c r="AA48" s="7">
        <v>10487</v>
      </c>
      <c r="AB48" s="7">
        <v>13118</v>
      </c>
      <c r="AC48" s="7">
        <v>13286</v>
      </c>
      <c r="AD48" s="7">
        <v>11941</v>
      </c>
      <c r="AE48" s="7">
        <v>9258</v>
      </c>
      <c r="AF48" s="7">
        <v>9040</v>
      </c>
      <c r="AG48" s="7">
        <v>6201</v>
      </c>
      <c r="AH48" s="8">
        <v>10223</v>
      </c>
      <c r="AJ48" s="16">
        <v>1971</v>
      </c>
      <c r="AK48" s="23">
        <v>24.95943578827766</v>
      </c>
      <c r="AL48" s="23">
        <v>25.969186606255054</v>
      </c>
      <c r="AM48" s="23">
        <v>28.006803603326084</v>
      </c>
      <c r="AN48" s="23">
        <v>21.232062323503595</v>
      </c>
      <c r="AO48" s="23">
        <v>17.951934978791645</v>
      </c>
      <c r="AP48" s="23">
        <v>17.59188976669699</v>
      </c>
      <c r="AQ48" s="23">
        <v>15.230889164341821</v>
      </c>
      <c r="AR48" s="23">
        <v>7.463448313667707</v>
      </c>
      <c r="AS48" s="23">
        <v>1.769077922072675</v>
      </c>
      <c r="AT48" s="23">
        <v>15.669864373341662</v>
      </c>
      <c r="AU48" s="23">
        <v>22.94948491588717</v>
      </c>
      <c r="AV48" s="24">
        <v>25.643740326563567</v>
      </c>
      <c r="AX48" s="16">
        <v>1971</v>
      </c>
      <c r="AY48" s="25">
        <f t="shared" si="2"/>
        <v>0</v>
      </c>
      <c r="AZ48" s="25">
        <f t="shared" si="2"/>
        <v>0</v>
      </c>
      <c r="BA48" s="25">
        <f t="shared" si="2"/>
        <v>0</v>
      </c>
      <c r="BB48" s="25">
        <f t="shared" si="2"/>
        <v>0</v>
      </c>
      <c r="BC48" s="25">
        <f t="shared" si="2"/>
        <v>0</v>
      </c>
      <c r="BD48" s="25">
        <f t="shared" si="2"/>
        <v>0</v>
      </c>
      <c r="BE48" s="25">
        <f t="shared" si="2"/>
        <v>2988300.454043865</v>
      </c>
      <c r="BF48" s="25">
        <f t="shared" si="3"/>
        <v>6058847.709575176</v>
      </c>
      <c r="BG48" s="25">
        <f t="shared" si="3"/>
        <v>533069.3323554023</v>
      </c>
      <c r="BH48" s="25">
        <f t="shared" si="3"/>
        <v>238188.65142786494</v>
      </c>
      <c r="BI48" s="25">
        <f t="shared" si="3"/>
        <v>-1270763.3212205155</v>
      </c>
      <c r="BJ48" s="25">
        <f t="shared" si="3"/>
        <v>396567.0993465303</v>
      </c>
      <c r="BK48" s="25">
        <f t="shared" si="4"/>
        <v>2634968.060102501</v>
      </c>
      <c r="BL48" s="25">
        <f t="shared" si="4"/>
        <v>0</v>
      </c>
      <c r="BM48" s="26">
        <f t="shared" si="5"/>
        <v>11579177.985630825</v>
      </c>
    </row>
    <row r="49" spans="2:65" ht="15">
      <c r="B49" s="16">
        <v>1972</v>
      </c>
      <c r="C49" s="41">
        <v>5847</v>
      </c>
      <c r="D49" s="41">
        <v>6761</v>
      </c>
      <c r="E49" s="41">
        <v>8804</v>
      </c>
      <c r="F49" s="41">
        <v>12732</v>
      </c>
      <c r="G49" s="41">
        <v>13284</v>
      </c>
      <c r="H49" s="41">
        <v>13833</v>
      </c>
      <c r="I49" s="41">
        <v>12597</v>
      </c>
      <c r="J49" s="41">
        <v>10024</v>
      </c>
      <c r="K49" s="41">
        <v>12967</v>
      </c>
      <c r="L49" s="41">
        <v>13233</v>
      </c>
      <c r="M49" s="41">
        <v>11844</v>
      </c>
      <c r="N49" s="41">
        <v>10053</v>
      </c>
      <c r="O49" s="41">
        <v>9622</v>
      </c>
      <c r="P49" s="41">
        <v>6450</v>
      </c>
      <c r="Q49" s="42">
        <v>10572</v>
      </c>
      <c r="S49" s="16">
        <v>1972</v>
      </c>
      <c r="T49" s="7">
        <v>5847</v>
      </c>
      <c r="U49" s="7">
        <v>6761</v>
      </c>
      <c r="V49" s="7">
        <v>8804</v>
      </c>
      <c r="W49" s="7">
        <v>12732</v>
      </c>
      <c r="X49" s="7">
        <v>13284</v>
      </c>
      <c r="Y49" s="7">
        <v>13833</v>
      </c>
      <c r="Z49" s="7">
        <v>12218</v>
      </c>
      <c r="AA49" s="7">
        <v>8860</v>
      </c>
      <c r="AB49" s="7">
        <v>12505</v>
      </c>
      <c r="AC49" s="7">
        <v>13196</v>
      </c>
      <c r="AD49" s="7">
        <v>11848</v>
      </c>
      <c r="AE49" s="7">
        <v>9982</v>
      </c>
      <c r="AF49" s="7">
        <v>9320</v>
      </c>
      <c r="AG49" s="7">
        <v>6450</v>
      </c>
      <c r="AH49" s="8">
        <v>10451</v>
      </c>
      <c r="AJ49" s="16">
        <v>1972</v>
      </c>
      <c r="AK49" s="23">
        <v>23.202504313376647</v>
      </c>
      <c r="AL49" s="23">
        <v>26.546624132201362</v>
      </c>
      <c r="AM49" s="23">
        <v>28.243772662583225</v>
      </c>
      <c r="AN49" s="23">
        <v>20.900256129875</v>
      </c>
      <c r="AO49" s="23">
        <v>18.541125331180428</v>
      </c>
      <c r="AP49" s="23">
        <v>6.444550556503219</v>
      </c>
      <c r="AQ49" s="23">
        <v>11.270575817194256</v>
      </c>
      <c r="AR49" s="23">
        <v>7.213791030901743</v>
      </c>
      <c r="AS49" s="23">
        <v>3.6737084479381883</v>
      </c>
      <c r="AT49" s="23">
        <v>13.820872271044903</v>
      </c>
      <c r="AU49" s="23">
        <v>21.40911660348216</v>
      </c>
      <c r="AV49" s="24">
        <v>24.34742340564724</v>
      </c>
      <c r="AX49" s="16">
        <v>1972</v>
      </c>
      <c r="AY49" s="25">
        <f t="shared" si="2"/>
        <v>0</v>
      </c>
      <c r="AZ49" s="25">
        <f t="shared" si="2"/>
        <v>0</v>
      </c>
      <c r="BA49" s="25">
        <f t="shared" si="2"/>
        <v>0</v>
      </c>
      <c r="BB49" s="25">
        <f t="shared" si="2"/>
        <v>0</v>
      </c>
      <c r="BC49" s="25">
        <f t="shared" si="2"/>
        <v>0</v>
      </c>
      <c r="BD49" s="25">
        <f t="shared" si="2"/>
        <v>0</v>
      </c>
      <c r="BE49" s="25">
        <f t="shared" si="2"/>
        <v>1537757.3644979843</v>
      </c>
      <c r="BF49" s="25">
        <f t="shared" si="3"/>
        <v>4722822.090437081</v>
      </c>
      <c r="BG49" s="25">
        <f t="shared" si="3"/>
        <v>2479581.9634697945</v>
      </c>
      <c r="BH49" s="25">
        <f t="shared" si="3"/>
        <v>97867.59305307333</v>
      </c>
      <c r="BI49" s="25">
        <f t="shared" si="3"/>
        <v>-41130.91587862963</v>
      </c>
      <c r="BJ49" s="25">
        <f t="shared" si="3"/>
        <v>547217.020385004</v>
      </c>
      <c r="BK49" s="25">
        <f t="shared" si="4"/>
        <v>2482772.4342726194</v>
      </c>
      <c r="BL49" s="25">
        <f t="shared" si="4"/>
        <v>0</v>
      </c>
      <c r="BM49" s="26">
        <f t="shared" si="5"/>
        <v>11826887.550236925</v>
      </c>
    </row>
    <row r="50" spans="2:65" ht="15">
      <c r="B50" s="16">
        <v>1973</v>
      </c>
      <c r="C50" s="41">
        <v>5812</v>
      </c>
      <c r="D50" s="41">
        <v>6899</v>
      </c>
      <c r="E50" s="41">
        <v>8331</v>
      </c>
      <c r="F50" s="41">
        <v>9356</v>
      </c>
      <c r="G50" s="41">
        <v>7507</v>
      </c>
      <c r="H50" s="41">
        <v>6656</v>
      </c>
      <c r="I50" s="41">
        <v>4107</v>
      </c>
      <c r="J50" s="41">
        <v>6744</v>
      </c>
      <c r="K50" s="41">
        <v>8592</v>
      </c>
      <c r="L50" s="41">
        <v>6032</v>
      </c>
      <c r="M50" s="41">
        <v>6904</v>
      </c>
      <c r="N50" s="41">
        <v>6609</v>
      </c>
      <c r="O50" s="41">
        <v>5682</v>
      </c>
      <c r="P50" s="41">
        <v>5664</v>
      </c>
      <c r="Q50" s="42">
        <v>6948</v>
      </c>
      <c r="S50" s="16">
        <v>1973</v>
      </c>
      <c r="T50" s="7">
        <v>5812</v>
      </c>
      <c r="U50" s="7">
        <v>6899</v>
      </c>
      <c r="V50" s="7">
        <v>8331</v>
      </c>
      <c r="W50" s="7">
        <v>9356</v>
      </c>
      <c r="X50" s="7">
        <v>7507</v>
      </c>
      <c r="Y50" s="7">
        <v>6656</v>
      </c>
      <c r="Z50" s="7">
        <v>3488</v>
      </c>
      <c r="AA50" s="7">
        <v>5667</v>
      </c>
      <c r="AB50" s="7">
        <v>7134</v>
      </c>
      <c r="AC50" s="7">
        <v>5177</v>
      </c>
      <c r="AD50" s="7">
        <v>6922</v>
      </c>
      <c r="AE50" s="7">
        <v>6557</v>
      </c>
      <c r="AF50" s="7">
        <v>5529</v>
      </c>
      <c r="AG50" s="7">
        <v>5664</v>
      </c>
      <c r="AH50" s="8">
        <v>6677</v>
      </c>
      <c r="AJ50" s="16">
        <v>1973</v>
      </c>
      <c r="AK50" s="23">
        <v>23.637809751110698</v>
      </c>
      <c r="AL50" s="23">
        <v>26.3033316681686</v>
      </c>
      <c r="AM50" s="23">
        <v>27.58809188155718</v>
      </c>
      <c r="AN50" s="23">
        <v>26.9043239485833</v>
      </c>
      <c r="AO50" s="23">
        <v>28.976312555585586</v>
      </c>
      <c r="AP50" s="23">
        <v>25.10138011366973</v>
      </c>
      <c r="AQ50" s="23">
        <v>22.809391122923937</v>
      </c>
      <c r="AR50" s="23">
        <v>18.177970441695148</v>
      </c>
      <c r="AS50" s="23">
        <v>23.359899981816636</v>
      </c>
      <c r="AT50" s="23">
        <v>24.857939206656585</v>
      </c>
      <c r="AU50" s="23">
        <v>27.255301007147736</v>
      </c>
      <c r="AV50" s="24">
        <v>24.756887110074363</v>
      </c>
      <c r="AX50" s="16">
        <v>1973</v>
      </c>
      <c r="AY50" s="25">
        <f t="shared" si="2"/>
        <v>0</v>
      </c>
      <c r="AZ50" s="25">
        <f t="shared" si="2"/>
        <v>0</v>
      </c>
      <c r="BA50" s="25">
        <f t="shared" si="2"/>
        <v>0</v>
      </c>
      <c r="BB50" s="25">
        <f t="shared" si="2"/>
        <v>0</v>
      </c>
      <c r="BC50" s="25">
        <f t="shared" si="2"/>
        <v>0</v>
      </c>
      <c r="BD50" s="25">
        <f t="shared" si="2"/>
        <v>0</v>
      </c>
      <c r="BE50" s="25">
        <f t="shared" si="2"/>
        <v>5082844.717832371</v>
      </c>
      <c r="BF50" s="25">
        <f t="shared" si="3"/>
        <v>8843657.12618007</v>
      </c>
      <c r="BG50" s="25">
        <f t="shared" si="3"/>
        <v>19718589.792569697</v>
      </c>
      <c r="BH50" s="25">
        <f t="shared" si="3"/>
        <v>14380354.428806322</v>
      </c>
      <c r="BI50" s="25">
        <f t="shared" si="3"/>
        <v>-332897.521855545</v>
      </c>
      <c r="BJ50" s="25">
        <f t="shared" si="3"/>
        <v>510219.2348538056</v>
      </c>
      <c r="BK50" s="25">
        <f t="shared" si="4"/>
        <v>1601303.4447719438</v>
      </c>
      <c r="BL50" s="25">
        <f t="shared" si="4"/>
        <v>0</v>
      </c>
      <c r="BM50" s="26">
        <f t="shared" si="5"/>
        <v>49804071.22315866</v>
      </c>
    </row>
    <row r="51" spans="2:65" ht="15">
      <c r="B51" s="16">
        <v>1974</v>
      </c>
      <c r="C51" s="41">
        <v>5302</v>
      </c>
      <c r="D51" s="41">
        <v>6409</v>
      </c>
      <c r="E51" s="41">
        <v>9402</v>
      </c>
      <c r="F51" s="41">
        <v>14659</v>
      </c>
      <c r="G51" s="41">
        <v>14156</v>
      </c>
      <c r="H51" s="41">
        <v>13529</v>
      </c>
      <c r="I51" s="41">
        <v>11350</v>
      </c>
      <c r="J51" s="41">
        <v>12485</v>
      </c>
      <c r="K51" s="41">
        <v>12546</v>
      </c>
      <c r="L51" s="41">
        <v>13212</v>
      </c>
      <c r="M51" s="41">
        <v>12655</v>
      </c>
      <c r="N51" s="41">
        <v>9799</v>
      </c>
      <c r="O51" s="41">
        <v>9599</v>
      </c>
      <c r="P51" s="41">
        <v>6334</v>
      </c>
      <c r="Q51" s="42">
        <v>10805</v>
      </c>
      <c r="S51" s="16">
        <v>1974</v>
      </c>
      <c r="T51" s="7">
        <v>5302</v>
      </c>
      <c r="U51" s="7">
        <v>6409</v>
      </c>
      <c r="V51" s="7">
        <v>9402</v>
      </c>
      <c r="W51" s="7">
        <v>14659</v>
      </c>
      <c r="X51" s="7">
        <v>14156</v>
      </c>
      <c r="Y51" s="7">
        <v>13529</v>
      </c>
      <c r="Z51" s="7">
        <v>10939</v>
      </c>
      <c r="AA51" s="7">
        <v>11765</v>
      </c>
      <c r="AB51" s="7">
        <v>11777</v>
      </c>
      <c r="AC51" s="7">
        <v>13175</v>
      </c>
      <c r="AD51" s="7">
        <v>12594</v>
      </c>
      <c r="AE51" s="7">
        <v>9752</v>
      </c>
      <c r="AF51" s="7">
        <v>9308</v>
      </c>
      <c r="AG51" s="7">
        <v>6334</v>
      </c>
      <c r="AH51" s="8">
        <v>10671</v>
      </c>
      <c r="AJ51" s="16">
        <v>1974</v>
      </c>
      <c r="AK51" s="23">
        <v>23.409970336575693</v>
      </c>
      <c r="AL51" s="23">
        <v>24.487168986291397</v>
      </c>
      <c r="AM51" s="23">
        <v>25.955244372993402</v>
      </c>
      <c r="AN51" s="23">
        <v>15.131416346211873</v>
      </c>
      <c r="AO51" s="23">
        <v>17.1033253997564</v>
      </c>
      <c r="AP51" s="23">
        <v>13.124888657592974</v>
      </c>
      <c r="AQ51" s="23">
        <v>11.114558127919851</v>
      </c>
      <c r="AR51" s="23">
        <v>8.892172372966028</v>
      </c>
      <c r="AS51" s="23">
        <v>3.7168803035385194</v>
      </c>
      <c r="AT51" s="23">
        <v>12.330632146896539</v>
      </c>
      <c r="AU51" s="23">
        <v>21.711857139679708</v>
      </c>
      <c r="AV51" s="24">
        <v>25.309095557530735</v>
      </c>
      <c r="AX51" s="16">
        <v>1974</v>
      </c>
      <c r="AY51" s="25">
        <f t="shared" si="2"/>
        <v>0</v>
      </c>
      <c r="AZ51" s="25">
        <f t="shared" si="2"/>
        <v>0</v>
      </c>
      <c r="BA51" s="25">
        <f t="shared" si="2"/>
        <v>0</v>
      </c>
      <c r="BB51" s="25">
        <f t="shared" si="2"/>
        <v>0</v>
      </c>
      <c r="BC51" s="25">
        <f t="shared" si="2"/>
        <v>0</v>
      </c>
      <c r="BD51" s="25">
        <f t="shared" si="2"/>
        <v>0</v>
      </c>
      <c r="BE51" s="25">
        <f t="shared" si="2"/>
        <v>1644510.0206070212</v>
      </c>
      <c r="BF51" s="25">
        <f t="shared" si="3"/>
        <v>2880893.4667568253</v>
      </c>
      <c r="BG51" s="25">
        <f t="shared" si="3"/>
        <v>5087531.932779292</v>
      </c>
      <c r="BH51" s="25">
        <f t="shared" si="3"/>
        <v>99017.69128626616</v>
      </c>
      <c r="BI51" s="25">
        <f t="shared" si="3"/>
        <v>559613.4093547525</v>
      </c>
      <c r="BJ51" s="25">
        <f t="shared" si="3"/>
        <v>367364.62280338065</v>
      </c>
      <c r="BK51" s="25">
        <f t="shared" si="4"/>
        <v>2426169.7642163695</v>
      </c>
      <c r="BL51" s="25">
        <f t="shared" si="4"/>
        <v>0</v>
      </c>
      <c r="BM51" s="26">
        <f t="shared" si="5"/>
        <v>13065100.907803906</v>
      </c>
    </row>
    <row r="52" spans="2:65" ht="15">
      <c r="B52" s="16">
        <v>1975</v>
      </c>
      <c r="C52" s="41">
        <v>5020</v>
      </c>
      <c r="D52" s="41">
        <v>6830</v>
      </c>
      <c r="E52" s="41">
        <v>7076</v>
      </c>
      <c r="F52" s="41">
        <v>9718</v>
      </c>
      <c r="G52" s="41">
        <v>9635</v>
      </c>
      <c r="H52" s="41">
        <v>9287</v>
      </c>
      <c r="I52" s="41">
        <v>6467</v>
      </c>
      <c r="J52" s="41">
        <v>7676</v>
      </c>
      <c r="K52" s="41">
        <v>11583</v>
      </c>
      <c r="L52" s="41">
        <v>13711</v>
      </c>
      <c r="M52" s="41">
        <v>12293</v>
      </c>
      <c r="N52" s="41">
        <v>8307</v>
      </c>
      <c r="O52" s="41">
        <v>7911</v>
      </c>
      <c r="P52" s="41">
        <v>6563</v>
      </c>
      <c r="Q52" s="42">
        <v>8905</v>
      </c>
      <c r="S52" s="16">
        <v>1975</v>
      </c>
      <c r="T52" s="7">
        <v>5020</v>
      </c>
      <c r="U52" s="7">
        <v>6830</v>
      </c>
      <c r="V52" s="7">
        <v>7076</v>
      </c>
      <c r="W52" s="7">
        <v>9718</v>
      </c>
      <c r="X52" s="7">
        <v>9635</v>
      </c>
      <c r="Y52" s="7">
        <v>9287</v>
      </c>
      <c r="Z52" s="7">
        <v>5573</v>
      </c>
      <c r="AA52" s="7">
        <v>6256</v>
      </c>
      <c r="AB52" s="7">
        <v>10517</v>
      </c>
      <c r="AC52" s="7">
        <v>13417</v>
      </c>
      <c r="AD52" s="7">
        <v>12303</v>
      </c>
      <c r="AE52" s="7">
        <v>8293</v>
      </c>
      <c r="AF52" s="7">
        <v>7684</v>
      </c>
      <c r="AG52" s="7">
        <v>6563</v>
      </c>
      <c r="AH52" s="8">
        <v>8686</v>
      </c>
      <c r="AJ52" s="16">
        <v>1975</v>
      </c>
      <c r="AK52" s="23">
        <v>27.553968245752404</v>
      </c>
      <c r="AL52" s="23">
        <v>28.207287231529946</v>
      </c>
      <c r="AM52" s="23">
        <v>31.30651371299576</v>
      </c>
      <c r="AN52" s="23">
        <v>26.074832641437506</v>
      </c>
      <c r="AO52" s="23">
        <v>26.329512419019444</v>
      </c>
      <c r="AP52" s="23">
        <v>22.91369657715429</v>
      </c>
      <c r="AQ52" s="23">
        <v>22.780385661654968</v>
      </c>
      <c r="AR52" s="23">
        <v>12.91795945989511</v>
      </c>
      <c r="AS52" s="23">
        <v>5.491616205638288</v>
      </c>
      <c r="AT52" s="23">
        <v>13.399617233278564</v>
      </c>
      <c r="AU52" s="23">
        <v>26.12872213240591</v>
      </c>
      <c r="AV52" s="24">
        <v>25.00071946779886</v>
      </c>
      <c r="AX52" s="16">
        <v>1975</v>
      </c>
      <c r="AY52" s="25">
        <f t="shared" si="2"/>
        <v>0</v>
      </c>
      <c r="AZ52" s="25">
        <f t="shared" si="2"/>
        <v>0</v>
      </c>
      <c r="BA52" s="25">
        <f t="shared" si="2"/>
        <v>0</v>
      </c>
      <c r="BB52" s="25">
        <f t="shared" si="2"/>
        <v>0</v>
      </c>
      <c r="BC52" s="25">
        <f t="shared" si="2"/>
        <v>0</v>
      </c>
      <c r="BD52" s="25">
        <f t="shared" si="2"/>
        <v>0</v>
      </c>
      <c r="BE52" s="25">
        <f t="shared" si="2"/>
        <v>7331639.321347035</v>
      </c>
      <c r="BF52" s="25">
        <f t="shared" si="3"/>
        <v>11645333.15023802</v>
      </c>
      <c r="BG52" s="25">
        <f t="shared" si="3"/>
        <v>10245285.319480652</v>
      </c>
      <c r="BH52" s="25">
        <f t="shared" si="3"/>
        <v>1162465.3184095128</v>
      </c>
      <c r="BI52" s="25">
        <f t="shared" si="3"/>
        <v>-99693.15221559252</v>
      </c>
      <c r="BJ52" s="25">
        <f t="shared" si="3"/>
        <v>131688.75954732578</v>
      </c>
      <c r="BK52" s="25">
        <f t="shared" si="4"/>
        <v>2277588.450837558</v>
      </c>
      <c r="BL52" s="25">
        <f t="shared" si="4"/>
        <v>0</v>
      </c>
      <c r="BM52" s="26">
        <f t="shared" si="5"/>
        <v>32694307.167644516</v>
      </c>
    </row>
    <row r="53" spans="2:65" ht="15">
      <c r="B53" s="16">
        <v>1976</v>
      </c>
      <c r="C53" s="41">
        <v>6662</v>
      </c>
      <c r="D53" s="41">
        <v>8866</v>
      </c>
      <c r="E53" s="41">
        <v>12606</v>
      </c>
      <c r="F53" s="41">
        <v>12577</v>
      </c>
      <c r="G53" s="41">
        <v>11868</v>
      </c>
      <c r="H53" s="41">
        <v>12169</v>
      </c>
      <c r="I53" s="41">
        <v>11604</v>
      </c>
      <c r="J53" s="41">
        <v>11251</v>
      </c>
      <c r="K53" s="41">
        <v>13300</v>
      </c>
      <c r="L53" s="41">
        <v>11916</v>
      </c>
      <c r="M53" s="41">
        <v>11420</v>
      </c>
      <c r="N53" s="41">
        <v>10723</v>
      </c>
      <c r="O53" s="41">
        <v>10723</v>
      </c>
      <c r="P53" s="41">
        <v>9709</v>
      </c>
      <c r="Q53" s="42">
        <v>11106</v>
      </c>
      <c r="S53" s="16">
        <v>1976</v>
      </c>
      <c r="T53" s="7">
        <v>6662</v>
      </c>
      <c r="U53" s="7">
        <v>8866</v>
      </c>
      <c r="V53" s="7">
        <v>12606</v>
      </c>
      <c r="W53" s="7">
        <v>12577</v>
      </c>
      <c r="X53" s="7">
        <v>11868</v>
      </c>
      <c r="Y53" s="7">
        <v>12169</v>
      </c>
      <c r="Z53" s="7">
        <v>11118</v>
      </c>
      <c r="AA53" s="7">
        <v>10201</v>
      </c>
      <c r="AB53" s="7">
        <v>12958</v>
      </c>
      <c r="AC53" s="7">
        <v>11239</v>
      </c>
      <c r="AD53" s="7">
        <v>11505</v>
      </c>
      <c r="AE53" s="7">
        <v>10655</v>
      </c>
      <c r="AF53" s="7">
        <v>10416</v>
      </c>
      <c r="AG53" s="7">
        <v>9709</v>
      </c>
      <c r="AH53" s="8">
        <v>10950</v>
      </c>
      <c r="AJ53" s="16">
        <v>1976</v>
      </c>
      <c r="AK53" s="23">
        <v>20.846997427171257</v>
      </c>
      <c r="AL53" s="23">
        <v>21.742918373377755</v>
      </c>
      <c r="AM53" s="23">
        <v>20.950160453909202</v>
      </c>
      <c r="AN53" s="23">
        <v>21.402076016959278</v>
      </c>
      <c r="AO53" s="23">
        <v>22.413961969103113</v>
      </c>
      <c r="AP53" s="23">
        <v>18.40463076311678</v>
      </c>
      <c r="AQ53" s="23">
        <v>14.982195326487211</v>
      </c>
      <c r="AR53" s="23">
        <v>7.047375066440167</v>
      </c>
      <c r="AS53" s="23">
        <v>13.76844256454044</v>
      </c>
      <c r="AT53" s="23">
        <v>17.44724381649364</v>
      </c>
      <c r="AU53" s="23">
        <v>21.17580564560432</v>
      </c>
      <c r="AV53" s="24">
        <v>20.505672052701335</v>
      </c>
      <c r="AX53" s="16">
        <v>1976</v>
      </c>
      <c r="AY53" s="25">
        <f t="shared" si="2"/>
        <v>0</v>
      </c>
      <c r="AZ53" s="25">
        <f t="shared" si="2"/>
        <v>0</v>
      </c>
      <c r="BA53" s="25">
        <f t="shared" si="2"/>
        <v>0</v>
      </c>
      <c r="BB53" s="25">
        <f t="shared" si="2"/>
        <v>0</v>
      </c>
      <c r="BC53" s="25">
        <f t="shared" si="2"/>
        <v>0</v>
      </c>
      <c r="BD53" s="25">
        <f t="shared" si="2"/>
        <v>0</v>
      </c>
      <c r="BE53" s="25">
        <f t="shared" si="2"/>
        <v>2621284.8943222025</v>
      </c>
      <c r="BF53" s="25">
        <f t="shared" si="3"/>
        <v>5663269.833412166</v>
      </c>
      <c r="BG53" s="25">
        <f t="shared" si="3"/>
        <v>1793190.4909055675</v>
      </c>
      <c r="BH53" s="25">
        <f t="shared" si="3"/>
        <v>6711289.643659592</v>
      </c>
      <c r="BI53" s="25">
        <f t="shared" si="3"/>
        <v>-1103363.6989550577</v>
      </c>
      <c r="BJ53" s="25">
        <f t="shared" si="3"/>
        <v>518383.72220439377</v>
      </c>
      <c r="BK53" s="25">
        <f t="shared" si="4"/>
        <v>2496373.3759490023</v>
      </c>
      <c r="BL53" s="25">
        <f t="shared" si="4"/>
        <v>0</v>
      </c>
      <c r="BM53" s="26">
        <f t="shared" si="5"/>
        <v>18700428.261497866</v>
      </c>
    </row>
    <row r="54" spans="2:65" ht="15">
      <c r="B54" s="16">
        <v>1977</v>
      </c>
      <c r="C54" s="41">
        <v>5893</v>
      </c>
      <c r="D54" s="41">
        <v>6956</v>
      </c>
      <c r="E54" s="41">
        <v>6967</v>
      </c>
      <c r="F54" s="41">
        <v>7171</v>
      </c>
      <c r="G54" s="41">
        <v>6986</v>
      </c>
      <c r="H54" s="41">
        <v>6103</v>
      </c>
      <c r="I54" s="41">
        <v>4427</v>
      </c>
      <c r="J54" s="41">
        <v>6066</v>
      </c>
      <c r="K54" s="41">
        <v>6377</v>
      </c>
      <c r="L54" s="41">
        <v>4787</v>
      </c>
      <c r="M54" s="41">
        <v>6044</v>
      </c>
      <c r="N54" s="41">
        <v>6998</v>
      </c>
      <c r="O54" s="41">
        <v>5761</v>
      </c>
      <c r="P54" s="41">
        <v>5034</v>
      </c>
      <c r="Q54" s="42">
        <v>6161</v>
      </c>
      <c r="S54" s="16">
        <v>1977</v>
      </c>
      <c r="T54" s="7">
        <v>5893</v>
      </c>
      <c r="U54" s="7">
        <v>6956</v>
      </c>
      <c r="V54" s="7">
        <v>6967</v>
      </c>
      <c r="W54" s="7">
        <v>7171</v>
      </c>
      <c r="X54" s="7">
        <v>6986</v>
      </c>
      <c r="Y54" s="7">
        <v>6103</v>
      </c>
      <c r="Z54" s="7">
        <v>3797</v>
      </c>
      <c r="AA54" s="7">
        <v>5201</v>
      </c>
      <c r="AB54" s="7">
        <v>5260</v>
      </c>
      <c r="AC54" s="7">
        <v>4361</v>
      </c>
      <c r="AD54" s="7">
        <v>5999</v>
      </c>
      <c r="AE54" s="7">
        <v>6895</v>
      </c>
      <c r="AF54" s="7">
        <v>5640</v>
      </c>
      <c r="AG54" s="7">
        <v>5034</v>
      </c>
      <c r="AH54" s="8">
        <v>5956</v>
      </c>
      <c r="AJ54" s="16">
        <v>1977</v>
      </c>
      <c r="AK54" s="23">
        <v>24.789367994185444</v>
      </c>
      <c r="AL54" s="23">
        <v>26.922432581363207</v>
      </c>
      <c r="AM54" s="23">
        <v>32.280382495285366</v>
      </c>
      <c r="AN54" s="23">
        <v>32.40516988436381</v>
      </c>
      <c r="AO54" s="23">
        <v>31.72394497053966</v>
      </c>
      <c r="AP54" s="23">
        <v>26.959103190561944</v>
      </c>
      <c r="AQ54" s="23">
        <v>23.98201799392698</v>
      </c>
      <c r="AR54" s="23">
        <v>21.863216501666685</v>
      </c>
      <c r="AS54" s="23">
        <v>26.6880621671677</v>
      </c>
      <c r="AT54" s="23">
        <v>26.943068060054596</v>
      </c>
      <c r="AU54" s="23">
        <v>27.079774089013384</v>
      </c>
      <c r="AV54" s="24">
        <v>27.705181759198506</v>
      </c>
      <c r="AX54" s="16">
        <v>1977</v>
      </c>
      <c r="AY54" s="25">
        <f t="shared" si="2"/>
        <v>0</v>
      </c>
      <c r="AZ54" s="25">
        <f t="shared" si="2"/>
        <v>0</v>
      </c>
      <c r="BA54" s="25">
        <f t="shared" si="2"/>
        <v>0</v>
      </c>
      <c r="BB54" s="25">
        <f t="shared" si="2"/>
        <v>0</v>
      </c>
      <c r="BC54" s="25">
        <f t="shared" si="2"/>
        <v>0</v>
      </c>
      <c r="BD54" s="25">
        <f t="shared" si="2"/>
        <v>0</v>
      </c>
      <c r="BE54" s="25">
        <f t="shared" si="2"/>
        <v>5439121.681022639</v>
      </c>
      <c r="BF54" s="25">
        <f t="shared" si="3"/>
        <v>7468000.403308862</v>
      </c>
      <c r="BG54" s="25">
        <f t="shared" si="3"/>
        <v>18169382.347277094</v>
      </c>
      <c r="BH54" s="25">
        <f t="shared" si="3"/>
        <v>8185762.427913677</v>
      </c>
      <c r="BI54" s="25">
        <f t="shared" si="3"/>
        <v>902053.9186506278</v>
      </c>
      <c r="BJ54" s="25">
        <f t="shared" si="3"/>
        <v>1004118.0232206163</v>
      </c>
      <c r="BK54" s="25">
        <f t="shared" si="4"/>
        <v>1258234.623271918</v>
      </c>
      <c r="BL54" s="25">
        <f t="shared" si="4"/>
        <v>0</v>
      </c>
      <c r="BM54" s="26">
        <f t="shared" si="5"/>
        <v>42426673.42466543</v>
      </c>
    </row>
    <row r="55" spans="2:65" ht="15">
      <c r="B55" s="16">
        <v>1978</v>
      </c>
      <c r="C55" s="41">
        <v>4799</v>
      </c>
      <c r="D55" s="41">
        <v>6827</v>
      </c>
      <c r="E55" s="41">
        <v>8254</v>
      </c>
      <c r="F55" s="41">
        <v>9380</v>
      </c>
      <c r="G55" s="41">
        <v>9165</v>
      </c>
      <c r="H55" s="41">
        <v>8141</v>
      </c>
      <c r="I55" s="41">
        <v>10812</v>
      </c>
      <c r="J55" s="41">
        <v>9484</v>
      </c>
      <c r="K55" s="41">
        <v>11580</v>
      </c>
      <c r="L55" s="41">
        <v>9285</v>
      </c>
      <c r="M55" s="41">
        <v>9537</v>
      </c>
      <c r="N55" s="41">
        <v>7043</v>
      </c>
      <c r="O55" s="41">
        <v>6072</v>
      </c>
      <c r="P55" s="41">
        <v>7747</v>
      </c>
      <c r="Q55" s="42">
        <v>8444</v>
      </c>
      <c r="S55" s="16">
        <v>1978</v>
      </c>
      <c r="T55" s="7">
        <v>4799</v>
      </c>
      <c r="U55" s="7">
        <v>6827</v>
      </c>
      <c r="V55" s="7">
        <v>8254</v>
      </c>
      <c r="W55" s="7">
        <v>9380</v>
      </c>
      <c r="X55" s="7">
        <v>9165</v>
      </c>
      <c r="Y55" s="7">
        <v>8141</v>
      </c>
      <c r="Z55" s="7">
        <v>10322</v>
      </c>
      <c r="AA55" s="7">
        <v>8167</v>
      </c>
      <c r="AB55" s="7">
        <v>10514</v>
      </c>
      <c r="AC55" s="7">
        <v>8499</v>
      </c>
      <c r="AD55" s="7">
        <v>9669</v>
      </c>
      <c r="AE55" s="7">
        <v>7013</v>
      </c>
      <c r="AF55" s="7">
        <v>5826</v>
      </c>
      <c r="AG55" s="7">
        <v>7747</v>
      </c>
      <c r="AH55" s="8">
        <v>8214</v>
      </c>
      <c r="AJ55" s="16">
        <v>1978</v>
      </c>
      <c r="AK55" s="23">
        <v>25.96410484544693</v>
      </c>
      <c r="AL55" s="23">
        <v>27.054327834661102</v>
      </c>
      <c r="AM55" s="23">
        <v>29.010453532844444</v>
      </c>
      <c r="AN55" s="23">
        <v>27.656572615459375</v>
      </c>
      <c r="AO55" s="23">
        <v>27.410876492091585</v>
      </c>
      <c r="AP55" s="23">
        <v>24.6288596718982</v>
      </c>
      <c r="AQ55" s="23">
        <v>17.463516128857897</v>
      </c>
      <c r="AR55" s="23">
        <v>14.890538849048724</v>
      </c>
      <c r="AS55" s="23">
        <v>21.19952800273898</v>
      </c>
      <c r="AT55" s="23">
        <v>22.63884694294264</v>
      </c>
      <c r="AU55" s="23">
        <v>28.2645368529904</v>
      </c>
      <c r="AV55" s="24">
        <v>23.43941316604615</v>
      </c>
      <c r="AX55" s="16">
        <v>1978</v>
      </c>
      <c r="AY55" s="25">
        <f t="shared" si="2"/>
        <v>0</v>
      </c>
      <c r="AZ55" s="25">
        <f t="shared" si="2"/>
        <v>0</v>
      </c>
      <c r="BA55" s="25">
        <f t="shared" si="2"/>
        <v>0</v>
      </c>
      <c r="BB55" s="25">
        <f t="shared" si="2"/>
        <v>0</v>
      </c>
      <c r="BC55" s="25">
        <f t="shared" si="2"/>
        <v>0</v>
      </c>
      <c r="BD55" s="25">
        <f t="shared" si="2"/>
        <v>0</v>
      </c>
      <c r="BE55" s="25">
        <f t="shared" si="2"/>
        <v>3080564.245130533</v>
      </c>
      <c r="BF55" s="25">
        <f t="shared" si="3"/>
        <v>8279802.267014106</v>
      </c>
      <c r="BG55" s="25">
        <f t="shared" si="3"/>
        <v>11809745.92333594</v>
      </c>
      <c r="BH55" s="25">
        <f t="shared" si="3"/>
        <v>11997236.887310043</v>
      </c>
      <c r="BI55" s="25">
        <f t="shared" si="3"/>
        <v>-2223315.880572511</v>
      </c>
      <c r="BJ55" s="25">
        <f t="shared" si="3"/>
        <v>305256.99801229633</v>
      </c>
      <c r="BK55" s="25">
        <f t="shared" si="4"/>
        <v>2669981.2092808853</v>
      </c>
      <c r="BL55" s="25">
        <f t="shared" si="4"/>
        <v>0</v>
      </c>
      <c r="BM55" s="26">
        <f t="shared" si="5"/>
        <v>35919271.64951129</v>
      </c>
    </row>
    <row r="56" spans="2:65" ht="15">
      <c r="B56" s="16">
        <v>1979</v>
      </c>
      <c r="C56" s="41">
        <v>6035</v>
      </c>
      <c r="D56" s="41">
        <v>6976</v>
      </c>
      <c r="E56" s="41">
        <v>6936</v>
      </c>
      <c r="F56" s="41">
        <v>8567</v>
      </c>
      <c r="G56" s="41">
        <v>6783</v>
      </c>
      <c r="H56" s="41">
        <v>8391</v>
      </c>
      <c r="I56" s="41">
        <v>6017</v>
      </c>
      <c r="J56" s="41">
        <v>8268</v>
      </c>
      <c r="K56" s="41">
        <v>11137</v>
      </c>
      <c r="L56" s="41">
        <v>8589</v>
      </c>
      <c r="M56" s="41">
        <v>5563</v>
      </c>
      <c r="N56" s="41">
        <v>6620</v>
      </c>
      <c r="O56" s="41">
        <v>5843</v>
      </c>
      <c r="P56" s="41">
        <v>5858</v>
      </c>
      <c r="Q56" s="42">
        <v>7357</v>
      </c>
      <c r="S56" s="16">
        <v>1979</v>
      </c>
      <c r="T56" s="7">
        <v>6035</v>
      </c>
      <c r="U56" s="7">
        <v>6976</v>
      </c>
      <c r="V56" s="7">
        <v>6936</v>
      </c>
      <c r="W56" s="7">
        <v>8567</v>
      </c>
      <c r="X56" s="7">
        <v>6783</v>
      </c>
      <c r="Y56" s="7">
        <v>8391</v>
      </c>
      <c r="Z56" s="7">
        <v>5084</v>
      </c>
      <c r="AA56" s="7">
        <v>6850</v>
      </c>
      <c r="AB56" s="7">
        <v>9973</v>
      </c>
      <c r="AC56" s="7">
        <v>7725</v>
      </c>
      <c r="AD56" s="7">
        <v>5616</v>
      </c>
      <c r="AE56" s="7">
        <v>6568</v>
      </c>
      <c r="AF56" s="7">
        <v>5646</v>
      </c>
      <c r="AG56" s="7">
        <v>5858</v>
      </c>
      <c r="AH56" s="8">
        <v>7084</v>
      </c>
      <c r="AJ56" s="16">
        <v>1979</v>
      </c>
      <c r="AK56" s="23">
        <v>23.834294745229947</v>
      </c>
      <c r="AL56" s="23">
        <v>26.39398948904876</v>
      </c>
      <c r="AM56" s="23">
        <v>30.225800646505068</v>
      </c>
      <c r="AN56" s="23">
        <v>26.859959337788233</v>
      </c>
      <c r="AO56" s="23">
        <v>29.119611706052485</v>
      </c>
      <c r="AP56" s="23">
        <v>22.651938897924808</v>
      </c>
      <c r="AQ56" s="23">
        <v>23.05448021464879</v>
      </c>
      <c r="AR56" s="23">
        <v>15.757955021242955</v>
      </c>
      <c r="AS56" s="23">
        <v>21.707690649562455</v>
      </c>
      <c r="AT56" s="23">
        <v>28.820870868108585</v>
      </c>
      <c r="AU56" s="23">
        <v>28.903595293721853</v>
      </c>
      <c r="AV56" s="24">
        <v>26.164723726908395</v>
      </c>
      <c r="AX56" s="16">
        <v>1979</v>
      </c>
      <c r="AY56" s="25">
        <f t="shared" si="2"/>
        <v>0</v>
      </c>
      <c r="AZ56" s="25">
        <f t="shared" si="2"/>
        <v>0</v>
      </c>
      <c r="BA56" s="25">
        <f aca="true" t="shared" si="6" ref="BA56:BE85">(E56*BA$5*24-V56*BA$5*24)*AM56</f>
        <v>0</v>
      </c>
      <c r="BB56" s="25">
        <f t="shared" si="6"/>
        <v>0</v>
      </c>
      <c r="BC56" s="25">
        <f t="shared" si="6"/>
        <v>0</v>
      </c>
      <c r="BD56" s="25">
        <f t="shared" si="6"/>
        <v>0</v>
      </c>
      <c r="BE56" s="25">
        <f t="shared" si="6"/>
        <v>7743538.814496236</v>
      </c>
      <c r="BF56" s="25">
        <f t="shared" si="3"/>
        <v>11768851.059973914</v>
      </c>
      <c r="BG56" s="25">
        <f t="shared" si="3"/>
        <v>13646641.175676739</v>
      </c>
      <c r="BH56" s="25">
        <f t="shared" si="3"/>
        <v>13503920.199279811</v>
      </c>
      <c r="BI56" s="25">
        <f t="shared" si="3"/>
        <v>-1136464.5800712577</v>
      </c>
      <c r="BJ56" s="25">
        <f t="shared" si="3"/>
        <v>541075.303898473</v>
      </c>
      <c r="BK56" s="25">
        <f t="shared" si="4"/>
        <v>2186499.176779471</v>
      </c>
      <c r="BL56" s="25">
        <f t="shared" si="4"/>
        <v>0</v>
      </c>
      <c r="BM56" s="26">
        <f t="shared" si="5"/>
        <v>48254061.1500334</v>
      </c>
    </row>
    <row r="57" spans="2:65" ht="15">
      <c r="B57" s="16">
        <v>1980</v>
      </c>
      <c r="C57" s="41">
        <v>5274</v>
      </c>
      <c r="D57" s="41">
        <v>6926</v>
      </c>
      <c r="E57" s="41">
        <v>6382</v>
      </c>
      <c r="F57" s="41">
        <v>7772</v>
      </c>
      <c r="G57" s="41">
        <v>6987</v>
      </c>
      <c r="H57" s="41">
        <v>6515</v>
      </c>
      <c r="I57" s="41">
        <v>7867</v>
      </c>
      <c r="J57" s="41">
        <v>9762</v>
      </c>
      <c r="K57" s="41">
        <v>12975</v>
      </c>
      <c r="L57" s="41">
        <v>12058</v>
      </c>
      <c r="M57" s="41">
        <v>8140</v>
      </c>
      <c r="N57" s="41">
        <v>6418</v>
      </c>
      <c r="O57" s="41">
        <v>5818</v>
      </c>
      <c r="P57" s="41">
        <v>5953</v>
      </c>
      <c r="Q57" s="42">
        <v>7823</v>
      </c>
      <c r="S57" s="16">
        <v>1980</v>
      </c>
      <c r="T57" s="7">
        <v>5274</v>
      </c>
      <c r="U57" s="7">
        <v>6926</v>
      </c>
      <c r="V57" s="7">
        <v>6382</v>
      </c>
      <c r="W57" s="7">
        <v>7772</v>
      </c>
      <c r="X57" s="7">
        <v>6987</v>
      </c>
      <c r="Y57" s="7">
        <v>6515</v>
      </c>
      <c r="Z57" s="7">
        <v>7012</v>
      </c>
      <c r="AA57" s="7">
        <v>8433</v>
      </c>
      <c r="AB57" s="7">
        <v>12100</v>
      </c>
      <c r="AC57" s="7">
        <v>11374</v>
      </c>
      <c r="AD57" s="7">
        <v>8211</v>
      </c>
      <c r="AE57" s="7">
        <v>6373</v>
      </c>
      <c r="AF57" s="7">
        <v>5608</v>
      </c>
      <c r="AG57" s="7">
        <v>5953</v>
      </c>
      <c r="AH57" s="8">
        <v>7599</v>
      </c>
      <c r="AJ57" s="16">
        <v>1980</v>
      </c>
      <c r="AK57" s="23">
        <v>24.848449771635</v>
      </c>
      <c r="AL57" s="23">
        <v>25.783150214626467</v>
      </c>
      <c r="AM57" s="23">
        <v>29.80593042886389</v>
      </c>
      <c r="AN57" s="23">
        <v>27.034125423944115</v>
      </c>
      <c r="AO57" s="23">
        <v>27.627785927908796</v>
      </c>
      <c r="AP57" s="23">
        <v>25.387409193326434</v>
      </c>
      <c r="AQ57" s="23">
        <v>18.795551363627133</v>
      </c>
      <c r="AR57" s="23">
        <v>8.605663857601016</v>
      </c>
      <c r="AS57" s="23">
        <v>13.598974212341854</v>
      </c>
      <c r="AT57" s="23">
        <v>23.845734267337356</v>
      </c>
      <c r="AU57" s="23">
        <v>27.561010896775016</v>
      </c>
      <c r="AV57" s="24">
        <v>25.06656902472178</v>
      </c>
      <c r="AX57" s="16">
        <v>1980</v>
      </c>
      <c r="AY57" s="25">
        <f aca="true" t="shared" si="7" ref="AY57:AZ85">(C57*AY$5*24-T57*AY$5*24)*AK57</f>
        <v>0</v>
      </c>
      <c r="AZ57" s="25">
        <f t="shared" si="7"/>
        <v>0</v>
      </c>
      <c r="BA57" s="25">
        <f t="shared" si="6"/>
        <v>0</v>
      </c>
      <c r="BB57" s="25">
        <f t="shared" si="6"/>
        <v>0</v>
      </c>
      <c r="BC57" s="25">
        <f t="shared" si="6"/>
        <v>0</v>
      </c>
      <c r="BD57" s="25">
        <f t="shared" si="6"/>
        <v>0</v>
      </c>
      <c r="BE57" s="25">
        <f t="shared" si="6"/>
        <v>5785270.709724432</v>
      </c>
      <c r="BF57" s="25">
        <f t="shared" si="3"/>
        <v>8992543.594413767</v>
      </c>
      <c r="BG57" s="25">
        <f t="shared" si="3"/>
        <v>5602287.171298262</v>
      </c>
      <c r="BH57" s="25">
        <f t="shared" si="3"/>
        <v>6697222.820094116</v>
      </c>
      <c r="BI57" s="25">
        <f t="shared" si="3"/>
        <v>-1259627.0669378284</v>
      </c>
      <c r="BJ57" s="25">
        <f t="shared" si="3"/>
        <v>446488.3765277553</v>
      </c>
      <c r="BK57" s="25">
        <f t="shared" si="4"/>
        <v>2222519.9187159375</v>
      </c>
      <c r="BL57" s="25">
        <f t="shared" si="4"/>
        <v>0</v>
      </c>
      <c r="BM57" s="26">
        <f t="shared" si="5"/>
        <v>28486705.52383644</v>
      </c>
    </row>
    <row r="58" spans="2:65" ht="15">
      <c r="B58" s="16">
        <v>1981</v>
      </c>
      <c r="C58" s="41">
        <v>5252</v>
      </c>
      <c r="D58" s="41">
        <v>6845</v>
      </c>
      <c r="E58" s="41">
        <v>10242</v>
      </c>
      <c r="F58" s="41">
        <v>12180</v>
      </c>
      <c r="G58" s="41">
        <v>11404</v>
      </c>
      <c r="H58" s="41">
        <v>8292</v>
      </c>
      <c r="I58" s="41">
        <v>4737</v>
      </c>
      <c r="J58" s="41">
        <v>7968</v>
      </c>
      <c r="K58" s="41">
        <v>10346</v>
      </c>
      <c r="L58" s="41">
        <v>13376</v>
      </c>
      <c r="M58" s="41">
        <v>10944</v>
      </c>
      <c r="N58" s="41">
        <v>9861</v>
      </c>
      <c r="O58" s="41">
        <v>8633</v>
      </c>
      <c r="P58" s="41">
        <v>6128</v>
      </c>
      <c r="Q58" s="42">
        <v>9209</v>
      </c>
      <c r="S58" s="16">
        <v>1981</v>
      </c>
      <c r="T58" s="7">
        <v>5252</v>
      </c>
      <c r="U58" s="7">
        <v>6845</v>
      </c>
      <c r="V58" s="7">
        <v>10242</v>
      </c>
      <c r="W58" s="7">
        <v>12180</v>
      </c>
      <c r="X58" s="7">
        <v>11404</v>
      </c>
      <c r="Y58" s="7">
        <v>8292</v>
      </c>
      <c r="Z58" s="7">
        <v>3945</v>
      </c>
      <c r="AA58" s="7">
        <v>6527</v>
      </c>
      <c r="AB58" s="7">
        <v>9044</v>
      </c>
      <c r="AC58" s="7">
        <v>12754</v>
      </c>
      <c r="AD58" s="7">
        <v>10967</v>
      </c>
      <c r="AE58" s="7">
        <v>9766</v>
      </c>
      <c r="AF58" s="7">
        <v>8349</v>
      </c>
      <c r="AG58" s="7">
        <v>6128</v>
      </c>
      <c r="AH58" s="8">
        <v>8941</v>
      </c>
      <c r="AJ58" s="16">
        <v>1981</v>
      </c>
      <c r="AK58" s="23">
        <v>23.69861334754575</v>
      </c>
      <c r="AL58" s="23">
        <v>24.672767975591608</v>
      </c>
      <c r="AM58" s="23">
        <v>23.844604676769627</v>
      </c>
      <c r="AN58" s="23">
        <v>23.20741244823699</v>
      </c>
      <c r="AO58" s="23">
        <v>24.369062740462173</v>
      </c>
      <c r="AP58" s="23">
        <v>24.95827079942376</v>
      </c>
      <c r="AQ58" s="23">
        <v>23.50774140410954</v>
      </c>
      <c r="AR58" s="23">
        <v>17.52528090733353</v>
      </c>
      <c r="AS58" s="23">
        <v>11.097150232725694</v>
      </c>
      <c r="AT58" s="23">
        <v>21.47875875580696</v>
      </c>
      <c r="AU58" s="23">
        <v>23.942087817961184</v>
      </c>
      <c r="AV58" s="24">
        <v>25.38306050618488</v>
      </c>
      <c r="AX58" s="16">
        <v>1981</v>
      </c>
      <c r="AY58" s="25">
        <f t="shared" si="7"/>
        <v>0</v>
      </c>
      <c r="AZ58" s="25">
        <f t="shared" si="7"/>
        <v>0</v>
      </c>
      <c r="BA58" s="25">
        <f t="shared" si="6"/>
        <v>0</v>
      </c>
      <c r="BB58" s="25">
        <f t="shared" si="6"/>
        <v>0</v>
      </c>
      <c r="BC58" s="25">
        <f t="shared" si="6"/>
        <v>0</v>
      </c>
      <c r="BD58" s="25">
        <f t="shared" si="6"/>
        <v>0</v>
      </c>
      <c r="BE58" s="25">
        <f t="shared" si="6"/>
        <v>6702527.229139713</v>
      </c>
      <c r="BF58" s="25">
        <f t="shared" si="3"/>
        <v>12194875.930795865</v>
      </c>
      <c r="BG58" s="25">
        <f t="shared" si="3"/>
        <v>16976529.311563104</v>
      </c>
      <c r="BH58" s="25">
        <f t="shared" si="3"/>
        <v>4969747.760223875</v>
      </c>
      <c r="BI58" s="25">
        <f t="shared" si="3"/>
        <v>-367544.51982936874</v>
      </c>
      <c r="BJ58" s="25">
        <f t="shared" si="3"/>
        <v>818819.4033742725</v>
      </c>
      <c r="BK58" s="25">
        <f t="shared" si="4"/>
        <v>2611028.329075575</v>
      </c>
      <c r="BL58" s="25">
        <f t="shared" si="4"/>
        <v>0</v>
      </c>
      <c r="BM58" s="26">
        <f t="shared" si="5"/>
        <v>43905983.44434303</v>
      </c>
    </row>
    <row r="59" spans="2:65" ht="15">
      <c r="B59" s="16">
        <v>1982</v>
      </c>
      <c r="C59" s="41">
        <v>5468</v>
      </c>
      <c r="D59" s="41">
        <v>7250</v>
      </c>
      <c r="E59" s="41">
        <v>8382</v>
      </c>
      <c r="F59" s="41">
        <v>10807</v>
      </c>
      <c r="G59" s="41">
        <v>13948</v>
      </c>
      <c r="H59" s="41">
        <v>13597</v>
      </c>
      <c r="I59" s="41">
        <v>10625</v>
      </c>
      <c r="J59" s="41">
        <v>10142</v>
      </c>
      <c r="K59" s="41">
        <v>12745</v>
      </c>
      <c r="L59" s="41">
        <v>13451</v>
      </c>
      <c r="M59" s="41">
        <v>12562</v>
      </c>
      <c r="N59" s="41">
        <v>9610</v>
      </c>
      <c r="O59" s="41">
        <v>9177</v>
      </c>
      <c r="P59" s="41">
        <v>7358</v>
      </c>
      <c r="Q59" s="42">
        <v>10425</v>
      </c>
      <c r="S59" s="16">
        <v>1982</v>
      </c>
      <c r="T59" s="7">
        <v>5468</v>
      </c>
      <c r="U59" s="7">
        <v>7250</v>
      </c>
      <c r="V59" s="7">
        <v>8382</v>
      </c>
      <c r="W59" s="7">
        <v>10807</v>
      </c>
      <c r="X59" s="7">
        <v>13948</v>
      </c>
      <c r="Y59" s="7">
        <v>13597</v>
      </c>
      <c r="Z59" s="7">
        <v>10077</v>
      </c>
      <c r="AA59" s="7">
        <v>8948</v>
      </c>
      <c r="AB59" s="7">
        <v>11887</v>
      </c>
      <c r="AC59" s="7">
        <v>13151</v>
      </c>
      <c r="AD59" s="7">
        <v>12524</v>
      </c>
      <c r="AE59" s="7">
        <v>9566</v>
      </c>
      <c r="AF59" s="7">
        <v>8882</v>
      </c>
      <c r="AG59" s="7">
        <v>7358</v>
      </c>
      <c r="AH59" s="8">
        <v>10238</v>
      </c>
      <c r="AJ59" s="16">
        <v>1982</v>
      </c>
      <c r="AK59" s="23">
        <v>23.664617422319196</v>
      </c>
      <c r="AL59" s="23">
        <v>25.211695508586562</v>
      </c>
      <c r="AM59" s="23">
        <v>27.580031818984672</v>
      </c>
      <c r="AN59" s="23">
        <v>24.81139554746694</v>
      </c>
      <c r="AO59" s="23">
        <v>18.224427119855356</v>
      </c>
      <c r="AP59" s="23">
        <v>13.907745382032342</v>
      </c>
      <c r="AQ59" s="23">
        <v>16.965558083852166</v>
      </c>
      <c r="AR59" s="23">
        <v>11.156945289927757</v>
      </c>
      <c r="AS59" s="23">
        <v>8.936262846055117</v>
      </c>
      <c r="AT59" s="23">
        <v>13.706248113929586</v>
      </c>
      <c r="AU59" s="23">
        <v>24.054757583525852</v>
      </c>
      <c r="AV59" s="24">
        <v>24.14983584562935</v>
      </c>
      <c r="AX59" s="16">
        <v>1982</v>
      </c>
      <c r="AY59" s="25">
        <f t="shared" si="7"/>
        <v>0</v>
      </c>
      <c r="AZ59" s="25">
        <f t="shared" si="7"/>
        <v>0</v>
      </c>
      <c r="BA59" s="25">
        <f t="shared" si="6"/>
        <v>0</v>
      </c>
      <c r="BB59" s="25">
        <f t="shared" si="6"/>
        <v>0</v>
      </c>
      <c r="BC59" s="25">
        <f t="shared" si="6"/>
        <v>0</v>
      </c>
      <c r="BD59" s="25">
        <f t="shared" si="6"/>
        <v>0</v>
      </c>
      <c r="BE59" s="25">
        <f t="shared" si="6"/>
        <v>3346965.298782355</v>
      </c>
      <c r="BF59" s="25">
        <f t="shared" si="3"/>
        <v>7292475.486763015</v>
      </c>
      <c r="BG59" s="25">
        <f t="shared" si="3"/>
        <v>7122058.339715963</v>
      </c>
      <c r="BH59" s="25">
        <f t="shared" si="3"/>
        <v>1930232.7747479053</v>
      </c>
      <c r="BI59" s="25">
        <f t="shared" si="3"/>
        <v>387503.04667701724</v>
      </c>
      <c r="BJ59" s="25">
        <f t="shared" si="3"/>
        <v>381027.36012304947</v>
      </c>
      <c r="BK59" s="25">
        <f t="shared" si="4"/>
        <v>2724922.9390618084</v>
      </c>
      <c r="BL59" s="25">
        <f t="shared" si="4"/>
        <v>0</v>
      </c>
      <c r="BM59" s="26">
        <f t="shared" si="5"/>
        <v>23185185.245871115</v>
      </c>
    </row>
    <row r="60" spans="2:65" ht="15">
      <c r="B60" s="16">
        <v>1983</v>
      </c>
      <c r="C60" s="41">
        <v>6503</v>
      </c>
      <c r="D60" s="41">
        <v>7248</v>
      </c>
      <c r="E60" s="41">
        <v>9053</v>
      </c>
      <c r="F60" s="41">
        <v>11593</v>
      </c>
      <c r="G60" s="41">
        <v>11656</v>
      </c>
      <c r="H60" s="41">
        <v>12059</v>
      </c>
      <c r="I60" s="41">
        <v>9395</v>
      </c>
      <c r="J60" s="41">
        <v>9134</v>
      </c>
      <c r="K60" s="41">
        <v>11540</v>
      </c>
      <c r="L60" s="41">
        <v>11978</v>
      </c>
      <c r="M60" s="41">
        <v>11478</v>
      </c>
      <c r="N60" s="41">
        <v>9411</v>
      </c>
      <c r="O60" s="41">
        <v>7802</v>
      </c>
      <c r="P60" s="41">
        <v>6426</v>
      </c>
      <c r="Q60" s="42">
        <v>9778</v>
      </c>
      <c r="S60" s="16">
        <v>1983</v>
      </c>
      <c r="T60" s="7">
        <v>6503</v>
      </c>
      <c r="U60" s="7">
        <v>7248</v>
      </c>
      <c r="V60" s="7">
        <v>9053</v>
      </c>
      <c r="W60" s="7">
        <v>11593</v>
      </c>
      <c r="X60" s="7">
        <v>11656</v>
      </c>
      <c r="Y60" s="7">
        <v>12059</v>
      </c>
      <c r="Z60" s="7">
        <v>8755</v>
      </c>
      <c r="AA60" s="7">
        <v>7825</v>
      </c>
      <c r="AB60" s="7">
        <v>10478</v>
      </c>
      <c r="AC60" s="7">
        <v>11318</v>
      </c>
      <c r="AD60" s="7">
        <v>11606</v>
      </c>
      <c r="AE60" s="7">
        <v>9354</v>
      </c>
      <c r="AF60" s="7">
        <v>7523</v>
      </c>
      <c r="AG60" s="7">
        <v>6426</v>
      </c>
      <c r="AH60" s="8">
        <v>9549</v>
      </c>
      <c r="AJ60" s="16">
        <v>1983</v>
      </c>
      <c r="AK60" s="23">
        <v>22.90858490082523</v>
      </c>
      <c r="AL60" s="23">
        <v>25.46920976318035</v>
      </c>
      <c r="AM60" s="23">
        <v>26.525726281442957</v>
      </c>
      <c r="AN60" s="23">
        <v>23.52264550321849</v>
      </c>
      <c r="AO60" s="23">
        <v>23.422226793425427</v>
      </c>
      <c r="AP60" s="23">
        <v>18.72324641139157</v>
      </c>
      <c r="AQ60" s="23">
        <v>18.842495485941583</v>
      </c>
      <c r="AR60" s="23">
        <v>13.92063065228922</v>
      </c>
      <c r="AS60" s="23">
        <v>14.102296029196845</v>
      </c>
      <c r="AT60" s="23">
        <v>16.8702201865053</v>
      </c>
      <c r="AU60" s="23">
        <v>23.53648517439445</v>
      </c>
      <c r="AV60" s="24">
        <v>23.8852259318034</v>
      </c>
      <c r="AX60" s="16">
        <v>1983</v>
      </c>
      <c r="AY60" s="25">
        <f t="shared" si="7"/>
        <v>0</v>
      </c>
      <c r="AZ60" s="25">
        <f t="shared" si="7"/>
        <v>0</v>
      </c>
      <c r="BA60" s="25">
        <f t="shared" si="6"/>
        <v>0</v>
      </c>
      <c r="BB60" s="25">
        <f t="shared" si="6"/>
        <v>0</v>
      </c>
      <c r="BC60" s="25">
        <f t="shared" si="6"/>
        <v>0</v>
      </c>
      <c r="BD60" s="25">
        <f t="shared" si="6"/>
        <v>0</v>
      </c>
      <c r="BE60" s="25">
        <f t="shared" si="6"/>
        <v>4341310.959960941</v>
      </c>
      <c r="BF60" s="25">
        <f t="shared" si="3"/>
        <v>8879337.572795112</v>
      </c>
      <c r="BG60" s="25">
        <f t="shared" si="3"/>
        <v>10999080.056031976</v>
      </c>
      <c r="BH60" s="25">
        <f t="shared" si="3"/>
        <v>6701411.073074341</v>
      </c>
      <c r="BI60" s="25">
        <f t="shared" si="3"/>
        <v>-1606584.8088012727</v>
      </c>
      <c r="BJ60" s="25">
        <f t="shared" si="3"/>
        <v>482968.67577857414</v>
      </c>
      <c r="BK60" s="25">
        <f t="shared" si="4"/>
        <v>2521604.875643924</v>
      </c>
      <c r="BL60" s="25">
        <f t="shared" si="4"/>
        <v>0</v>
      </c>
      <c r="BM60" s="26">
        <f t="shared" si="5"/>
        <v>32319128.404483598</v>
      </c>
    </row>
    <row r="61" spans="2:65" ht="15">
      <c r="B61" s="16">
        <v>1984</v>
      </c>
      <c r="C61" s="41">
        <v>5644</v>
      </c>
      <c r="D61" s="41">
        <v>9198</v>
      </c>
      <c r="E61" s="41">
        <v>9462</v>
      </c>
      <c r="F61" s="41">
        <v>10727</v>
      </c>
      <c r="G61" s="41">
        <v>10767</v>
      </c>
      <c r="H61" s="41">
        <v>9880</v>
      </c>
      <c r="I61" s="41">
        <v>11308</v>
      </c>
      <c r="J61" s="41">
        <v>12061</v>
      </c>
      <c r="K61" s="41">
        <v>11638</v>
      </c>
      <c r="L61" s="41">
        <v>13009</v>
      </c>
      <c r="M61" s="41">
        <v>10806</v>
      </c>
      <c r="N61" s="41">
        <v>9023</v>
      </c>
      <c r="O61" s="41">
        <v>6963</v>
      </c>
      <c r="P61" s="41">
        <v>6422</v>
      </c>
      <c r="Q61" s="42">
        <v>9757</v>
      </c>
      <c r="S61" s="16">
        <v>1984</v>
      </c>
      <c r="T61" s="7">
        <v>5644</v>
      </c>
      <c r="U61" s="7">
        <v>9198</v>
      </c>
      <c r="V61" s="7">
        <v>9462</v>
      </c>
      <c r="W61" s="7">
        <v>10727</v>
      </c>
      <c r="X61" s="7">
        <v>10767</v>
      </c>
      <c r="Y61" s="7">
        <v>9880</v>
      </c>
      <c r="Z61" s="7">
        <v>10876</v>
      </c>
      <c r="AA61" s="7">
        <v>11101</v>
      </c>
      <c r="AB61" s="7">
        <v>10730</v>
      </c>
      <c r="AC61" s="7">
        <v>12733</v>
      </c>
      <c r="AD61" s="7">
        <v>10933</v>
      </c>
      <c r="AE61" s="7">
        <v>8993</v>
      </c>
      <c r="AF61" s="7">
        <v>6702</v>
      </c>
      <c r="AG61" s="7">
        <v>6422</v>
      </c>
      <c r="AH61" s="8">
        <v>9599</v>
      </c>
      <c r="AJ61" s="16">
        <v>1984</v>
      </c>
      <c r="AK61" s="23">
        <v>24.169294807987807</v>
      </c>
      <c r="AL61" s="23">
        <v>22.511745879785693</v>
      </c>
      <c r="AM61" s="23">
        <v>26.136445092385824</v>
      </c>
      <c r="AN61" s="23">
        <v>24.263495368085906</v>
      </c>
      <c r="AO61" s="23">
        <v>24.10822997774397</v>
      </c>
      <c r="AP61" s="23">
        <v>21.11183214749173</v>
      </c>
      <c r="AQ61" s="23">
        <v>14.598346764610884</v>
      </c>
      <c r="AR61" s="23">
        <v>14.41521559580358</v>
      </c>
      <c r="AS61" s="23">
        <v>9.640121260947645</v>
      </c>
      <c r="AT61" s="23">
        <v>19.6949187837541</v>
      </c>
      <c r="AU61" s="23">
        <v>24.582159952194456</v>
      </c>
      <c r="AV61" s="24">
        <v>24.006786022186297</v>
      </c>
      <c r="AX61" s="16">
        <v>1984</v>
      </c>
      <c r="AY61" s="25">
        <f t="shared" si="7"/>
        <v>0</v>
      </c>
      <c r="AZ61" s="25">
        <f t="shared" si="7"/>
        <v>0</v>
      </c>
      <c r="BA61" s="25">
        <f t="shared" si="6"/>
        <v>0</v>
      </c>
      <c r="BB61" s="25">
        <f t="shared" si="6"/>
        <v>0</v>
      </c>
      <c r="BC61" s="25">
        <f t="shared" si="6"/>
        <v>0</v>
      </c>
      <c r="BD61" s="25">
        <f t="shared" si="6"/>
        <v>0</v>
      </c>
      <c r="BE61" s="25">
        <f t="shared" si="6"/>
        <v>2270334.8888322846</v>
      </c>
      <c r="BF61" s="25">
        <f t="shared" si="3"/>
        <v>5045188.641849522</v>
      </c>
      <c r="BG61" s="25">
        <f t="shared" si="3"/>
        <v>9738227.726176301</v>
      </c>
      <c r="BH61" s="25">
        <f t="shared" si="3"/>
        <v>1915684.8969755159</v>
      </c>
      <c r="BI61" s="25">
        <f t="shared" si="3"/>
        <v>-1860933.4860393575</v>
      </c>
      <c r="BJ61" s="25">
        <f t="shared" si="3"/>
        <v>265487.3274837001</v>
      </c>
      <c r="BK61" s="25">
        <f t="shared" si="4"/>
        <v>2463722.3990487373</v>
      </c>
      <c r="BL61" s="25">
        <f t="shared" si="4"/>
        <v>0</v>
      </c>
      <c r="BM61" s="26">
        <f t="shared" si="5"/>
        <v>19837712.3943267</v>
      </c>
    </row>
    <row r="62" spans="2:65" ht="15">
      <c r="B62" s="16">
        <v>1985</v>
      </c>
      <c r="C62" s="41">
        <v>5631</v>
      </c>
      <c r="D62" s="41">
        <v>7101</v>
      </c>
      <c r="E62" s="41">
        <v>8410</v>
      </c>
      <c r="F62" s="41">
        <v>8740</v>
      </c>
      <c r="G62" s="41">
        <v>8201</v>
      </c>
      <c r="H62" s="41">
        <v>7281</v>
      </c>
      <c r="I62" s="41">
        <v>8826</v>
      </c>
      <c r="J62" s="41">
        <v>10241</v>
      </c>
      <c r="K62" s="41">
        <v>10551</v>
      </c>
      <c r="L62" s="41">
        <v>8285</v>
      </c>
      <c r="M62" s="41">
        <v>6910</v>
      </c>
      <c r="N62" s="41">
        <v>5932</v>
      </c>
      <c r="O62" s="41">
        <v>5043</v>
      </c>
      <c r="P62" s="41">
        <v>5773</v>
      </c>
      <c r="Q62" s="42">
        <v>7653</v>
      </c>
      <c r="S62" s="16">
        <v>1985</v>
      </c>
      <c r="T62" s="7">
        <v>5631</v>
      </c>
      <c r="U62" s="7">
        <v>7101</v>
      </c>
      <c r="V62" s="7">
        <v>8410</v>
      </c>
      <c r="W62" s="7">
        <v>8740</v>
      </c>
      <c r="X62" s="7">
        <v>8201</v>
      </c>
      <c r="Y62" s="7">
        <v>7281</v>
      </c>
      <c r="Z62" s="7">
        <v>8100</v>
      </c>
      <c r="AA62" s="7">
        <v>9081</v>
      </c>
      <c r="AB62" s="7">
        <v>9339</v>
      </c>
      <c r="AC62" s="7">
        <v>7434</v>
      </c>
      <c r="AD62" s="7">
        <v>6911</v>
      </c>
      <c r="AE62" s="7">
        <v>5899</v>
      </c>
      <c r="AF62" s="7">
        <v>4886</v>
      </c>
      <c r="AG62" s="7">
        <v>5773</v>
      </c>
      <c r="AH62" s="8">
        <v>7394</v>
      </c>
      <c r="AJ62" s="16">
        <v>1985</v>
      </c>
      <c r="AK62" s="23">
        <v>22.944626626660774</v>
      </c>
      <c r="AL62" s="23">
        <v>23.313068009381784</v>
      </c>
      <c r="AM62" s="23">
        <v>27.204786150429843</v>
      </c>
      <c r="AN62" s="23">
        <v>27.135862785000946</v>
      </c>
      <c r="AO62" s="23">
        <v>27.79509371348787</v>
      </c>
      <c r="AP62" s="23">
        <v>24.757820246550132</v>
      </c>
      <c r="AQ62" s="23">
        <v>17.726479351520542</v>
      </c>
      <c r="AR62" s="23">
        <v>15.99575170265735</v>
      </c>
      <c r="AS62" s="23">
        <v>20.6386147711012</v>
      </c>
      <c r="AT62" s="23">
        <v>25.28288673508553</v>
      </c>
      <c r="AU62" s="23">
        <v>28.997793562950598</v>
      </c>
      <c r="AV62" s="24">
        <v>25.51270917574561</v>
      </c>
      <c r="AX62" s="16">
        <v>1985</v>
      </c>
      <c r="AY62" s="25">
        <f t="shared" si="7"/>
        <v>0</v>
      </c>
      <c r="AZ62" s="25">
        <f t="shared" si="7"/>
        <v>0</v>
      </c>
      <c r="BA62" s="25">
        <f t="shared" si="6"/>
        <v>0</v>
      </c>
      <c r="BB62" s="25">
        <f t="shared" si="6"/>
        <v>0</v>
      </c>
      <c r="BC62" s="25">
        <f t="shared" si="6"/>
        <v>0</v>
      </c>
      <c r="BD62" s="25">
        <f t="shared" si="6"/>
        <v>0</v>
      </c>
      <c r="BE62" s="25">
        <f t="shared" si="6"/>
        <v>4632992.643313409</v>
      </c>
      <c r="BF62" s="25">
        <f t="shared" si="3"/>
        <v>7402577.777194979</v>
      </c>
      <c r="BG62" s="25">
        <f t="shared" si="3"/>
        <v>14423817.191333806</v>
      </c>
      <c r="BH62" s="25">
        <f t="shared" si="3"/>
        <v>12645692.042549128</v>
      </c>
      <c r="BI62" s="25">
        <f t="shared" si="3"/>
        <v>-18810.467730903634</v>
      </c>
      <c r="BJ62" s="25">
        <f t="shared" si="3"/>
        <v>344493.7875278531</v>
      </c>
      <c r="BK62" s="25">
        <f t="shared" si="4"/>
        <v>1748218.9783231656</v>
      </c>
      <c r="BL62" s="25">
        <f t="shared" si="4"/>
        <v>0</v>
      </c>
      <c r="BM62" s="26">
        <f t="shared" si="5"/>
        <v>41178981.95251144</v>
      </c>
    </row>
    <row r="63" spans="2:65" ht="15">
      <c r="B63" s="16">
        <v>1986</v>
      </c>
      <c r="C63" s="41">
        <v>5027</v>
      </c>
      <c r="D63" s="41">
        <v>8538</v>
      </c>
      <c r="E63" s="41">
        <v>8722</v>
      </c>
      <c r="F63" s="41">
        <v>10475</v>
      </c>
      <c r="G63" s="41">
        <v>10836</v>
      </c>
      <c r="H63" s="41">
        <v>13314</v>
      </c>
      <c r="I63" s="41">
        <v>11372</v>
      </c>
      <c r="J63" s="41">
        <v>12191</v>
      </c>
      <c r="K63" s="41">
        <v>10162</v>
      </c>
      <c r="L63" s="41">
        <v>10739</v>
      </c>
      <c r="M63" s="41">
        <v>8184</v>
      </c>
      <c r="N63" s="41">
        <v>6852</v>
      </c>
      <c r="O63" s="41">
        <v>5912</v>
      </c>
      <c r="P63" s="41">
        <v>5374</v>
      </c>
      <c r="Q63" s="42">
        <v>9113</v>
      </c>
      <c r="S63" s="16">
        <v>1986</v>
      </c>
      <c r="T63" s="7">
        <v>5027</v>
      </c>
      <c r="U63" s="7">
        <v>8538</v>
      </c>
      <c r="V63" s="7">
        <v>8722</v>
      </c>
      <c r="W63" s="7">
        <v>10475</v>
      </c>
      <c r="X63" s="7">
        <v>10836</v>
      </c>
      <c r="Y63" s="7">
        <v>13314</v>
      </c>
      <c r="Z63" s="7">
        <v>10921</v>
      </c>
      <c r="AA63" s="7">
        <v>11156</v>
      </c>
      <c r="AB63" s="7">
        <v>8873</v>
      </c>
      <c r="AC63" s="7">
        <v>10048</v>
      </c>
      <c r="AD63" s="7">
        <v>8217</v>
      </c>
      <c r="AE63" s="7">
        <v>6793</v>
      </c>
      <c r="AF63" s="7">
        <v>5696</v>
      </c>
      <c r="AG63" s="7">
        <v>5374</v>
      </c>
      <c r="AH63" s="8">
        <v>8876</v>
      </c>
      <c r="AJ63" s="16">
        <v>1986</v>
      </c>
      <c r="AK63" s="23">
        <v>24.521902944195663</v>
      </c>
      <c r="AL63" s="23">
        <v>23.62005022236772</v>
      </c>
      <c r="AM63" s="23">
        <v>28.927966196306283</v>
      </c>
      <c r="AN63" s="23">
        <v>26.330108147026383</v>
      </c>
      <c r="AO63" s="23">
        <v>24.89146295956204</v>
      </c>
      <c r="AP63" s="23">
        <v>16.063094254688423</v>
      </c>
      <c r="AQ63" s="23">
        <v>14.300874407556371</v>
      </c>
      <c r="AR63" s="23">
        <v>17.771863522324477</v>
      </c>
      <c r="AS63" s="23">
        <v>17.86788760291203</v>
      </c>
      <c r="AT63" s="23">
        <v>25.363858238343255</v>
      </c>
      <c r="AU63" s="23">
        <v>27.180926842843345</v>
      </c>
      <c r="AV63" s="24">
        <v>26.103032124837238</v>
      </c>
      <c r="AX63" s="16">
        <v>1986</v>
      </c>
      <c r="AY63" s="25">
        <f t="shared" si="7"/>
        <v>0</v>
      </c>
      <c r="AZ63" s="25">
        <f t="shared" si="7"/>
        <v>0</v>
      </c>
      <c r="BA63" s="25">
        <f t="shared" si="6"/>
        <v>0</v>
      </c>
      <c r="BB63" s="25">
        <f t="shared" si="6"/>
        <v>0</v>
      </c>
      <c r="BC63" s="25">
        <f t="shared" si="6"/>
        <v>0</v>
      </c>
      <c r="BD63" s="25">
        <f t="shared" si="6"/>
        <v>0</v>
      </c>
      <c r="BE63" s="25">
        <f t="shared" si="6"/>
        <v>2321889.9688108526</v>
      </c>
      <c r="BF63" s="25">
        <f t="shared" si="3"/>
        <v>5328505.804255504</v>
      </c>
      <c r="BG63" s="25">
        <f t="shared" si="3"/>
        <v>17043501.46772553</v>
      </c>
      <c r="BH63" s="25">
        <f t="shared" si="3"/>
        <v>8889631.440200794</v>
      </c>
      <c r="BI63" s="25">
        <f t="shared" si="3"/>
        <v>-622733.4474678036</v>
      </c>
      <c r="BJ63" s="25">
        <f t="shared" si="3"/>
        <v>577322.8861419926</v>
      </c>
      <c r="BK63" s="25">
        <f t="shared" si="4"/>
        <v>2254494.796052798</v>
      </c>
      <c r="BL63" s="25">
        <f t="shared" si="4"/>
        <v>0</v>
      </c>
      <c r="BM63" s="26">
        <f t="shared" si="5"/>
        <v>35792612.915719666</v>
      </c>
    </row>
    <row r="64" spans="2:65" ht="15">
      <c r="B64" s="16">
        <v>1987</v>
      </c>
      <c r="C64" s="41">
        <v>4925</v>
      </c>
      <c r="D64" s="41">
        <v>7006</v>
      </c>
      <c r="E64" s="41">
        <v>8567</v>
      </c>
      <c r="F64" s="41">
        <v>8195</v>
      </c>
      <c r="G64" s="41">
        <v>6757</v>
      </c>
      <c r="H64" s="41">
        <v>7919</v>
      </c>
      <c r="I64" s="41">
        <v>5562</v>
      </c>
      <c r="J64" s="41">
        <v>7506</v>
      </c>
      <c r="K64" s="41">
        <v>10475</v>
      </c>
      <c r="L64" s="41">
        <v>8260</v>
      </c>
      <c r="M64" s="41">
        <v>6035</v>
      </c>
      <c r="N64" s="41">
        <v>6180</v>
      </c>
      <c r="O64" s="41">
        <v>5267</v>
      </c>
      <c r="P64" s="41">
        <v>5496</v>
      </c>
      <c r="Q64" s="42">
        <v>7163</v>
      </c>
      <c r="S64" s="16">
        <v>1987</v>
      </c>
      <c r="T64" s="7">
        <v>4925</v>
      </c>
      <c r="U64" s="7">
        <v>7006</v>
      </c>
      <c r="V64" s="7">
        <v>8567</v>
      </c>
      <c r="W64" s="7">
        <v>8195</v>
      </c>
      <c r="X64" s="7">
        <v>6757</v>
      </c>
      <c r="Y64" s="7">
        <v>7919</v>
      </c>
      <c r="Z64" s="7">
        <v>4707</v>
      </c>
      <c r="AA64" s="7">
        <v>6068</v>
      </c>
      <c r="AB64" s="7">
        <v>9315</v>
      </c>
      <c r="AC64" s="7">
        <v>7585</v>
      </c>
      <c r="AD64" s="7">
        <v>6032</v>
      </c>
      <c r="AE64" s="7">
        <v>6111</v>
      </c>
      <c r="AF64" s="7">
        <v>5127</v>
      </c>
      <c r="AG64" s="7">
        <v>5496</v>
      </c>
      <c r="AH64" s="8">
        <v>6906</v>
      </c>
      <c r="AJ64" s="16">
        <v>1987</v>
      </c>
      <c r="AK64" s="23">
        <v>25.413670349121098</v>
      </c>
      <c r="AL64" s="23">
        <v>25.37833683265893</v>
      </c>
      <c r="AM64" s="23">
        <v>27.43982195597821</v>
      </c>
      <c r="AN64" s="23">
        <v>28.944399663966205</v>
      </c>
      <c r="AO64" s="23">
        <v>30.450855759211944</v>
      </c>
      <c r="AP64" s="23">
        <v>23.582571082994427</v>
      </c>
      <c r="AQ64" s="23">
        <v>22.503666150834807</v>
      </c>
      <c r="AR64" s="23">
        <v>17.028828141638</v>
      </c>
      <c r="AS64" s="23">
        <v>22.34016173415712</v>
      </c>
      <c r="AT64" s="23">
        <v>27.301022451154633</v>
      </c>
      <c r="AU64" s="23">
        <v>29.407686468862718</v>
      </c>
      <c r="AV64" s="24">
        <v>26.793155269622805</v>
      </c>
      <c r="AX64" s="16">
        <v>1987</v>
      </c>
      <c r="AY64" s="25">
        <f t="shared" si="7"/>
        <v>0</v>
      </c>
      <c r="AZ64" s="25">
        <f t="shared" si="7"/>
        <v>0</v>
      </c>
      <c r="BA64" s="25">
        <f t="shared" si="6"/>
        <v>0</v>
      </c>
      <c r="BB64" s="25">
        <f t="shared" si="6"/>
        <v>0</v>
      </c>
      <c r="BC64" s="25">
        <f t="shared" si="6"/>
        <v>0</v>
      </c>
      <c r="BD64" s="25">
        <f t="shared" si="6"/>
        <v>0</v>
      </c>
      <c r="BE64" s="25">
        <f t="shared" si="6"/>
        <v>6926628.441226954</v>
      </c>
      <c r="BF64" s="25">
        <f t="shared" si="3"/>
        <v>11649697.892964162</v>
      </c>
      <c r="BG64" s="25">
        <f t="shared" si="3"/>
        <v>14696559.839359261</v>
      </c>
      <c r="BH64" s="25">
        <f t="shared" si="3"/>
        <v>10857318.60280036</v>
      </c>
      <c r="BI64" s="25">
        <f t="shared" si="3"/>
        <v>60935.882110977145</v>
      </c>
      <c r="BJ64" s="25">
        <f t="shared" si="3"/>
        <v>730486.9318865499</v>
      </c>
      <c r="BK64" s="25">
        <f t="shared" si="4"/>
        <v>1580957.2245660597</v>
      </c>
      <c r="BL64" s="25">
        <f t="shared" si="4"/>
        <v>0</v>
      </c>
      <c r="BM64" s="26">
        <f t="shared" si="5"/>
        <v>46502584.814914316</v>
      </c>
    </row>
    <row r="65" spans="2:65" ht="15">
      <c r="B65" s="16">
        <v>1988</v>
      </c>
      <c r="C65" s="41">
        <v>5299</v>
      </c>
      <c r="D65" s="41">
        <v>6973</v>
      </c>
      <c r="E65" s="41">
        <v>6415</v>
      </c>
      <c r="F65" s="41">
        <v>6278</v>
      </c>
      <c r="G65" s="41">
        <v>5409</v>
      </c>
      <c r="H65" s="41">
        <v>6286</v>
      </c>
      <c r="I65" s="41">
        <v>5220</v>
      </c>
      <c r="J65" s="41">
        <v>7430</v>
      </c>
      <c r="K65" s="41">
        <v>8199</v>
      </c>
      <c r="L65" s="41">
        <v>6430</v>
      </c>
      <c r="M65" s="41">
        <v>7302</v>
      </c>
      <c r="N65" s="41">
        <v>6888</v>
      </c>
      <c r="O65" s="41">
        <v>5899</v>
      </c>
      <c r="P65" s="41">
        <v>5560</v>
      </c>
      <c r="Q65" s="42">
        <v>6411</v>
      </c>
      <c r="S65" s="16">
        <v>1988</v>
      </c>
      <c r="T65" s="7">
        <v>5299</v>
      </c>
      <c r="U65" s="7">
        <v>6973</v>
      </c>
      <c r="V65" s="7">
        <v>6415</v>
      </c>
      <c r="W65" s="7">
        <v>6278</v>
      </c>
      <c r="X65" s="7">
        <v>5409</v>
      </c>
      <c r="Y65" s="7">
        <v>6286</v>
      </c>
      <c r="Z65" s="7">
        <v>4322</v>
      </c>
      <c r="AA65" s="7">
        <v>6017</v>
      </c>
      <c r="AB65" s="7">
        <v>6789</v>
      </c>
      <c r="AC65" s="7">
        <v>5588</v>
      </c>
      <c r="AD65" s="7">
        <v>7281</v>
      </c>
      <c r="AE65" s="7">
        <v>6793</v>
      </c>
      <c r="AF65" s="7">
        <v>5757</v>
      </c>
      <c r="AG65" s="7">
        <v>5560</v>
      </c>
      <c r="AH65" s="8">
        <v>6116</v>
      </c>
      <c r="AJ65" s="16">
        <v>1988</v>
      </c>
      <c r="AK65" s="23">
        <v>24.85582486890976</v>
      </c>
      <c r="AL65" s="23">
        <v>26.362402743605394</v>
      </c>
      <c r="AM65" s="23">
        <v>31.6243078729158</v>
      </c>
      <c r="AN65" s="23">
        <v>31.344577259658518</v>
      </c>
      <c r="AO65" s="23">
        <v>33.733365399496904</v>
      </c>
      <c r="AP65" s="23">
        <v>25.27137419625535</v>
      </c>
      <c r="AQ65" s="23">
        <v>21.29423621389601</v>
      </c>
      <c r="AR65" s="23">
        <v>18.70275649024593</v>
      </c>
      <c r="AS65" s="23">
        <v>22.77371095021561</v>
      </c>
      <c r="AT65" s="23">
        <v>24.648612084952735</v>
      </c>
      <c r="AU65" s="23">
        <v>27.892678219272234</v>
      </c>
      <c r="AV65" s="24">
        <v>26.285417098999016</v>
      </c>
      <c r="AX65" s="16">
        <v>1988</v>
      </c>
      <c r="AY65" s="25">
        <f t="shared" si="7"/>
        <v>0</v>
      </c>
      <c r="AZ65" s="25">
        <f t="shared" si="7"/>
        <v>0</v>
      </c>
      <c r="BA65" s="25">
        <f t="shared" si="6"/>
        <v>0</v>
      </c>
      <c r="BB65" s="25">
        <f t="shared" si="6"/>
        <v>0</v>
      </c>
      <c r="BC65" s="25">
        <f t="shared" si="6"/>
        <v>0</v>
      </c>
      <c r="BD65" s="25">
        <f t="shared" si="6"/>
        <v>0</v>
      </c>
      <c r="BE65" s="25">
        <f t="shared" si="6"/>
        <v>6884000.683228302</v>
      </c>
      <c r="BF65" s="25">
        <f t="shared" si="3"/>
        <v>10831952.077284623</v>
      </c>
      <c r="BG65" s="25">
        <f t="shared" si="3"/>
        <v>19619939.66852759</v>
      </c>
      <c r="BH65" s="25">
        <f t="shared" si="3"/>
        <v>13806334.52645871</v>
      </c>
      <c r="BI65" s="25">
        <f t="shared" si="3"/>
        <v>385109.9152153015</v>
      </c>
      <c r="BJ65" s="25">
        <f t="shared" si="3"/>
        <v>953929.5950991104</v>
      </c>
      <c r="BK65" s="25">
        <f t="shared" si="4"/>
        <v>1520931.9579404765</v>
      </c>
      <c r="BL65" s="25">
        <f t="shared" si="4"/>
        <v>0</v>
      </c>
      <c r="BM65" s="26">
        <f t="shared" si="5"/>
        <v>54002198.42375411</v>
      </c>
    </row>
    <row r="66" spans="2:65" ht="15">
      <c r="B66" s="16">
        <v>1989</v>
      </c>
      <c r="C66" s="41">
        <v>5140</v>
      </c>
      <c r="D66" s="41">
        <v>7109</v>
      </c>
      <c r="E66" s="41">
        <v>7429</v>
      </c>
      <c r="F66" s="41">
        <v>6918</v>
      </c>
      <c r="G66" s="41">
        <v>6182</v>
      </c>
      <c r="H66" s="41">
        <v>7782</v>
      </c>
      <c r="I66" s="41">
        <v>7730</v>
      </c>
      <c r="J66" s="41">
        <v>12309</v>
      </c>
      <c r="K66" s="41">
        <v>10210</v>
      </c>
      <c r="L66" s="41">
        <v>8682</v>
      </c>
      <c r="M66" s="41">
        <v>6655</v>
      </c>
      <c r="N66" s="41">
        <v>6337</v>
      </c>
      <c r="O66" s="41">
        <v>5626</v>
      </c>
      <c r="P66" s="41">
        <v>5588</v>
      </c>
      <c r="Q66" s="42">
        <v>7310</v>
      </c>
      <c r="S66" s="16">
        <v>1989</v>
      </c>
      <c r="T66" s="7">
        <v>5140</v>
      </c>
      <c r="U66" s="7">
        <v>7109</v>
      </c>
      <c r="V66" s="7">
        <v>7429</v>
      </c>
      <c r="W66" s="7">
        <v>6918</v>
      </c>
      <c r="X66" s="7">
        <v>6182</v>
      </c>
      <c r="Y66" s="7">
        <v>7782</v>
      </c>
      <c r="Z66" s="7">
        <v>6953</v>
      </c>
      <c r="AA66" s="7">
        <v>11409</v>
      </c>
      <c r="AB66" s="7">
        <v>8977</v>
      </c>
      <c r="AC66" s="7">
        <v>7857</v>
      </c>
      <c r="AD66" s="7">
        <v>6679</v>
      </c>
      <c r="AE66" s="7">
        <v>6274</v>
      </c>
      <c r="AF66" s="7">
        <v>5444</v>
      </c>
      <c r="AG66" s="7">
        <v>5588</v>
      </c>
      <c r="AH66" s="8">
        <v>7060</v>
      </c>
      <c r="AJ66" s="16">
        <v>1989</v>
      </c>
      <c r="AK66" s="23">
        <v>24.83299345124153</v>
      </c>
      <c r="AL66" s="23">
        <v>24.565534462545187</v>
      </c>
      <c r="AM66" s="23">
        <v>29.772207652368806</v>
      </c>
      <c r="AN66" s="23">
        <v>30.572028067804162</v>
      </c>
      <c r="AO66" s="23">
        <v>32.82266433579585</v>
      </c>
      <c r="AP66" s="23">
        <v>23.28229565036411</v>
      </c>
      <c r="AQ66" s="23">
        <v>17.5326044228342</v>
      </c>
      <c r="AR66" s="23">
        <v>17.562422310248536</v>
      </c>
      <c r="AS66" s="23">
        <v>21.479682305124033</v>
      </c>
      <c r="AT66" s="23">
        <v>26.80001294587249</v>
      </c>
      <c r="AU66" s="23">
        <v>28.786765141640927</v>
      </c>
      <c r="AV66" s="24">
        <v>27.00416886647543</v>
      </c>
      <c r="AX66" s="16">
        <v>1989</v>
      </c>
      <c r="AY66" s="25">
        <f t="shared" si="7"/>
        <v>0</v>
      </c>
      <c r="AZ66" s="25">
        <f t="shared" si="7"/>
        <v>0</v>
      </c>
      <c r="BA66" s="25">
        <f t="shared" si="6"/>
        <v>0</v>
      </c>
      <c r="BB66" s="25">
        <f t="shared" si="6"/>
        <v>0</v>
      </c>
      <c r="BC66" s="25">
        <f t="shared" si="6"/>
        <v>0</v>
      </c>
      <c r="BD66" s="25">
        <f t="shared" si="6"/>
        <v>0</v>
      </c>
      <c r="BE66" s="25">
        <f t="shared" si="6"/>
        <v>4904220.109155183</v>
      </c>
      <c r="BF66" s="25">
        <f t="shared" si="3"/>
        <v>5680563.832998281</v>
      </c>
      <c r="BG66" s="25">
        <f t="shared" si="3"/>
        <v>16110923.231151115</v>
      </c>
      <c r="BH66" s="25">
        <f t="shared" si="3"/>
        <v>12758931.289243676</v>
      </c>
      <c r="BI66" s="25">
        <f t="shared" si="3"/>
        <v>-478541.03116149915</v>
      </c>
      <c r="BJ66" s="25">
        <f t="shared" si="3"/>
        <v>652883.8334124163</v>
      </c>
      <c r="BK66" s="25">
        <f t="shared" si="4"/>
        <v>2011849.4422190012</v>
      </c>
      <c r="BL66" s="25">
        <f t="shared" si="4"/>
        <v>0</v>
      </c>
      <c r="BM66" s="26">
        <f t="shared" si="5"/>
        <v>41640830.707018174</v>
      </c>
    </row>
    <row r="67" spans="2:65" ht="15">
      <c r="B67" s="16">
        <v>1990</v>
      </c>
      <c r="C67" s="41">
        <v>5338</v>
      </c>
      <c r="D67" s="41">
        <v>7107</v>
      </c>
      <c r="E67" s="41">
        <v>9088</v>
      </c>
      <c r="F67" s="41">
        <v>10133</v>
      </c>
      <c r="G67" s="41">
        <v>10337</v>
      </c>
      <c r="H67" s="41">
        <v>9838</v>
      </c>
      <c r="I67" s="41">
        <v>7535</v>
      </c>
      <c r="J67" s="41">
        <v>11568</v>
      </c>
      <c r="K67" s="41">
        <v>9257</v>
      </c>
      <c r="L67" s="41">
        <v>11621</v>
      </c>
      <c r="M67" s="41">
        <v>9071</v>
      </c>
      <c r="N67" s="41">
        <v>8710</v>
      </c>
      <c r="O67" s="41">
        <v>7840</v>
      </c>
      <c r="P67" s="41">
        <v>5536</v>
      </c>
      <c r="Q67" s="42">
        <v>8752</v>
      </c>
      <c r="S67" s="16">
        <v>1990</v>
      </c>
      <c r="T67" s="7">
        <v>5338</v>
      </c>
      <c r="U67" s="7">
        <v>7107</v>
      </c>
      <c r="V67" s="7">
        <v>9088</v>
      </c>
      <c r="W67" s="7">
        <v>10133</v>
      </c>
      <c r="X67" s="7">
        <v>10337</v>
      </c>
      <c r="Y67" s="7">
        <v>9838</v>
      </c>
      <c r="Z67" s="7">
        <v>6686</v>
      </c>
      <c r="AA67" s="7">
        <v>10533</v>
      </c>
      <c r="AB67" s="7">
        <v>7909</v>
      </c>
      <c r="AC67" s="7">
        <v>10971</v>
      </c>
      <c r="AD67" s="7">
        <v>9083</v>
      </c>
      <c r="AE67" s="7">
        <v>8628</v>
      </c>
      <c r="AF67" s="7">
        <v>7560</v>
      </c>
      <c r="AG67" s="7">
        <v>5536</v>
      </c>
      <c r="AH67" s="8">
        <v>8492</v>
      </c>
      <c r="AJ67" s="16">
        <v>1990</v>
      </c>
      <c r="AK67" s="23">
        <v>25.95940008394178</v>
      </c>
      <c r="AL67" s="23">
        <v>26.37037876482314</v>
      </c>
      <c r="AM67" s="23">
        <v>28.02140216981213</v>
      </c>
      <c r="AN67" s="23">
        <v>26.897451063894472</v>
      </c>
      <c r="AO67" s="23">
        <v>26.743758562632944</v>
      </c>
      <c r="AP67" s="23">
        <v>21.99296992030469</v>
      </c>
      <c r="AQ67" s="23">
        <v>17.900730763011538</v>
      </c>
      <c r="AR67" s="23">
        <v>18.004463258353603</v>
      </c>
      <c r="AS67" s="23">
        <v>13.878579005930154</v>
      </c>
      <c r="AT67" s="23">
        <v>22.405140848569992</v>
      </c>
      <c r="AU67" s="23">
        <v>24.13718468835279</v>
      </c>
      <c r="AV67" s="24">
        <v>25.387735991477925</v>
      </c>
      <c r="AX67" s="16">
        <v>1990</v>
      </c>
      <c r="AY67" s="25">
        <f t="shared" si="7"/>
        <v>0</v>
      </c>
      <c r="AZ67" s="25">
        <f t="shared" si="7"/>
        <v>0</v>
      </c>
      <c r="BA67" s="25">
        <f t="shared" si="6"/>
        <v>0</v>
      </c>
      <c r="BB67" s="25">
        <f t="shared" si="6"/>
        <v>0</v>
      </c>
      <c r="BC67" s="25">
        <f t="shared" si="6"/>
        <v>0</v>
      </c>
      <c r="BD67" s="25">
        <f t="shared" si="6"/>
        <v>0</v>
      </c>
      <c r="BE67" s="25">
        <f t="shared" si="6"/>
        <v>5471179.350406846</v>
      </c>
      <c r="BF67" s="25">
        <f t="shared" si="3"/>
        <v>6669812.282298099</v>
      </c>
      <c r="BG67" s="25">
        <f t="shared" si="3"/>
        <v>18056892.25536193</v>
      </c>
      <c r="BH67" s="25">
        <f t="shared" si="3"/>
        <v>6495174.9747753125</v>
      </c>
      <c r="BI67" s="25">
        <f t="shared" si="3"/>
        <v>-200033.0974960329</v>
      </c>
      <c r="BJ67" s="25">
        <f t="shared" si="3"/>
        <v>712529.6920001743</v>
      </c>
      <c r="BK67" s="25">
        <f t="shared" si="4"/>
        <v>2595230.097691692</v>
      </c>
      <c r="BL67" s="25">
        <f t="shared" si="4"/>
        <v>0</v>
      </c>
      <c r="BM67" s="26">
        <f t="shared" si="5"/>
        <v>39800785.55503802</v>
      </c>
    </row>
    <row r="68" spans="2:65" ht="15">
      <c r="B68" s="16">
        <v>1991</v>
      </c>
      <c r="C68" s="41">
        <v>5045</v>
      </c>
      <c r="D68" s="41">
        <v>8938</v>
      </c>
      <c r="E68" s="41">
        <v>10071</v>
      </c>
      <c r="F68" s="41">
        <v>11478</v>
      </c>
      <c r="G68" s="41">
        <v>10835</v>
      </c>
      <c r="H68" s="41">
        <v>10510</v>
      </c>
      <c r="I68" s="41">
        <v>9121</v>
      </c>
      <c r="J68" s="41">
        <v>8731</v>
      </c>
      <c r="K68" s="41">
        <v>10474</v>
      </c>
      <c r="L68" s="41">
        <v>11317</v>
      </c>
      <c r="M68" s="41">
        <v>11396</v>
      </c>
      <c r="N68" s="41">
        <v>9709</v>
      </c>
      <c r="O68" s="41">
        <v>7945</v>
      </c>
      <c r="P68" s="41">
        <v>5513</v>
      </c>
      <c r="Q68" s="42">
        <v>9439</v>
      </c>
      <c r="S68" s="16">
        <v>1991</v>
      </c>
      <c r="T68" s="7">
        <v>5045</v>
      </c>
      <c r="U68" s="7">
        <v>8938</v>
      </c>
      <c r="V68" s="7">
        <v>10071</v>
      </c>
      <c r="W68" s="7">
        <v>11478</v>
      </c>
      <c r="X68" s="7">
        <v>10835</v>
      </c>
      <c r="Y68" s="7">
        <v>10510</v>
      </c>
      <c r="Z68" s="7">
        <v>8302</v>
      </c>
      <c r="AA68" s="7">
        <v>7331</v>
      </c>
      <c r="AB68" s="7">
        <v>9295</v>
      </c>
      <c r="AC68" s="7">
        <v>10624</v>
      </c>
      <c r="AD68" s="7">
        <v>11415</v>
      </c>
      <c r="AE68" s="7">
        <v>9613</v>
      </c>
      <c r="AF68" s="7">
        <v>7675</v>
      </c>
      <c r="AG68" s="7">
        <v>5513</v>
      </c>
      <c r="AH68" s="8">
        <v>9176</v>
      </c>
      <c r="AJ68" s="16">
        <v>1991</v>
      </c>
      <c r="AK68" s="23">
        <v>23.346625105027258</v>
      </c>
      <c r="AL68" s="23">
        <v>21.347336999916983</v>
      </c>
      <c r="AM68" s="23">
        <v>25.916399310737518</v>
      </c>
      <c r="AN68" s="23">
        <v>24.12501774423868</v>
      </c>
      <c r="AO68" s="23">
        <v>23.533621798242873</v>
      </c>
      <c r="AP68" s="23">
        <v>20.816247810264983</v>
      </c>
      <c r="AQ68" s="23">
        <v>19.714847378200947</v>
      </c>
      <c r="AR68" s="23">
        <v>17.4797906212909</v>
      </c>
      <c r="AS68" s="23">
        <v>18.15282342566387</v>
      </c>
      <c r="AT68" s="23">
        <v>19.474073085661516</v>
      </c>
      <c r="AU68" s="23">
        <v>25.772061624065532</v>
      </c>
      <c r="AV68" s="24">
        <v>27.013030454317718</v>
      </c>
      <c r="AX68" s="16">
        <v>1991</v>
      </c>
      <c r="AY68" s="25">
        <f t="shared" si="7"/>
        <v>0</v>
      </c>
      <c r="AZ68" s="25">
        <f t="shared" si="7"/>
        <v>0</v>
      </c>
      <c r="BA68" s="25">
        <f t="shared" si="6"/>
        <v>0</v>
      </c>
      <c r="BB68" s="25">
        <f t="shared" si="6"/>
        <v>0</v>
      </c>
      <c r="BC68" s="25">
        <f t="shared" si="6"/>
        <v>0</v>
      </c>
      <c r="BD68" s="25">
        <f t="shared" si="6"/>
        <v>0</v>
      </c>
      <c r="BE68" s="25">
        <f t="shared" si="6"/>
        <v>5812725.600988767</v>
      </c>
      <c r="BF68" s="25">
        <f t="shared" si="3"/>
        <v>9936283.078613278</v>
      </c>
      <c r="BG68" s="25">
        <f t="shared" si="3"/>
        <v>15332852.818021465</v>
      </c>
      <c r="BH68" s="25">
        <f t="shared" si="3"/>
        <v>9057532.776469244</v>
      </c>
      <c r="BI68" s="25">
        <f t="shared" si="3"/>
        <v>-275285.49713891116</v>
      </c>
      <c r="BJ68" s="25">
        <f t="shared" si="3"/>
        <v>890682.4497277047</v>
      </c>
      <c r="BK68" s="25">
        <f t="shared" si="4"/>
        <v>2672047.3491831142</v>
      </c>
      <c r="BL68" s="25">
        <f t="shared" si="4"/>
        <v>0</v>
      </c>
      <c r="BM68" s="26">
        <f t="shared" si="5"/>
        <v>43426838.575864665</v>
      </c>
    </row>
    <row r="69" spans="2:65" ht="15">
      <c r="B69" s="16">
        <v>1992</v>
      </c>
      <c r="C69" s="41">
        <v>5408</v>
      </c>
      <c r="D69" s="41">
        <v>6832</v>
      </c>
      <c r="E69" s="41">
        <v>6465</v>
      </c>
      <c r="F69" s="41">
        <v>7583</v>
      </c>
      <c r="G69" s="41">
        <v>7236</v>
      </c>
      <c r="H69" s="41">
        <v>8326</v>
      </c>
      <c r="I69" s="41">
        <v>4534</v>
      </c>
      <c r="J69" s="41">
        <v>6658</v>
      </c>
      <c r="K69" s="41">
        <v>8205</v>
      </c>
      <c r="L69" s="41">
        <v>6027</v>
      </c>
      <c r="M69" s="41">
        <v>6108</v>
      </c>
      <c r="N69" s="41">
        <v>6510</v>
      </c>
      <c r="O69" s="41">
        <v>5579</v>
      </c>
      <c r="P69" s="41">
        <v>5375</v>
      </c>
      <c r="Q69" s="42">
        <v>6603</v>
      </c>
      <c r="S69" s="16">
        <v>1992</v>
      </c>
      <c r="T69" s="7">
        <v>5408</v>
      </c>
      <c r="U69" s="7">
        <v>6832</v>
      </c>
      <c r="V69" s="7">
        <v>6465</v>
      </c>
      <c r="W69" s="7">
        <v>7583</v>
      </c>
      <c r="X69" s="7">
        <v>7236</v>
      </c>
      <c r="Y69" s="7">
        <v>8326</v>
      </c>
      <c r="Z69" s="7">
        <v>3773</v>
      </c>
      <c r="AA69" s="7">
        <v>5394</v>
      </c>
      <c r="AB69" s="7">
        <v>6824</v>
      </c>
      <c r="AC69" s="7">
        <v>5438</v>
      </c>
      <c r="AD69" s="7">
        <v>6101</v>
      </c>
      <c r="AE69" s="7">
        <v>6429</v>
      </c>
      <c r="AF69" s="7">
        <v>5450</v>
      </c>
      <c r="AG69" s="7">
        <v>5375</v>
      </c>
      <c r="AH69" s="8">
        <v>6345</v>
      </c>
      <c r="AJ69" s="16">
        <v>1992</v>
      </c>
      <c r="AK69" s="23">
        <v>24.221037437069796</v>
      </c>
      <c r="AL69" s="23">
        <v>25.702473566833035</v>
      </c>
      <c r="AM69" s="23">
        <v>31.22135462145649</v>
      </c>
      <c r="AN69" s="23">
        <v>29.142264418448164</v>
      </c>
      <c r="AO69" s="23">
        <v>28.482202802385604</v>
      </c>
      <c r="AP69" s="23">
        <v>24.09727651710305</v>
      </c>
      <c r="AQ69" s="23">
        <v>25.357556696467917</v>
      </c>
      <c r="AR69" s="23">
        <v>20.86303137040907</v>
      </c>
      <c r="AS69" s="23">
        <v>26.52360308435228</v>
      </c>
      <c r="AT69" s="23">
        <v>28.190317033952276</v>
      </c>
      <c r="AU69" s="23">
        <v>28.901024003182727</v>
      </c>
      <c r="AV69" s="24">
        <v>27.528309652010613</v>
      </c>
      <c r="AX69" s="16">
        <v>1992</v>
      </c>
      <c r="AY69" s="25">
        <f t="shared" si="7"/>
        <v>0</v>
      </c>
      <c r="AZ69" s="25">
        <f t="shared" si="7"/>
        <v>0</v>
      </c>
      <c r="BA69" s="25">
        <f t="shared" si="6"/>
        <v>0</v>
      </c>
      <c r="BB69" s="25">
        <f t="shared" si="6"/>
        <v>0</v>
      </c>
      <c r="BC69" s="25">
        <f t="shared" si="6"/>
        <v>0</v>
      </c>
      <c r="BD69" s="25">
        <f t="shared" si="6"/>
        <v>0</v>
      </c>
      <c r="BE69" s="25">
        <f t="shared" si="6"/>
        <v>6946956.232564351</v>
      </c>
      <c r="BF69" s="25">
        <f t="shared" si="3"/>
        <v>11538702.59916076</v>
      </c>
      <c r="BG69" s="25">
        <f t="shared" si="3"/>
        <v>21436013.663965985</v>
      </c>
      <c r="BH69" s="25">
        <f t="shared" si="3"/>
        <v>11248129.596012115</v>
      </c>
      <c r="BI69" s="25">
        <f t="shared" si="3"/>
        <v>146815.17111282345</v>
      </c>
      <c r="BJ69" s="25">
        <f t="shared" si="3"/>
        <v>842753.8599328083</v>
      </c>
      <c r="BK69" s="25">
        <f t="shared" si="4"/>
        <v>1431641.1250216595</v>
      </c>
      <c r="BL69" s="25">
        <f t="shared" si="4"/>
        <v>0</v>
      </c>
      <c r="BM69" s="26">
        <f t="shared" si="5"/>
        <v>53591012.2477705</v>
      </c>
    </row>
    <row r="70" spans="2:65" ht="15">
      <c r="B70" s="16">
        <v>1993</v>
      </c>
      <c r="C70" s="41">
        <v>5444</v>
      </c>
      <c r="D70" s="41">
        <v>7173</v>
      </c>
      <c r="E70" s="41">
        <v>7052</v>
      </c>
      <c r="F70" s="41">
        <v>6012</v>
      </c>
      <c r="G70" s="41">
        <v>5307</v>
      </c>
      <c r="H70" s="41">
        <v>6923</v>
      </c>
      <c r="I70" s="41">
        <v>6438</v>
      </c>
      <c r="J70" s="41">
        <v>8017</v>
      </c>
      <c r="K70" s="41">
        <v>10922</v>
      </c>
      <c r="L70" s="41">
        <v>9580</v>
      </c>
      <c r="M70" s="41">
        <v>7212</v>
      </c>
      <c r="N70" s="41">
        <v>7009</v>
      </c>
      <c r="O70" s="41">
        <v>6235</v>
      </c>
      <c r="P70" s="41">
        <v>5781</v>
      </c>
      <c r="Q70" s="42">
        <v>7115</v>
      </c>
      <c r="S70" s="16">
        <v>1993</v>
      </c>
      <c r="T70" s="7">
        <v>5444</v>
      </c>
      <c r="U70" s="7">
        <v>7173</v>
      </c>
      <c r="V70" s="7">
        <v>7052</v>
      </c>
      <c r="W70" s="7">
        <v>6012</v>
      </c>
      <c r="X70" s="7">
        <v>5307</v>
      </c>
      <c r="Y70" s="7">
        <v>6923</v>
      </c>
      <c r="Z70" s="7">
        <v>5598</v>
      </c>
      <c r="AA70" s="7">
        <v>6626</v>
      </c>
      <c r="AB70" s="7">
        <v>9806</v>
      </c>
      <c r="AC70" s="7">
        <v>8801</v>
      </c>
      <c r="AD70" s="7">
        <v>7308</v>
      </c>
      <c r="AE70" s="7">
        <v>6979</v>
      </c>
      <c r="AF70" s="7">
        <v>5975</v>
      </c>
      <c r="AG70" s="7">
        <v>5781</v>
      </c>
      <c r="AH70" s="8">
        <v>6860</v>
      </c>
      <c r="AJ70" s="16">
        <v>1993</v>
      </c>
      <c r="AK70" s="23">
        <v>25.345234031061985</v>
      </c>
      <c r="AL70" s="23">
        <v>25.63679518650044</v>
      </c>
      <c r="AM70" s="23">
        <v>30.348484853006177</v>
      </c>
      <c r="AN70" s="23">
        <v>31.808956181618473</v>
      </c>
      <c r="AO70" s="23">
        <v>36.288417373384746</v>
      </c>
      <c r="AP70" s="23">
        <v>24.50888149186384</v>
      </c>
      <c r="AQ70" s="23">
        <v>20.747478665245897</v>
      </c>
      <c r="AR70" s="23">
        <v>15.955739378480478</v>
      </c>
      <c r="AS70" s="23">
        <v>19.643802018960333</v>
      </c>
      <c r="AT70" s="23">
        <v>25.35969387638955</v>
      </c>
      <c r="AU70" s="23">
        <v>26.610673019962967</v>
      </c>
      <c r="AV70" s="24">
        <v>26.042005343437243</v>
      </c>
      <c r="AX70" s="16">
        <v>1993</v>
      </c>
      <c r="AY70" s="25">
        <f t="shared" si="7"/>
        <v>0</v>
      </c>
      <c r="AZ70" s="25">
        <f t="shared" si="7"/>
        <v>0</v>
      </c>
      <c r="BA70" s="25">
        <f t="shared" si="6"/>
        <v>0</v>
      </c>
      <c r="BB70" s="25">
        <f t="shared" si="6"/>
        <v>0</v>
      </c>
      <c r="BC70" s="25">
        <f t="shared" si="6"/>
        <v>0</v>
      </c>
      <c r="BD70" s="25">
        <f t="shared" si="6"/>
        <v>0</v>
      </c>
      <c r="BE70" s="25">
        <f t="shared" si="6"/>
        <v>6274037.548370359</v>
      </c>
      <c r="BF70" s="25">
        <f aca="true" t="shared" si="8" ref="BF70:BJ85">(J70*BF$5*24-AA70*BF$5*24)*AQ70</f>
        <v>10389507.416408535</v>
      </c>
      <c r="BG70" s="25">
        <f t="shared" si="8"/>
        <v>13248114.228909856</v>
      </c>
      <c r="BH70" s="25">
        <f t="shared" si="8"/>
        <v>11017815.676394472</v>
      </c>
      <c r="BI70" s="25">
        <f t="shared" si="8"/>
        <v>-1811290.7754272472</v>
      </c>
      <c r="BJ70" s="25">
        <f t="shared" si="8"/>
        <v>287395.2686156</v>
      </c>
      <c r="BK70" s="25">
        <f t="shared" si="4"/>
        <v>2656809.594313103</v>
      </c>
      <c r="BL70" s="25">
        <f t="shared" si="4"/>
        <v>0</v>
      </c>
      <c r="BM70" s="26">
        <f t="shared" si="5"/>
        <v>42062388.95758468</v>
      </c>
    </row>
    <row r="71" spans="2:65" ht="15">
      <c r="B71" s="16">
        <v>1994</v>
      </c>
      <c r="C71" s="41">
        <v>5319</v>
      </c>
      <c r="D71" s="41">
        <v>7359</v>
      </c>
      <c r="E71" s="41">
        <v>7357</v>
      </c>
      <c r="F71" s="41">
        <v>5646</v>
      </c>
      <c r="G71" s="41">
        <v>6056</v>
      </c>
      <c r="H71" s="41">
        <v>5938</v>
      </c>
      <c r="I71" s="41">
        <v>5257</v>
      </c>
      <c r="J71" s="41">
        <v>7319</v>
      </c>
      <c r="K71" s="41">
        <v>9435</v>
      </c>
      <c r="L71" s="41">
        <v>8347</v>
      </c>
      <c r="M71" s="41">
        <v>6990</v>
      </c>
      <c r="N71" s="41">
        <v>6681</v>
      </c>
      <c r="O71" s="41">
        <v>5638</v>
      </c>
      <c r="P71" s="41">
        <v>5772</v>
      </c>
      <c r="Q71" s="42">
        <v>6724</v>
      </c>
      <c r="S71" s="16">
        <v>1994</v>
      </c>
      <c r="T71" s="7">
        <v>5319</v>
      </c>
      <c r="U71" s="7">
        <v>7359</v>
      </c>
      <c r="V71" s="7">
        <v>7357</v>
      </c>
      <c r="W71" s="7">
        <v>5646</v>
      </c>
      <c r="X71" s="7">
        <v>6056</v>
      </c>
      <c r="Y71" s="7">
        <v>5938</v>
      </c>
      <c r="Z71" s="7">
        <v>4387</v>
      </c>
      <c r="AA71" s="7">
        <v>5886</v>
      </c>
      <c r="AB71" s="7">
        <v>8078</v>
      </c>
      <c r="AC71" s="7">
        <v>7529</v>
      </c>
      <c r="AD71" s="7">
        <v>6985</v>
      </c>
      <c r="AE71" s="7">
        <v>6609</v>
      </c>
      <c r="AF71" s="7">
        <v>5512</v>
      </c>
      <c r="AG71" s="7">
        <v>5772</v>
      </c>
      <c r="AH71" s="8">
        <v>6438</v>
      </c>
      <c r="AJ71" s="16">
        <v>1994</v>
      </c>
      <c r="AK71" s="23">
        <v>25.167373753363112</v>
      </c>
      <c r="AL71" s="23">
        <v>25.647803788376912</v>
      </c>
      <c r="AM71" s="23">
        <v>29.34561178094598</v>
      </c>
      <c r="AN71" s="23">
        <v>31.54460746088336</v>
      </c>
      <c r="AO71" s="23">
        <v>31.0195213317871</v>
      </c>
      <c r="AP71" s="23">
        <v>26.460317760200564</v>
      </c>
      <c r="AQ71" s="23">
        <v>22.352386552492778</v>
      </c>
      <c r="AR71" s="23">
        <v>17.881061663935306</v>
      </c>
      <c r="AS71" s="23">
        <v>21.985583204693235</v>
      </c>
      <c r="AT71" s="23">
        <v>25.904254455976584</v>
      </c>
      <c r="AU71" s="23">
        <v>28.429209930666026</v>
      </c>
      <c r="AV71" s="24">
        <v>25.488161257108025</v>
      </c>
      <c r="AX71" s="16">
        <v>1994</v>
      </c>
      <c r="AY71" s="25">
        <f t="shared" si="7"/>
        <v>0</v>
      </c>
      <c r="AZ71" s="25">
        <f t="shared" si="7"/>
        <v>0</v>
      </c>
      <c r="BA71" s="25">
        <f t="shared" si="6"/>
        <v>0</v>
      </c>
      <c r="BB71" s="25">
        <f t="shared" si="6"/>
        <v>0</v>
      </c>
      <c r="BC71" s="25">
        <f t="shared" si="6"/>
        <v>0</v>
      </c>
      <c r="BD71" s="25">
        <f t="shared" si="6"/>
        <v>0</v>
      </c>
      <c r="BE71" s="25">
        <f t="shared" si="6"/>
        <v>7000767.468240738</v>
      </c>
      <c r="BF71" s="25">
        <f t="shared" si="8"/>
        <v>11531149.174699973</v>
      </c>
      <c r="BG71" s="25">
        <f t="shared" si="8"/>
        <v>18052862.904402398</v>
      </c>
      <c r="BH71" s="25">
        <f t="shared" si="8"/>
        <v>12948629.084236128</v>
      </c>
      <c r="BI71" s="25">
        <f t="shared" si="8"/>
        <v>96363.8265762329</v>
      </c>
      <c r="BJ71" s="25">
        <f t="shared" si="8"/>
        <v>736885.1214028634</v>
      </c>
      <c r="BK71" s="25">
        <f aca="true" t="shared" si="9" ref="BK71:BL85">(O71*BK$5*24-AF71*BK$5*24)*AU71</f>
        <v>1375518.893285345</v>
      </c>
      <c r="BL71" s="25">
        <f t="shared" si="9"/>
        <v>0</v>
      </c>
      <c r="BM71" s="26">
        <f aca="true" t="shared" si="10" ref="BM71:BM85">SUM(AY71:BL71)</f>
        <v>51742176.47284367</v>
      </c>
    </row>
    <row r="72" spans="2:65" ht="15">
      <c r="B72" s="16">
        <v>1995</v>
      </c>
      <c r="C72" s="41">
        <v>5397</v>
      </c>
      <c r="D72" s="41">
        <v>6484</v>
      </c>
      <c r="E72" s="41">
        <v>6999</v>
      </c>
      <c r="F72" s="41">
        <v>8348</v>
      </c>
      <c r="G72" s="41">
        <v>8832</v>
      </c>
      <c r="H72" s="41">
        <v>9480</v>
      </c>
      <c r="I72" s="41">
        <v>6812</v>
      </c>
      <c r="J72" s="41">
        <v>7749</v>
      </c>
      <c r="K72" s="41">
        <v>9888</v>
      </c>
      <c r="L72" s="41">
        <v>12150</v>
      </c>
      <c r="M72" s="41">
        <v>8614</v>
      </c>
      <c r="N72" s="41">
        <v>6891</v>
      </c>
      <c r="O72" s="41">
        <v>6138</v>
      </c>
      <c r="P72" s="41">
        <v>6308</v>
      </c>
      <c r="Q72" s="42">
        <v>8017</v>
      </c>
      <c r="S72" s="16">
        <v>1995</v>
      </c>
      <c r="T72" s="7">
        <v>5397</v>
      </c>
      <c r="U72" s="7">
        <v>6484</v>
      </c>
      <c r="V72" s="7">
        <v>6999</v>
      </c>
      <c r="W72" s="7">
        <v>8348</v>
      </c>
      <c r="X72" s="7">
        <v>8832</v>
      </c>
      <c r="Y72" s="7">
        <v>9480</v>
      </c>
      <c r="Z72" s="7">
        <v>5996</v>
      </c>
      <c r="AA72" s="7">
        <v>6329</v>
      </c>
      <c r="AB72" s="7">
        <v>8610</v>
      </c>
      <c r="AC72" s="7">
        <v>11484</v>
      </c>
      <c r="AD72" s="7">
        <v>8755</v>
      </c>
      <c r="AE72" s="7">
        <v>6857</v>
      </c>
      <c r="AF72" s="7">
        <v>5866</v>
      </c>
      <c r="AG72" s="7">
        <v>6308</v>
      </c>
      <c r="AH72" s="8">
        <v>7760</v>
      </c>
      <c r="AJ72" s="16">
        <v>1995</v>
      </c>
      <c r="AK72" s="23">
        <v>25.159370545418042</v>
      </c>
      <c r="AL72" s="23">
        <v>27.28727185941107</v>
      </c>
      <c r="AM72" s="23">
        <v>31.036252876507344</v>
      </c>
      <c r="AN72" s="23">
        <v>28.199360886953205</v>
      </c>
      <c r="AO72" s="23">
        <v>26.549334737232773</v>
      </c>
      <c r="AP72" s="23">
        <v>22.542804231200883</v>
      </c>
      <c r="AQ72" s="23">
        <v>22.549078390863194</v>
      </c>
      <c r="AR72" s="23">
        <v>17.273430905803558</v>
      </c>
      <c r="AS72" s="23">
        <v>11.866884252801519</v>
      </c>
      <c r="AT72" s="23">
        <v>23.178400318596935</v>
      </c>
      <c r="AU72" s="23">
        <v>26.530333940444425</v>
      </c>
      <c r="AV72" s="24">
        <v>24.740435228347774</v>
      </c>
      <c r="AX72" s="16">
        <v>1995</v>
      </c>
      <c r="AY72" s="25">
        <f t="shared" si="7"/>
        <v>0</v>
      </c>
      <c r="AZ72" s="25">
        <f t="shared" si="7"/>
        <v>0</v>
      </c>
      <c r="BA72" s="25">
        <f t="shared" si="6"/>
        <v>0</v>
      </c>
      <c r="BB72" s="25">
        <f t="shared" si="6"/>
        <v>0</v>
      </c>
      <c r="BC72" s="25">
        <f t="shared" si="6"/>
        <v>0</v>
      </c>
      <c r="BD72" s="25">
        <f t="shared" si="6"/>
        <v>0</v>
      </c>
      <c r="BE72" s="25">
        <f t="shared" si="6"/>
        <v>6624017.268099972</v>
      </c>
      <c r="BF72" s="25">
        <f t="shared" si="8"/>
        <v>11527088.873409266</v>
      </c>
      <c r="BG72" s="25">
        <f t="shared" si="8"/>
        <v>16424130.855027009</v>
      </c>
      <c r="BH72" s="25">
        <f t="shared" si="8"/>
        <v>5690408.336903384</v>
      </c>
      <c r="BI72" s="25">
        <f t="shared" si="8"/>
        <v>-2431506.907022093</v>
      </c>
      <c r="BJ72" s="25">
        <f t="shared" si="8"/>
        <v>324731.2874310398</v>
      </c>
      <c r="BK72" s="25">
        <f t="shared" si="9"/>
        <v>2771040.3194115395</v>
      </c>
      <c r="BL72" s="25">
        <f t="shared" si="9"/>
        <v>0</v>
      </c>
      <c r="BM72" s="26">
        <f t="shared" si="10"/>
        <v>40929910.033260114</v>
      </c>
    </row>
    <row r="73" spans="2:65" ht="15">
      <c r="B73" s="16">
        <v>1996</v>
      </c>
      <c r="C73" s="41">
        <v>6268</v>
      </c>
      <c r="D73" s="41">
        <v>10151</v>
      </c>
      <c r="E73" s="41">
        <v>14294</v>
      </c>
      <c r="F73" s="41">
        <v>14250</v>
      </c>
      <c r="G73" s="41">
        <v>13984</v>
      </c>
      <c r="H73" s="41">
        <v>13883</v>
      </c>
      <c r="I73" s="41">
        <v>10871</v>
      </c>
      <c r="J73" s="41">
        <v>12814</v>
      </c>
      <c r="K73" s="41">
        <v>12686</v>
      </c>
      <c r="L73" s="41">
        <v>12060</v>
      </c>
      <c r="M73" s="41">
        <v>11463</v>
      </c>
      <c r="N73" s="41">
        <v>9474</v>
      </c>
      <c r="O73" s="41">
        <v>7945</v>
      </c>
      <c r="P73" s="41">
        <v>5971</v>
      </c>
      <c r="Q73" s="42">
        <v>11294</v>
      </c>
      <c r="S73" s="16">
        <v>1996</v>
      </c>
      <c r="T73" s="7">
        <v>6268</v>
      </c>
      <c r="U73" s="7">
        <v>10151</v>
      </c>
      <c r="V73" s="7">
        <v>14294</v>
      </c>
      <c r="W73" s="7">
        <v>14250</v>
      </c>
      <c r="X73" s="7">
        <v>13984</v>
      </c>
      <c r="Y73" s="7">
        <v>13883</v>
      </c>
      <c r="Z73" s="7">
        <v>10409</v>
      </c>
      <c r="AA73" s="7">
        <v>12073</v>
      </c>
      <c r="AB73" s="7">
        <v>11852</v>
      </c>
      <c r="AC73" s="7">
        <v>11621</v>
      </c>
      <c r="AD73" s="7">
        <v>11549</v>
      </c>
      <c r="AE73" s="7">
        <v>9408</v>
      </c>
      <c r="AF73" s="7">
        <v>7654</v>
      </c>
      <c r="AG73" s="7">
        <v>5971</v>
      </c>
      <c r="AH73" s="8">
        <v>11130</v>
      </c>
      <c r="AJ73" s="16">
        <v>1996</v>
      </c>
      <c r="AK73" s="23">
        <v>23.477899118392735</v>
      </c>
      <c r="AL73" s="23">
        <v>21.076690735466435</v>
      </c>
      <c r="AM73" s="23">
        <v>16.81264000661593</v>
      </c>
      <c r="AN73" s="23">
        <v>16.926633562275818</v>
      </c>
      <c r="AO73" s="23">
        <v>16.01234418520967</v>
      </c>
      <c r="AP73" s="23">
        <v>10.652101368415956</v>
      </c>
      <c r="AQ73" s="23">
        <v>11.973219495614346</v>
      </c>
      <c r="AR73" s="23">
        <v>8.13804707092945</v>
      </c>
      <c r="AS73" s="23">
        <v>14.109068066212888</v>
      </c>
      <c r="AT73" s="23">
        <v>18.233190998915703</v>
      </c>
      <c r="AU73" s="23">
        <v>24.085290412749</v>
      </c>
      <c r="AV73" s="24">
        <v>25.582729156812068</v>
      </c>
      <c r="AX73" s="16">
        <v>1996</v>
      </c>
      <c r="AY73" s="25">
        <f t="shared" si="7"/>
        <v>0</v>
      </c>
      <c r="AZ73" s="25">
        <f t="shared" si="7"/>
        <v>0</v>
      </c>
      <c r="BA73" s="25">
        <f t="shared" si="6"/>
        <v>0</v>
      </c>
      <c r="BB73" s="25">
        <f t="shared" si="6"/>
        <v>0</v>
      </c>
      <c r="BC73" s="25">
        <f t="shared" si="6"/>
        <v>0</v>
      </c>
      <c r="BD73" s="25">
        <f t="shared" si="6"/>
        <v>0</v>
      </c>
      <c r="BE73" s="25">
        <f t="shared" si="6"/>
        <v>1991385.866510578</v>
      </c>
      <c r="BF73" s="25">
        <f t="shared" si="8"/>
        <v>3193976.032650083</v>
      </c>
      <c r="BG73" s="25">
        <f t="shared" si="8"/>
        <v>5049625.655323439</v>
      </c>
      <c r="BH73" s="25">
        <f t="shared" si="8"/>
        <v>4459594.23436857</v>
      </c>
      <c r="BI73" s="25">
        <f t="shared" si="8"/>
        <v>-1166632.4928746223</v>
      </c>
      <c r="BJ73" s="25">
        <f t="shared" si="8"/>
        <v>572266.5002069162</v>
      </c>
      <c r="BK73" s="25">
        <f t="shared" si="9"/>
        <v>2691386.6918822243</v>
      </c>
      <c r="BL73" s="25">
        <f t="shared" si="9"/>
        <v>0</v>
      </c>
      <c r="BM73" s="26">
        <f t="shared" si="10"/>
        <v>16791602.488067187</v>
      </c>
    </row>
    <row r="74" spans="2:65" ht="15">
      <c r="B74" s="16">
        <v>1997</v>
      </c>
      <c r="C74" s="41">
        <v>5478</v>
      </c>
      <c r="D74" s="41">
        <v>6979</v>
      </c>
      <c r="E74" s="41">
        <v>9607</v>
      </c>
      <c r="F74" s="41">
        <v>14399</v>
      </c>
      <c r="G74" s="41">
        <v>14595</v>
      </c>
      <c r="H74" s="41">
        <v>13860</v>
      </c>
      <c r="I74" s="41">
        <v>11376</v>
      </c>
      <c r="J74" s="41">
        <v>12959</v>
      </c>
      <c r="K74" s="41">
        <v>13211</v>
      </c>
      <c r="L74" s="41">
        <v>13443</v>
      </c>
      <c r="M74" s="41">
        <v>11821</v>
      </c>
      <c r="N74" s="41">
        <v>9292</v>
      </c>
      <c r="O74" s="41">
        <v>9379</v>
      </c>
      <c r="P74" s="41">
        <v>7327</v>
      </c>
      <c r="Q74" s="42">
        <v>11001</v>
      </c>
      <c r="S74" s="16">
        <v>1997</v>
      </c>
      <c r="T74" s="7">
        <v>5478</v>
      </c>
      <c r="U74" s="7">
        <v>6979</v>
      </c>
      <c r="V74" s="7">
        <v>9607</v>
      </c>
      <c r="W74" s="7">
        <v>14399</v>
      </c>
      <c r="X74" s="7">
        <v>14595</v>
      </c>
      <c r="Y74" s="7">
        <v>13860</v>
      </c>
      <c r="Z74" s="7">
        <v>10963</v>
      </c>
      <c r="AA74" s="7">
        <v>12572</v>
      </c>
      <c r="AB74" s="7">
        <v>13174</v>
      </c>
      <c r="AC74" s="7">
        <v>13418</v>
      </c>
      <c r="AD74" s="7">
        <v>11897</v>
      </c>
      <c r="AE74" s="7">
        <v>9273</v>
      </c>
      <c r="AF74" s="7">
        <v>9110</v>
      </c>
      <c r="AG74" s="7">
        <v>7327</v>
      </c>
      <c r="AH74" s="8">
        <v>10957</v>
      </c>
      <c r="AJ74" s="16">
        <v>1997</v>
      </c>
      <c r="AK74" s="23">
        <v>22.824797001192668</v>
      </c>
      <c r="AL74" s="23">
        <v>23.99534876442486</v>
      </c>
      <c r="AM74" s="23">
        <v>24.52316122055055</v>
      </c>
      <c r="AN74" s="23">
        <v>14.801580666117763</v>
      </c>
      <c r="AO74" s="23">
        <v>14.772250918298962</v>
      </c>
      <c r="AP74" s="23">
        <v>11.170021231330617</v>
      </c>
      <c r="AQ74" s="23">
        <v>10.135896378465818</v>
      </c>
      <c r="AR74" s="23">
        <v>4.967536148212595</v>
      </c>
      <c r="AS74" s="23">
        <v>5.61975317928527</v>
      </c>
      <c r="AT74" s="23">
        <v>15.921269893389868</v>
      </c>
      <c r="AU74" s="23">
        <v>23.396067137102925</v>
      </c>
      <c r="AV74" s="24">
        <v>23.29159623781838</v>
      </c>
      <c r="AX74" s="16">
        <v>1997</v>
      </c>
      <c r="AY74" s="25">
        <f t="shared" si="7"/>
        <v>0</v>
      </c>
      <c r="AZ74" s="25">
        <f t="shared" si="7"/>
        <v>0</v>
      </c>
      <c r="BA74" s="25">
        <f t="shared" si="6"/>
        <v>0</v>
      </c>
      <c r="BB74" s="25">
        <f t="shared" si="6"/>
        <v>0</v>
      </c>
      <c r="BC74" s="25">
        <f t="shared" si="6"/>
        <v>0</v>
      </c>
      <c r="BD74" s="25">
        <f t="shared" si="6"/>
        <v>0</v>
      </c>
      <c r="BE74" s="25">
        <f t="shared" si="6"/>
        <v>1507005.0735502976</v>
      </c>
      <c r="BF74" s="25">
        <f t="shared" si="8"/>
        <v>1412133.0834478578</v>
      </c>
      <c r="BG74" s="25">
        <f t="shared" si="8"/>
        <v>136746.33508799633</v>
      </c>
      <c r="BH74" s="25">
        <f t="shared" si="8"/>
        <v>101155.55722713486</v>
      </c>
      <c r="BI74" s="25">
        <f t="shared" si="8"/>
        <v>-900252.2848518366</v>
      </c>
      <c r="BJ74" s="25">
        <f t="shared" si="8"/>
        <v>160029.099217784</v>
      </c>
      <c r="BK74" s="25">
        <f t="shared" si="9"/>
        <v>2416720.150994184</v>
      </c>
      <c r="BL74" s="25">
        <f t="shared" si="9"/>
        <v>0</v>
      </c>
      <c r="BM74" s="26">
        <f t="shared" si="10"/>
        <v>4833537.014673418</v>
      </c>
    </row>
    <row r="75" spans="2:65" ht="15">
      <c r="B75" s="16">
        <v>1998</v>
      </c>
      <c r="C75" s="41">
        <v>8378</v>
      </c>
      <c r="D75" s="41">
        <v>8387</v>
      </c>
      <c r="E75" s="41">
        <v>8401</v>
      </c>
      <c r="F75" s="41">
        <v>9096</v>
      </c>
      <c r="G75" s="41">
        <v>8876</v>
      </c>
      <c r="H75" s="41">
        <v>8024</v>
      </c>
      <c r="I75" s="41">
        <v>7361</v>
      </c>
      <c r="J75" s="41">
        <v>8943</v>
      </c>
      <c r="K75" s="41">
        <v>13094</v>
      </c>
      <c r="L75" s="41">
        <v>13124</v>
      </c>
      <c r="M75" s="41">
        <v>9374</v>
      </c>
      <c r="N75" s="41">
        <v>8092</v>
      </c>
      <c r="O75" s="41">
        <v>6356</v>
      </c>
      <c r="P75" s="41">
        <v>5463</v>
      </c>
      <c r="Q75" s="42">
        <v>8967</v>
      </c>
      <c r="S75" s="16">
        <v>1998</v>
      </c>
      <c r="T75" s="7">
        <v>8378</v>
      </c>
      <c r="U75" s="7">
        <v>8387</v>
      </c>
      <c r="V75" s="7">
        <v>8401</v>
      </c>
      <c r="W75" s="7">
        <v>9096</v>
      </c>
      <c r="X75" s="7">
        <v>8876</v>
      </c>
      <c r="Y75" s="7">
        <v>8024</v>
      </c>
      <c r="Z75" s="7">
        <v>6501</v>
      </c>
      <c r="AA75" s="7">
        <v>7540</v>
      </c>
      <c r="AB75" s="7">
        <v>12595</v>
      </c>
      <c r="AC75" s="7">
        <v>12510</v>
      </c>
      <c r="AD75" s="7">
        <v>9477</v>
      </c>
      <c r="AE75" s="7">
        <v>8036</v>
      </c>
      <c r="AF75" s="7">
        <v>6104</v>
      </c>
      <c r="AG75" s="7">
        <v>5463</v>
      </c>
      <c r="AH75" s="8">
        <v>8776</v>
      </c>
      <c r="AJ75" s="16">
        <v>1998</v>
      </c>
      <c r="AK75" s="23">
        <v>20.219019981353537</v>
      </c>
      <c r="AL75" s="23">
        <v>24.13309279338003</v>
      </c>
      <c r="AM75" s="23">
        <v>29.384547236145153</v>
      </c>
      <c r="AN75" s="23">
        <v>27.619065163212472</v>
      </c>
      <c r="AO75" s="23">
        <v>28.025348997116073</v>
      </c>
      <c r="AP75" s="23">
        <v>23.911454959897608</v>
      </c>
      <c r="AQ75" s="23">
        <v>19.932128135363282</v>
      </c>
      <c r="AR75" s="23">
        <v>6.984124893230462</v>
      </c>
      <c r="AS75" s="23">
        <v>6.198003080321696</v>
      </c>
      <c r="AT75" s="23">
        <v>22.420107860206265</v>
      </c>
      <c r="AU75" s="23">
        <v>25.68329087688079</v>
      </c>
      <c r="AV75" s="24">
        <v>26.358645768165594</v>
      </c>
      <c r="AX75" s="16">
        <v>1998</v>
      </c>
      <c r="AY75" s="25">
        <f t="shared" si="7"/>
        <v>0</v>
      </c>
      <c r="AZ75" s="25">
        <f t="shared" si="7"/>
        <v>0</v>
      </c>
      <c r="BA75" s="25">
        <f t="shared" si="6"/>
        <v>0</v>
      </c>
      <c r="BB75" s="25">
        <f t="shared" si="6"/>
        <v>0</v>
      </c>
      <c r="BC75" s="25">
        <f t="shared" si="6"/>
        <v>0</v>
      </c>
      <c r="BD75" s="25">
        <f t="shared" si="6"/>
        <v>0</v>
      </c>
      <c r="BE75" s="25">
        <f t="shared" si="6"/>
        <v>6170986.870708472</v>
      </c>
      <c r="BF75" s="25">
        <f t="shared" si="8"/>
        <v>10067319.278609287</v>
      </c>
      <c r="BG75" s="25">
        <f t="shared" si="8"/>
        <v>2592898.2713611685</v>
      </c>
      <c r="BH75" s="25">
        <f t="shared" si="8"/>
        <v>2740013.201748615</v>
      </c>
      <c r="BI75" s="25">
        <f t="shared" si="8"/>
        <v>-1718097.7055433264</v>
      </c>
      <c r="BJ75" s="25">
        <f t="shared" si="8"/>
        <v>517775.14407791675</v>
      </c>
      <c r="BK75" s="25">
        <f t="shared" si="9"/>
        <v>2485320.6915740003</v>
      </c>
      <c r="BL75" s="25">
        <f t="shared" si="9"/>
        <v>0</v>
      </c>
      <c r="BM75" s="26">
        <f t="shared" si="10"/>
        <v>22856215.752536133</v>
      </c>
    </row>
    <row r="76" spans="2:65" ht="15">
      <c r="B76" s="16">
        <v>1999</v>
      </c>
      <c r="C76" s="41">
        <v>5174</v>
      </c>
      <c r="D76" s="41">
        <v>6203</v>
      </c>
      <c r="E76" s="41">
        <v>9269</v>
      </c>
      <c r="F76" s="41">
        <v>12611</v>
      </c>
      <c r="G76" s="41">
        <v>12637</v>
      </c>
      <c r="H76" s="41">
        <v>12392</v>
      </c>
      <c r="I76" s="41">
        <v>9168</v>
      </c>
      <c r="J76" s="41">
        <v>10872</v>
      </c>
      <c r="K76" s="41">
        <v>10862</v>
      </c>
      <c r="L76" s="41">
        <v>12993</v>
      </c>
      <c r="M76" s="41">
        <v>11876</v>
      </c>
      <c r="N76" s="41">
        <v>10327</v>
      </c>
      <c r="O76" s="41">
        <v>9474</v>
      </c>
      <c r="P76" s="41">
        <v>6494</v>
      </c>
      <c r="Q76" s="42">
        <v>10026</v>
      </c>
      <c r="S76" s="16">
        <v>1999</v>
      </c>
      <c r="T76" s="7">
        <v>5174</v>
      </c>
      <c r="U76" s="7">
        <v>6203</v>
      </c>
      <c r="V76" s="7">
        <v>9269</v>
      </c>
      <c r="W76" s="7">
        <v>12611</v>
      </c>
      <c r="X76" s="7">
        <v>12637</v>
      </c>
      <c r="Y76" s="7">
        <v>12392</v>
      </c>
      <c r="Z76" s="7">
        <v>8446</v>
      </c>
      <c r="AA76" s="7">
        <v>9738</v>
      </c>
      <c r="AB76" s="7">
        <v>9743</v>
      </c>
      <c r="AC76" s="7">
        <v>12675</v>
      </c>
      <c r="AD76" s="7">
        <v>11894</v>
      </c>
      <c r="AE76" s="7">
        <v>10261</v>
      </c>
      <c r="AF76" s="7">
        <v>9182</v>
      </c>
      <c r="AG76" s="7">
        <v>6494</v>
      </c>
      <c r="AH76" s="8">
        <v>9814</v>
      </c>
      <c r="AJ76" s="16">
        <v>1999</v>
      </c>
      <c r="AK76" s="23">
        <v>25.21393404776046</v>
      </c>
      <c r="AL76" s="23">
        <v>26.79529648726589</v>
      </c>
      <c r="AM76" s="23">
        <v>25.585433660784073</v>
      </c>
      <c r="AN76" s="23">
        <v>22.05032754431491</v>
      </c>
      <c r="AO76" s="23">
        <v>21.06671476704736</v>
      </c>
      <c r="AP76" s="23">
        <v>17.59468410268602</v>
      </c>
      <c r="AQ76" s="23">
        <v>17.04723092238107</v>
      </c>
      <c r="AR76" s="23">
        <v>14.58865284368557</v>
      </c>
      <c r="AS76" s="23">
        <v>5.870626339316382</v>
      </c>
      <c r="AT76" s="23">
        <v>14.367591230459096</v>
      </c>
      <c r="AU76" s="23">
        <v>21.75142881485725</v>
      </c>
      <c r="AV76" s="24">
        <v>25.090914066632592</v>
      </c>
      <c r="AX76" s="16">
        <v>1999</v>
      </c>
      <c r="AY76" s="25">
        <f t="shared" si="7"/>
        <v>0</v>
      </c>
      <c r="AZ76" s="25">
        <f t="shared" si="7"/>
        <v>0</v>
      </c>
      <c r="BA76" s="25">
        <f t="shared" si="6"/>
        <v>0</v>
      </c>
      <c r="BB76" s="25">
        <f t="shared" si="6"/>
        <v>0</v>
      </c>
      <c r="BC76" s="25">
        <f t="shared" si="6"/>
        <v>0</v>
      </c>
      <c r="BD76" s="25">
        <f t="shared" si="6"/>
        <v>0</v>
      </c>
      <c r="BE76" s="25">
        <f t="shared" si="6"/>
        <v>4430916.261345287</v>
      </c>
      <c r="BF76" s="25">
        <f t="shared" si="8"/>
        <v>6959361.551752848</v>
      </c>
      <c r="BG76" s="25">
        <f t="shared" si="8"/>
        <v>12145578.68387061</v>
      </c>
      <c r="BH76" s="25">
        <f t="shared" si="8"/>
        <v>1344138.6066498787</v>
      </c>
      <c r="BI76" s="25">
        <f t="shared" si="8"/>
        <v>-192410.7817583082</v>
      </c>
      <c r="BJ76" s="25">
        <f t="shared" si="8"/>
        <v>516813.94864100823</v>
      </c>
      <c r="BK76" s="25">
        <f t="shared" si="9"/>
        <v>2438944.2101523136</v>
      </c>
      <c r="BL76" s="25">
        <f t="shared" si="9"/>
        <v>0</v>
      </c>
      <c r="BM76" s="26">
        <f t="shared" si="10"/>
        <v>27643342.48065364</v>
      </c>
    </row>
    <row r="77" spans="2:65" ht="15">
      <c r="B77" s="16">
        <v>2000</v>
      </c>
      <c r="C77" s="41">
        <v>5485</v>
      </c>
      <c r="D77" s="41">
        <v>9524</v>
      </c>
      <c r="E77" s="41">
        <v>10328</v>
      </c>
      <c r="F77" s="41">
        <v>9977</v>
      </c>
      <c r="G77" s="41">
        <v>9667</v>
      </c>
      <c r="H77" s="41">
        <v>8983</v>
      </c>
      <c r="I77" s="41">
        <v>10530</v>
      </c>
      <c r="J77" s="41">
        <v>12315</v>
      </c>
      <c r="K77" s="41">
        <v>11256</v>
      </c>
      <c r="L77" s="41">
        <v>8013</v>
      </c>
      <c r="M77" s="41">
        <v>8928</v>
      </c>
      <c r="N77" s="41">
        <v>7830</v>
      </c>
      <c r="O77" s="41">
        <v>5656</v>
      </c>
      <c r="P77" s="41">
        <v>5256</v>
      </c>
      <c r="Q77" s="42">
        <v>8794</v>
      </c>
      <c r="S77" s="16">
        <v>2000</v>
      </c>
      <c r="T77" s="7">
        <v>5485</v>
      </c>
      <c r="U77" s="7">
        <v>9524</v>
      </c>
      <c r="V77" s="7">
        <v>10328</v>
      </c>
      <c r="W77" s="7">
        <v>9977</v>
      </c>
      <c r="X77" s="7">
        <v>9667</v>
      </c>
      <c r="Y77" s="7">
        <v>8983</v>
      </c>
      <c r="Z77" s="7">
        <v>9955</v>
      </c>
      <c r="AA77" s="7">
        <v>11472</v>
      </c>
      <c r="AB77" s="7">
        <v>10116</v>
      </c>
      <c r="AC77" s="7">
        <v>7145</v>
      </c>
      <c r="AD77" s="7">
        <v>8948</v>
      </c>
      <c r="AE77" s="7">
        <v>7776</v>
      </c>
      <c r="AF77" s="7">
        <v>5489</v>
      </c>
      <c r="AG77" s="7">
        <v>5256</v>
      </c>
      <c r="AH77" s="8">
        <v>8560</v>
      </c>
      <c r="AJ77" s="16">
        <v>2000</v>
      </c>
      <c r="AK77" s="23">
        <v>23.831671037212487</v>
      </c>
      <c r="AL77" s="23">
        <v>21.64134541936783</v>
      </c>
      <c r="AM77" s="23">
        <v>25.77494481045712</v>
      </c>
      <c r="AN77" s="23">
        <v>25.79313054905141</v>
      </c>
      <c r="AO77" s="23">
        <v>25.515734093529886</v>
      </c>
      <c r="AP77" s="23">
        <v>22.33446633334436</v>
      </c>
      <c r="AQ77" s="23">
        <v>15.527239467038013</v>
      </c>
      <c r="AR77" s="23">
        <v>15.626458718956156</v>
      </c>
      <c r="AS77" s="23">
        <v>20.198872417873822</v>
      </c>
      <c r="AT77" s="23">
        <v>21.67552881933027</v>
      </c>
      <c r="AU77" s="23">
        <v>25.86790027156955</v>
      </c>
      <c r="AV77" s="24">
        <v>26.09111170450846</v>
      </c>
      <c r="AX77" s="16">
        <v>2000</v>
      </c>
      <c r="AY77" s="25">
        <f t="shared" si="7"/>
        <v>0</v>
      </c>
      <c r="AZ77" s="25">
        <f t="shared" si="7"/>
        <v>0</v>
      </c>
      <c r="BA77" s="25">
        <f t="shared" si="6"/>
        <v>0</v>
      </c>
      <c r="BB77" s="25">
        <f t="shared" si="6"/>
        <v>0</v>
      </c>
      <c r="BC77" s="25">
        <f t="shared" si="6"/>
        <v>0</v>
      </c>
      <c r="BD77" s="25">
        <f t="shared" si="6"/>
        <v>0</v>
      </c>
      <c r="BE77" s="25">
        <f t="shared" si="6"/>
        <v>3214138.5696768686</v>
      </c>
      <c r="BF77" s="25">
        <f t="shared" si="8"/>
        <v>4712206.633456697</v>
      </c>
      <c r="BG77" s="25">
        <f t="shared" si="8"/>
        <v>13253737.227069853</v>
      </c>
      <c r="BH77" s="25">
        <f t="shared" si="8"/>
        <v>12623487.306274423</v>
      </c>
      <c r="BI77" s="25">
        <f t="shared" si="8"/>
        <v>-322531.8688316344</v>
      </c>
      <c r="BJ77" s="25">
        <f t="shared" si="8"/>
        <v>502871.98127931205</v>
      </c>
      <c r="BK77" s="25">
        <f t="shared" si="9"/>
        <v>1658856.708615212</v>
      </c>
      <c r="BL77" s="25">
        <f t="shared" si="9"/>
        <v>0</v>
      </c>
      <c r="BM77" s="26">
        <f t="shared" si="10"/>
        <v>35642766.55754074</v>
      </c>
    </row>
    <row r="78" spans="2:65" ht="15">
      <c r="B78" s="16">
        <v>2001</v>
      </c>
      <c r="C78" s="41">
        <v>5238</v>
      </c>
      <c r="D78" s="41">
        <v>6796</v>
      </c>
      <c r="E78" s="41">
        <v>6909</v>
      </c>
      <c r="F78" s="41">
        <v>6864</v>
      </c>
      <c r="G78" s="41">
        <v>6630</v>
      </c>
      <c r="H78" s="41">
        <v>6260</v>
      </c>
      <c r="I78" s="41">
        <v>4758</v>
      </c>
      <c r="J78" s="41">
        <v>6373</v>
      </c>
      <c r="K78" s="41">
        <v>7480</v>
      </c>
      <c r="L78" s="41">
        <v>4160</v>
      </c>
      <c r="M78" s="41">
        <v>6258</v>
      </c>
      <c r="N78" s="41">
        <v>7045</v>
      </c>
      <c r="O78" s="41">
        <v>5608</v>
      </c>
      <c r="P78" s="41">
        <v>5063</v>
      </c>
      <c r="Q78" s="42">
        <v>6131</v>
      </c>
      <c r="S78" s="16">
        <v>2001</v>
      </c>
      <c r="T78" s="7">
        <v>5238</v>
      </c>
      <c r="U78" s="7">
        <v>6796</v>
      </c>
      <c r="V78" s="7">
        <v>6909</v>
      </c>
      <c r="W78" s="7">
        <v>6864</v>
      </c>
      <c r="X78" s="7">
        <v>6630</v>
      </c>
      <c r="Y78" s="7">
        <v>6260</v>
      </c>
      <c r="Z78" s="7">
        <v>4004</v>
      </c>
      <c r="AA78" s="7">
        <v>5304</v>
      </c>
      <c r="AB78" s="7">
        <v>6016</v>
      </c>
      <c r="AC78" s="7">
        <v>3769</v>
      </c>
      <c r="AD78" s="7">
        <v>6265</v>
      </c>
      <c r="AE78" s="7">
        <v>6973</v>
      </c>
      <c r="AF78" s="7">
        <v>5472</v>
      </c>
      <c r="AG78" s="7">
        <v>5063</v>
      </c>
      <c r="AH78" s="8">
        <v>5891</v>
      </c>
      <c r="AJ78" s="16">
        <v>2001</v>
      </c>
      <c r="AK78" s="23">
        <v>23.970826888853484</v>
      </c>
      <c r="AL78" s="23">
        <v>27.21071497021698</v>
      </c>
      <c r="AM78" s="23">
        <v>31.083937400387185</v>
      </c>
      <c r="AN78" s="23">
        <v>33.23862663956099</v>
      </c>
      <c r="AO78" s="23">
        <v>31.767704595838268</v>
      </c>
      <c r="AP78" s="23">
        <v>25.7490895551756</v>
      </c>
      <c r="AQ78" s="23">
        <v>23.48308587816029</v>
      </c>
      <c r="AR78" s="23">
        <v>21.199026435165013</v>
      </c>
      <c r="AS78" s="23">
        <v>28.91368540657893</v>
      </c>
      <c r="AT78" s="23">
        <v>27.02169929576178</v>
      </c>
      <c r="AU78" s="23">
        <v>27.738801311677527</v>
      </c>
      <c r="AV78" s="24">
        <v>27.27595105489092</v>
      </c>
      <c r="AX78" s="16">
        <v>2001</v>
      </c>
      <c r="AY78" s="25">
        <f t="shared" si="7"/>
        <v>0</v>
      </c>
      <c r="AZ78" s="25">
        <f t="shared" si="7"/>
        <v>0</v>
      </c>
      <c r="BA78" s="25">
        <f t="shared" si="6"/>
        <v>0</v>
      </c>
      <c r="BB78" s="25">
        <f t="shared" si="6"/>
        <v>0</v>
      </c>
      <c r="BC78" s="25">
        <f t="shared" si="6"/>
        <v>0</v>
      </c>
      <c r="BD78" s="25">
        <f t="shared" si="6"/>
        <v>0</v>
      </c>
      <c r="BE78" s="25">
        <f t="shared" si="6"/>
        <v>6374248.830767829</v>
      </c>
      <c r="BF78" s="25">
        <f t="shared" si="8"/>
        <v>9037230.769351205</v>
      </c>
      <c r="BG78" s="25">
        <f>(K78*BG$5*24-AB78*BG$5*24)*AR78</f>
        <v>23090318.777604695</v>
      </c>
      <c r="BH78" s="25">
        <f t="shared" si="8"/>
        <v>8139780.715660101</v>
      </c>
      <c r="BI78" s="25">
        <f t="shared" si="8"/>
        <v>-140729.00993232735</v>
      </c>
      <c r="BJ78" s="25">
        <f t="shared" si="8"/>
        <v>718989.7299986815</v>
      </c>
      <c r="BK78" s="25">
        <f t="shared" si="9"/>
        <v>1448631.1597010472</v>
      </c>
      <c r="BL78" s="25">
        <f t="shared" si="9"/>
        <v>0</v>
      </c>
      <c r="BM78" s="26">
        <f t="shared" si="10"/>
        <v>48668470.97315124</v>
      </c>
    </row>
    <row r="79" spans="2:65" ht="15">
      <c r="B79" s="16">
        <v>2002</v>
      </c>
      <c r="C79" s="41">
        <v>4701</v>
      </c>
      <c r="D79" s="41">
        <v>6919</v>
      </c>
      <c r="E79" s="41">
        <v>7076</v>
      </c>
      <c r="F79" s="41">
        <v>6617</v>
      </c>
      <c r="G79" s="41">
        <v>6633</v>
      </c>
      <c r="H79" s="41">
        <v>7020</v>
      </c>
      <c r="I79" s="41">
        <v>7413</v>
      </c>
      <c r="J79" s="41">
        <v>10940</v>
      </c>
      <c r="K79" s="41">
        <v>9850</v>
      </c>
      <c r="L79" s="41">
        <v>12693</v>
      </c>
      <c r="M79" s="41">
        <v>10504</v>
      </c>
      <c r="N79" s="41">
        <v>7389</v>
      </c>
      <c r="O79" s="41">
        <v>6329</v>
      </c>
      <c r="P79" s="41">
        <v>5847</v>
      </c>
      <c r="Q79" s="42">
        <v>7824</v>
      </c>
      <c r="S79" s="16">
        <v>2002</v>
      </c>
      <c r="T79" s="7">
        <v>4701</v>
      </c>
      <c r="U79" s="7">
        <v>6919</v>
      </c>
      <c r="V79" s="7">
        <v>7076</v>
      </c>
      <c r="W79" s="7">
        <v>6617</v>
      </c>
      <c r="X79" s="7">
        <v>6633</v>
      </c>
      <c r="Y79" s="7">
        <v>7020</v>
      </c>
      <c r="Z79" s="7">
        <v>6592</v>
      </c>
      <c r="AA79" s="7">
        <v>9822</v>
      </c>
      <c r="AB79" s="7">
        <v>8510</v>
      </c>
      <c r="AC79" s="7">
        <v>12125</v>
      </c>
      <c r="AD79" s="7">
        <v>10533</v>
      </c>
      <c r="AE79" s="7">
        <v>7337</v>
      </c>
      <c r="AF79" s="7">
        <v>6077</v>
      </c>
      <c r="AG79" s="7">
        <v>5847</v>
      </c>
      <c r="AH79" s="8">
        <v>7573</v>
      </c>
      <c r="AJ79" s="16">
        <v>2002</v>
      </c>
      <c r="AK79" s="23">
        <v>25.147390961647076</v>
      </c>
      <c r="AL79" s="23">
        <v>25.63037945142893</v>
      </c>
      <c r="AM79" s="23">
        <v>30.195875064788325</v>
      </c>
      <c r="AN79" s="23">
        <v>30.399450571306286</v>
      </c>
      <c r="AO79" s="23">
        <v>30.208779307774112</v>
      </c>
      <c r="AP79" s="23">
        <v>25.08797976335315</v>
      </c>
      <c r="AQ79" s="23">
        <v>18.023617340193837</v>
      </c>
      <c r="AR79" s="23">
        <v>16.801162343255942</v>
      </c>
      <c r="AS79" s="23">
        <v>11.289597870243918</v>
      </c>
      <c r="AT79" s="23">
        <v>19.06913956314008</v>
      </c>
      <c r="AU79" s="23">
        <v>25.501728212448896</v>
      </c>
      <c r="AV79" s="24">
        <v>24.36431814352674</v>
      </c>
      <c r="AX79" s="16">
        <v>2002</v>
      </c>
      <c r="AY79" s="25">
        <f t="shared" si="7"/>
        <v>0</v>
      </c>
      <c r="AZ79" s="25">
        <f t="shared" si="7"/>
        <v>0</v>
      </c>
      <c r="BA79" s="25">
        <f t="shared" si="6"/>
        <v>0</v>
      </c>
      <c r="BB79" s="25">
        <f t="shared" si="6"/>
        <v>0</v>
      </c>
      <c r="BC79" s="25">
        <f t="shared" si="6"/>
        <v>0</v>
      </c>
      <c r="BD79" s="25">
        <f t="shared" si="6"/>
        <v>0</v>
      </c>
      <c r="BE79" s="25">
        <f t="shared" si="6"/>
        <v>5327060.34106769</v>
      </c>
      <c r="BF79" s="25">
        <f t="shared" si="8"/>
        <v>7254145.507081215</v>
      </c>
      <c r="BG79" s="25">
        <f t="shared" si="8"/>
        <v>16750086.809732445</v>
      </c>
      <c r="BH79" s="25">
        <f t="shared" si="8"/>
        <v>4616993.945014953</v>
      </c>
      <c r="BI79" s="25">
        <f t="shared" si="8"/>
        <v>-411435.75521431037</v>
      </c>
      <c r="BJ79" s="25">
        <f t="shared" si="8"/>
        <v>477392.3521370433</v>
      </c>
      <c r="BK79" s="25">
        <f t="shared" si="9"/>
        <v>2467751.235662255</v>
      </c>
      <c r="BL79" s="25">
        <f t="shared" si="9"/>
        <v>0</v>
      </c>
      <c r="BM79" s="26">
        <f t="shared" si="10"/>
        <v>36481994.43548129</v>
      </c>
    </row>
    <row r="80" spans="2:65" ht="15">
      <c r="B80" s="16">
        <v>2003</v>
      </c>
      <c r="C80" s="41">
        <v>5475</v>
      </c>
      <c r="D80" s="41">
        <v>7230</v>
      </c>
      <c r="E80" s="41">
        <v>7074</v>
      </c>
      <c r="F80" s="41">
        <v>6586</v>
      </c>
      <c r="G80" s="41">
        <v>6125</v>
      </c>
      <c r="H80" s="41">
        <v>8370</v>
      </c>
      <c r="I80" s="41">
        <v>7506</v>
      </c>
      <c r="J80" s="41">
        <v>8653</v>
      </c>
      <c r="K80" s="41">
        <v>9812</v>
      </c>
      <c r="L80" s="41">
        <v>11422</v>
      </c>
      <c r="M80" s="41">
        <v>6857</v>
      </c>
      <c r="N80" s="41">
        <v>6264</v>
      </c>
      <c r="O80" s="41">
        <v>5221</v>
      </c>
      <c r="P80" s="41">
        <v>5226</v>
      </c>
      <c r="Q80" s="42">
        <v>7335</v>
      </c>
      <c r="S80" s="16">
        <v>2003</v>
      </c>
      <c r="T80" s="7">
        <v>5475</v>
      </c>
      <c r="U80" s="7">
        <v>7230</v>
      </c>
      <c r="V80" s="7">
        <v>7074</v>
      </c>
      <c r="W80" s="7">
        <v>6586</v>
      </c>
      <c r="X80" s="7">
        <v>6125</v>
      </c>
      <c r="Y80" s="7">
        <v>8370</v>
      </c>
      <c r="Z80" s="7">
        <v>6689</v>
      </c>
      <c r="AA80" s="7">
        <v>7244</v>
      </c>
      <c r="AB80" s="7">
        <v>8444</v>
      </c>
      <c r="AC80" s="7">
        <v>10745</v>
      </c>
      <c r="AD80" s="7">
        <v>6884</v>
      </c>
      <c r="AE80" s="7">
        <v>6215</v>
      </c>
      <c r="AF80" s="7">
        <v>5075</v>
      </c>
      <c r="AG80" s="7">
        <v>5226</v>
      </c>
      <c r="AH80" s="8">
        <v>7065</v>
      </c>
      <c r="AJ80" s="16">
        <v>2003</v>
      </c>
      <c r="AK80" s="23">
        <v>24.542876032860047</v>
      </c>
      <c r="AL80" s="23">
        <v>25.525018531439507</v>
      </c>
      <c r="AM80" s="23">
        <v>29.717469177963867</v>
      </c>
      <c r="AN80" s="23">
        <v>28.170448671361434</v>
      </c>
      <c r="AO80" s="23">
        <v>30.00922645841327</v>
      </c>
      <c r="AP80" s="23">
        <v>20.69507101101957</v>
      </c>
      <c r="AQ80" s="23">
        <v>18.330753330124736</v>
      </c>
      <c r="AR80" s="23">
        <v>15.876343091457114</v>
      </c>
      <c r="AS80" s="23">
        <v>14.982480563057823</v>
      </c>
      <c r="AT80" s="23">
        <v>24.280400571515457</v>
      </c>
      <c r="AU80" s="23">
        <v>26.47172031479496</v>
      </c>
      <c r="AV80" s="24">
        <v>24.46908456484474</v>
      </c>
      <c r="AX80" s="16">
        <v>2003</v>
      </c>
      <c r="AY80" s="25">
        <f t="shared" si="7"/>
        <v>0</v>
      </c>
      <c r="AZ80" s="25">
        <f t="shared" si="7"/>
        <v>0</v>
      </c>
      <c r="BA80" s="25">
        <f t="shared" si="6"/>
        <v>0</v>
      </c>
      <c r="BB80" s="25">
        <f t="shared" si="6"/>
        <v>0</v>
      </c>
      <c r="BC80" s="25">
        <f t="shared" si="6"/>
        <v>0</v>
      </c>
      <c r="BD80" s="25">
        <f t="shared" si="6"/>
        <v>0</v>
      </c>
      <c r="BE80" s="25">
        <f t="shared" si="6"/>
        <v>5391441.169456287</v>
      </c>
      <c r="BF80" s="25">
        <f t="shared" si="8"/>
        <v>9298091.319172472</v>
      </c>
      <c r="BG80" s="25">
        <f t="shared" si="8"/>
        <v>16158814.98774032</v>
      </c>
      <c r="BH80" s="25">
        <f t="shared" si="8"/>
        <v>7303060.325656906</v>
      </c>
      <c r="BI80" s="25">
        <f t="shared" si="8"/>
        <v>-487744.6866806025</v>
      </c>
      <c r="BJ80" s="25">
        <f t="shared" si="8"/>
        <v>466961.14635298314</v>
      </c>
      <c r="BK80" s="25">
        <f t="shared" si="9"/>
        <v>1484110.5277286647</v>
      </c>
      <c r="BL80" s="25">
        <f t="shared" si="9"/>
        <v>0</v>
      </c>
      <c r="BM80" s="26">
        <f t="shared" si="10"/>
        <v>39614734.789427035</v>
      </c>
    </row>
    <row r="81" spans="2:65" ht="15">
      <c r="B81" s="16">
        <v>2004</v>
      </c>
      <c r="C81" s="41">
        <v>5294</v>
      </c>
      <c r="D81" s="41">
        <v>7522</v>
      </c>
      <c r="E81" s="41">
        <v>7651</v>
      </c>
      <c r="F81" s="41">
        <v>7764</v>
      </c>
      <c r="G81" s="41">
        <v>6426</v>
      </c>
      <c r="H81" s="41">
        <v>7603</v>
      </c>
      <c r="I81" s="41">
        <v>6638</v>
      </c>
      <c r="J81" s="41">
        <v>7971</v>
      </c>
      <c r="K81" s="41">
        <v>9429</v>
      </c>
      <c r="L81" s="41">
        <v>8345</v>
      </c>
      <c r="M81" s="41">
        <v>7316</v>
      </c>
      <c r="N81" s="41">
        <v>6760</v>
      </c>
      <c r="O81" s="41">
        <v>6213</v>
      </c>
      <c r="P81" s="41">
        <v>6808</v>
      </c>
      <c r="Q81" s="42">
        <v>7332</v>
      </c>
      <c r="S81" s="16">
        <v>2004</v>
      </c>
      <c r="T81" s="7">
        <v>5294</v>
      </c>
      <c r="U81" s="7">
        <v>7522</v>
      </c>
      <c r="V81" s="7">
        <v>7651</v>
      </c>
      <c r="W81" s="7">
        <v>7764</v>
      </c>
      <c r="X81" s="7">
        <v>6426</v>
      </c>
      <c r="Y81" s="7">
        <v>7603</v>
      </c>
      <c r="Z81" s="7">
        <v>5749</v>
      </c>
      <c r="AA81" s="7">
        <v>6539</v>
      </c>
      <c r="AB81" s="7">
        <v>8058</v>
      </c>
      <c r="AC81" s="7">
        <v>7486</v>
      </c>
      <c r="AD81" s="7">
        <v>7352</v>
      </c>
      <c r="AE81" s="7">
        <v>6716</v>
      </c>
      <c r="AF81" s="7">
        <v>5995</v>
      </c>
      <c r="AG81" s="7">
        <v>6808</v>
      </c>
      <c r="AH81" s="8">
        <v>7042</v>
      </c>
      <c r="AJ81" s="16">
        <v>2004</v>
      </c>
      <c r="AK81" s="23">
        <v>23.93030704067597</v>
      </c>
      <c r="AL81" s="23">
        <v>25.192544340161433</v>
      </c>
      <c r="AM81" s="23">
        <v>29.031015419703632</v>
      </c>
      <c r="AN81" s="23">
        <v>27.98368899796598</v>
      </c>
      <c r="AO81" s="23">
        <v>31.880709368842016</v>
      </c>
      <c r="AP81" s="23">
        <v>25.29984369627717</v>
      </c>
      <c r="AQ81" s="23">
        <v>21.925113093588088</v>
      </c>
      <c r="AR81" s="23">
        <v>18.804764785048803</v>
      </c>
      <c r="AS81" s="23">
        <v>21.531494164466867</v>
      </c>
      <c r="AT81" s="23">
        <v>24.93667053304693</v>
      </c>
      <c r="AU81" s="23">
        <v>27.235703260667837</v>
      </c>
      <c r="AV81" s="24">
        <v>23.666023136774726</v>
      </c>
      <c r="AX81" s="16">
        <v>2004</v>
      </c>
      <c r="AY81" s="25">
        <f t="shared" si="7"/>
        <v>0</v>
      </c>
      <c r="AZ81" s="25">
        <f t="shared" si="7"/>
        <v>0</v>
      </c>
      <c r="BA81" s="25">
        <f t="shared" si="6"/>
        <v>0</v>
      </c>
      <c r="BB81" s="25">
        <f t="shared" si="6"/>
        <v>0</v>
      </c>
      <c r="BC81" s="25">
        <f t="shared" si="6"/>
        <v>0</v>
      </c>
      <c r="BD81" s="25">
        <f t="shared" si="6"/>
        <v>0</v>
      </c>
      <c r="BE81" s="25">
        <f t="shared" si="6"/>
        <v>7016913.194471932</v>
      </c>
      <c r="BF81" s="25">
        <f t="shared" si="8"/>
        <v>11302834.302006532</v>
      </c>
      <c r="BG81" s="25">
        <f t="shared" si="8"/>
        <v>19181311.39510462</v>
      </c>
      <c r="BH81" s="25">
        <f t="shared" si="8"/>
        <v>13316798.510839468</v>
      </c>
      <c r="BI81" s="25">
        <f t="shared" si="8"/>
        <v>-667903.783557129</v>
      </c>
      <c r="BJ81" s="25">
        <f t="shared" si="8"/>
        <v>431413.5396489785</v>
      </c>
      <c r="BK81" s="25">
        <f t="shared" si="9"/>
        <v>2279955.191357026</v>
      </c>
      <c r="BL81" s="25">
        <f t="shared" si="9"/>
        <v>0</v>
      </c>
      <c r="BM81" s="26">
        <f t="shared" si="10"/>
        <v>52861322.34987143</v>
      </c>
    </row>
    <row r="82" spans="2:65" ht="15">
      <c r="B82" s="16">
        <v>2005</v>
      </c>
      <c r="C82" s="41">
        <v>5945</v>
      </c>
      <c r="D82" s="41">
        <v>6858</v>
      </c>
      <c r="E82" s="41">
        <v>8836</v>
      </c>
      <c r="F82" s="41">
        <v>9167</v>
      </c>
      <c r="G82" s="41">
        <v>8719</v>
      </c>
      <c r="H82" s="41">
        <v>6690</v>
      </c>
      <c r="I82" s="41">
        <v>4955</v>
      </c>
      <c r="J82" s="41">
        <v>7495</v>
      </c>
      <c r="K82" s="41">
        <v>10353</v>
      </c>
      <c r="L82" s="41">
        <v>8993</v>
      </c>
      <c r="M82" s="41">
        <v>7864</v>
      </c>
      <c r="N82" s="41">
        <v>7114</v>
      </c>
      <c r="O82" s="41">
        <v>5724</v>
      </c>
      <c r="P82" s="41">
        <v>5698</v>
      </c>
      <c r="Q82" s="42">
        <v>7644</v>
      </c>
      <c r="S82" s="16">
        <v>2005</v>
      </c>
      <c r="T82" s="7">
        <v>5945</v>
      </c>
      <c r="U82" s="7">
        <v>6858</v>
      </c>
      <c r="V82" s="7">
        <v>8836</v>
      </c>
      <c r="W82" s="7">
        <v>9167</v>
      </c>
      <c r="X82" s="7">
        <v>8719</v>
      </c>
      <c r="Y82" s="7">
        <v>6690</v>
      </c>
      <c r="Z82" s="7">
        <v>4164</v>
      </c>
      <c r="AA82" s="7">
        <v>6058</v>
      </c>
      <c r="AB82" s="7">
        <v>9038</v>
      </c>
      <c r="AC82" s="7">
        <v>8120</v>
      </c>
      <c r="AD82" s="7">
        <v>7882</v>
      </c>
      <c r="AE82" s="7">
        <v>7050</v>
      </c>
      <c r="AF82" s="7">
        <v>5532</v>
      </c>
      <c r="AG82" s="7">
        <v>5698</v>
      </c>
      <c r="AH82" s="8">
        <v>7360</v>
      </c>
      <c r="AJ82" s="16">
        <v>2005</v>
      </c>
      <c r="AK82" s="23">
        <v>23.84385261151099</v>
      </c>
      <c r="AL82" s="23">
        <v>26.30264405489956</v>
      </c>
      <c r="AM82" s="23">
        <v>27.355976374174944</v>
      </c>
      <c r="AN82" s="23">
        <v>27.020836589669685</v>
      </c>
      <c r="AO82" s="23">
        <v>27.198113788877258</v>
      </c>
      <c r="AP82" s="23">
        <v>26.648200471693244</v>
      </c>
      <c r="AQ82" s="23">
        <v>22.68410611152651</v>
      </c>
      <c r="AR82" s="23">
        <v>17.036588624728637</v>
      </c>
      <c r="AS82" s="23">
        <v>20.306244550810888</v>
      </c>
      <c r="AT82" s="23">
        <v>24.827372376124032</v>
      </c>
      <c r="AU82" s="23">
        <v>27.90106262160884</v>
      </c>
      <c r="AV82" s="24">
        <v>25.89676844120024</v>
      </c>
      <c r="AX82" s="16">
        <v>2005</v>
      </c>
      <c r="AY82" s="25">
        <f t="shared" si="7"/>
        <v>0</v>
      </c>
      <c r="AZ82" s="25">
        <f t="shared" si="7"/>
        <v>0</v>
      </c>
      <c r="BA82" s="25">
        <f t="shared" si="6"/>
        <v>0</v>
      </c>
      <c r="BB82" s="25">
        <f t="shared" si="6"/>
        <v>0</v>
      </c>
      <c r="BC82" s="25">
        <f t="shared" si="6"/>
        <v>0</v>
      </c>
      <c r="BD82" s="25">
        <f t="shared" si="6"/>
        <v>0</v>
      </c>
      <c r="BE82" s="25">
        <f t="shared" si="6"/>
        <v>6459526.05631829</v>
      </c>
      <c r="BF82" s="25">
        <f t="shared" si="8"/>
        <v>11734941.773614895</v>
      </c>
      <c r="BG82" s="25">
        <f t="shared" si="8"/>
        <v>16667916.846889509</v>
      </c>
      <c r="BH82" s="25">
        <f t="shared" si="8"/>
        <v>12763693.074857691</v>
      </c>
      <c r="BI82" s="25">
        <f t="shared" si="8"/>
        <v>-332488.17086105305</v>
      </c>
      <c r="BJ82" s="25">
        <f t="shared" si="8"/>
        <v>642840.4828018676</v>
      </c>
      <c r="BK82" s="25">
        <f t="shared" si="9"/>
        <v>2057089.5449659766</v>
      </c>
      <c r="BL82" s="25">
        <f t="shared" si="9"/>
        <v>0</v>
      </c>
      <c r="BM82" s="26">
        <f t="shared" si="10"/>
        <v>49993519.608587176</v>
      </c>
    </row>
    <row r="83" spans="2:65" ht="15">
      <c r="B83" s="16">
        <v>2006</v>
      </c>
      <c r="C83" s="41">
        <v>4859</v>
      </c>
      <c r="D83" s="41">
        <v>6972</v>
      </c>
      <c r="E83" s="41">
        <v>8381</v>
      </c>
      <c r="F83" s="41">
        <v>10445</v>
      </c>
      <c r="G83" s="41">
        <v>10639</v>
      </c>
      <c r="H83" s="41">
        <v>9405</v>
      </c>
      <c r="I83" s="41">
        <v>11393</v>
      </c>
      <c r="J83" s="41">
        <v>12318</v>
      </c>
      <c r="K83" s="41">
        <v>12574</v>
      </c>
      <c r="L83" s="41">
        <v>12354</v>
      </c>
      <c r="M83" s="41">
        <v>8569</v>
      </c>
      <c r="N83" s="41">
        <v>6468</v>
      </c>
      <c r="O83" s="41">
        <v>5811</v>
      </c>
      <c r="P83" s="41">
        <v>5247</v>
      </c>
      <c r="Q83" s="42">
        <v>8937</v>
      </c>
      <c r="S83" s="16">
        <v>2006</v>
      </c>
      <c r="T83" s="7">
        <v>4859</v>
      </c>
      <c r="U83" s="7">
        <v>6972</v>
      </c>
      <c r="V83" s="7">
        <v>8381</v>
      </c>
      <c r="W83" s="7">
        <v>10445</v>
      </c>
      <c r="X83" s="7">
        <v>10639</v>
      </c>
      <c r="Y83" s="7">
        <v>9405</v>
      </c>
      <c r="Z83" s="7">
        <v>10927</v>
      </c>
      <c r="AA83" s="7">
        <v>11465</v>
      </c>
      <c r="AB83" s="7">
        <v>12190</v>
      </c>
      <c r="AC83" s="7">
        <v>11771</v>
      </c>
      <c r="AD83" s="7">
        <v>8590</v>
      </c>
      <c r="AE83" s="7">
        <v>6412</v>
      </c>
      <c r="AF83" s="7">
        <v>5619</v>
      </c>
      <c r="AG83" s="7">
        <v>5247</v>
      </c>
      <c r="AH83" s="8">
        <v>8793</v>
      </c>
      <c r="AJ83" s="16">
        <v>2006</v>
      </c>
      <c r="AK83" s="23">
        <v>24.953370198895875</v>
      </c>
      <c r="AL83" s="23">
        <v>23.84455362642687</v>
      </c>
      <c r="AM83" s="23">
        <v>25.523033630719755</v>
      </c>
      <c r="AN83" s="23">
        <v>23.1554869626158</v>
      </c>
      <c r="AO83" s="23">
        <v>23.670400547981245</v>
      </c>
      <c r="AP83" s="23">
        <v>21.56076926511198</v>
      </c>
      <c r="AQ83" s="23">
        <v>13.163588798178564</v>
      </c>
      <c r="AR83" s="23">
        <v>9.390678403382314</v>
      </c>
      <c r="AS83" s="23">
        <v>10.961306656731471</v>
      </c>
      <c r="AT83" s="23">
        <v>22.575466096273015</v>
      </c>
      <c r="AU83" s="23">
        <v>27.28965077400205</v>
      </c>
      <c r="AV83" s="24">
        <v>26.437048962910968</v>
      </c>
      <c r="AX83" s="16">
        <v>2006</v>
      </c>
      <c r="AY83" s="25">
        <f t="shared" si="7"/>
        <v>0</v>
      </c>
      <c r="AZ83" s="25">
        <f t="shared" si="7"/>
        <v>0</v>
      </c>
      <c r="BA83" s="25">
        <f t="shared" si="6"/>
        <v>0</v>
      </c>
      <c r="BB83" s="25">
        <f t="shared" si="6"/>
        <v>0</v>
      </c>
      <c r="BC83" s="25">
        <f t="shared" si="6"/>
        <v>0</v>
      </c>
      <c r="BD83" s="25">
        <f t="shared" si="6"/>
        <v>0</v>
      </c>
      <c r="BE83" s="25">
        <f t="shared" si="6"/>
        <v>2208323.6567824357</v>
      </c>
      <c r="BF83" s="25">
        <f t="shared" si="8"/>
        <v>4042274.8481446733</v>
      </c>
      <c r="BG83" s="25">
        <f t="shared" si="8"/>
        <v>2682879.2571327137</v>
      </c>
      <c r="BH83" s="25">
        <f t="shared" si="8"/>
        <v>4601118.082229602</v>
      </c>
      <c r="BI83" s="25">
        <f t="shared" si="8"/>
        <v>-352719.0822881696</v>
      </c>
      <c r="BJ83" s="25">
        <f t="shared" si="8"/>
        <v>550159.3596038814</v>
      </c>
      <c r="BK83" s="25">
        <f t="shared" si="9"/>
        <v>2012011.3722656232</v>
      </c>
      <c r="BL83" s="25">
        <f t="shared" si="9"/>
        <v>0</v>
      </c>
      <c r="BM83" s="26">
        <f t="shared" si="10"/>
        <v>15744047.493870761</v>
      </c>
    </row>
    <row r="84" spans="2:65" ht="15">
      <c r="B84" s="16">
        <v>2007</v>
      </c>
      <c r="C84" s="41">
        <v>5416</v>
      </c>
      <c r="D84" s="41">
        <v>7177</v>
      </c>
      <c r="E84" s="41">
        <v>7698</v>
      </c>
      <c r="F84" s="41">
        <v>9915</v>
      </c>
      <c r="G84" s="41">
        <v>9136</v>
      </c>
      <c r="H84" s="41">
        <v>9778</v>
      </c>
      <c r="I84" s="41">
        <v>9691</v>
      </c>
      <c r="J84" s="41">
        <v>8603</v>
      </c>
      <c r="K84" s="41">
        <v>10135</v>
      </c>
      <c r="L84" s="41">
        <v>9763</v>
      </c>
      <c r="M84" s="41">
        <v>9025</v>
      </c>
      <c r="N84" s="41">
        <v>6746</v>
      </c>
      <c r="O84" s="41">
        <v>5566</v>
      </c>
      <c r="P84" s="41">
        <v>5135</v>
      </c>
      <c r="Q84" s="42">
        <v>8202</v>
      </c>
      <c r="S84" s="16">
        <v>2007</v>
      </c>
      <c r="T84" s="7">
        <v>5416</v>
      </c>
      <c r="U84" s="7">
        <v>7177</v>
      </c>
      <c r="V84" s="7">
        <v>7698</v>
      </c>
      <c r="W84" s="7">
        <v>9915</v>
      </c>
      <c r="X84" s="7">
        <v>9136</v>
      </c>
      <c r="Y84" s="7">
        <v>9778</v>
      </c>
      <c r="Z84" s="7">
        <v>9034</v>
      </c>
      <c r="AA84" s="7">
        <v>7159</v>
      </c>
      <c r="AB84" s="7">
        <v>8830</v>
      </c>
      <c r="AC84" s="7">
        <v>9002</v>
      </c>
      <c r="AD84" s="7">
        <v>9011</v>
      </c>
      <c r="AE84" s="7">
        <v>6674</v>
      </c>
      <c r="AF84" s="7">
        <v>5401</v>
      </c>
      <c r="AG84" s="7">
        <v>5135</v>
      </c>
      <c r="AH84" s="8">
        <v>7931</v>
      </c>
      <c r="AJ84" s="16">
        <v>2007</v>
      </c>
      <c r="AK84" s="23">
        <v>24.719140878031325</v>
      </c>
      <c r="AL84" s="23">
        <v>24.814148740067445</v>
      </c>
      <c r="AM84" s="23">
        <v>29.710137765125598</v>
      </c>
      <c r="AN84" s="23">
        <v>25.676979506143994</v>
      </c>
      <c r="AO84" s="23">
        <v>27.301456376484442</v>
      </c>
      <c r="AP84" s="23">
        <v>21.50167504746374</v>
      </c>
      <c r="AQ84" s="23">
        <v>19.09189205540551</v>
      </c>
      <c r="AR84" s="23">
        <v>17.89364216122579</v>
      </c>
      <c r="AS84" s="23">
        <v>20.005154355367</v>
      </c>
      <c r="AT84" s="23">
        <v>23.819755320138807</v>
      </c>
      <c r="AU84" s="23">
        <v>28.13608530875177</v>
      </c>
      <c r="AV84" s="24">
        <v>26.919843282699574</v>
      </c>
      <c r="AX84" s="16">
        <v>2007</v>
      </c>
      <c r="AY84" s="25">
        <f t="shared" si="7"/>
        <v>0</v>
      </c>
      <c r="AZ84" s="25">
        <f t="shared" si="7"/>
        <v>0</v>
      </c>
      <c r="BA84" s="25">
        <f t="shared" si="6"/>
        <v>0</v>
      </c>
      <c r="BB84" s="25">
        <f t="shared" si="6"/>
        <v>0</v>
      </c>
      <c r="BC84" s="25">
        <f t="shared" si="6"/>
        <v>0</v>
      </c>
      <c r="BD84" s="25">
        <f t="shared" si="6"/>
        <v>0</v>
      </c>
      <c r="BE84" s="25">
        <f t="shared" si="6"/>
        <v>4515614.308944511</v>
      </c>
      <c r="BF84" s="25">
        <f t="shared" si="8"/>
        <v>9924729.166082</v>
      </c>
      <c r="BG84" s="25">
        <f t="shared" si="8"/>
        <v>17373295.047177345</v>
      </c>
      <c r="BH84" s="25">
        <f t="shared" si="8"/>
        <v>10961224.174392687</v>
      </c>
      <c r="BI84" s="25">
        <f t="shared" si="8"/>
        <v>248106.5714145658</v>
      </c>
      <c r="BJ84" s="25">
        <f t="shared" si="8"/>
        <v>729287.3312028459</v>
      </c>
      <c r="BK84" s="25">
        <f t="shared" si="9"/>
        <v>1782702.3651625123</v>
      </c>
      <c r="BL84" s="25">
        <f t="shared" si="9"/>
        <v>0</v>
      </c>
      <c r="BM84" s="26">
        <f t="shared" si="10"/>
        <v>45534958.964376464</v>
      </c>
    </row>
    <row r="85" spans="2:65" ht="15.75" thickBot="1">
      <c r="B85" s="16">
        <v>2008</v>
      </c>
      <c r="C85" s="41">
        <v>5500</v>
      </c>
      <c r="D85" s="41">
        <v>7369</v>
      </c>
      <c r="E85" s="41">
        <v>6699</v>
      </c>
      <c r="F85" s="41">
        <v>7454</v>
      </c>
      <c r="G85" s="41">
        <v>7504</v>
      </c>
      <c r="H85" s="41">
        <v>7072</v>
      </c>
      <c r="I85" s="41">
        <v>6866</v>
      </c>
      <c r="J85" s="41">
        <v>5706</v>
      </c>
      <c r="K85" s="41">
        <v>11563</v>
      </c>
      <c r="L85" s="41">
        <v>13867</v>
      </c>
      <c r="M85" s="41">
        <v>9628</v>
      </c>
      <c r="N85" s="41">
        <v>7684</v>
      </c>
      <c r="O85" s="41">
        <v>7549</v>
      </c>
      <c r="P85" s="41">
        <v>5268</v>
      </c>
      <c r="Q85" s="42">
        <v>7986</v>
      </c>
      <c r="S85" s="16">
        <v>2008</v>
      </c>
      <c r="T85" s="7">
        <v>5500</v>
      </c>
      <c r="U85" s="7">
        <v>7369</v>
      </c>
      <c r="V85" s="7">
        <v>6699</v>
      </c>
      <c r="W85" s="7">
        <v>7454</v>
      </c>
      <c r="X85" s="7">
        <v>7504</v>
      </c>
      <c r="Y85" s="7">
        <v>7072</v>
      </c>
      <c r="Z85" s="7">
        <v>5971</v>
      </c>
      <c r="AA85" s="7">
        <v>4429</v>
      </c>
      <c r="AB85" s="7">
        <v>10504</v>
      </c>
      <c r="AC85" s="7">
        <v>13562</v>
      </c>
      <c r="AD85" s="7">
        <v>9736</v>
      </c>
      <c r="AE85" s="7">
        <v>7632</v>
      </c>
      <c r="AF85" s="7">
        <v>7268</v>
      </c>
      <c r="AG85" s="7">
        <v>5268</v>
      </c>
      <c r="AH85" s="8">
        <v>7777</v>
      </c>
      <c r="AJ85" s="19">
        <v>2008</v>
      </c>
      <c r="AK85" s="27">
        <v>26.567873237979047</v>
      </c>
      <c r="AL85" s="27">
        <v>27.380955952777917</v>
      </c>
      <c r="AM85" s="27">
        <v>32.41342170828131</v>
      </c>
      <c r="AN85" s="27">
        <v>29.905808577742622</v>
      </c>
      <c r="AO85" s="27">
        <v>29.168486608777748</v>
      </c>
      <c r="AP85" s="27">
        <v>25.163370256436774</v>
      </c>
      <c r="AQ85" s="27">
        <v>22.02240388817259</v>
      </c>
      <c r="AR85" s="27">
        <v>13.674267848076328</v>
      </c>
      <c r="AS85" s="27">
        <v>3.6894631702970337</v>
      </c>
      <c r="AT85" s="27">
        <v>23.084658666067238</v>
      </c>
      <c r="AU85" s="27">
        <v>26.416250431922187</v>
      </c>
      <c r="AV85" s="28">
        <v>26.815601121584567</v>
      </c>
      <c r="AX85" s="16">
        <v>2008</v>
      </c>
      <c r="AY85" s="25">
        <f t="shared" si="7"/>
        <v>0</v>
      </c>
      <c r="AZ85" s="25">
        <f t="shared" si="7"/>
        <v>0</v>
      </c>
      <c r="BA85" s="25">
        <f t="shared" si="6"/>
        <v>0</v>
      </c>
      <c r="BB85" s="25">
        <f t="shared" si="6"/>
        <v>0</v>
      </c>
      <c r="BC85" s="25">
        <f t="shared" si="6"/>
        <v>0</v>
      </c>
      <c r="BD85" s="25">
        <f t="shared" si="6"/>
        <v>0</v>
      </c>
      <c r="BE85" s="25">
        <f t="shared" si="6"/>
        <v>7095618.532769209</v>
      </c>
      <c r="BF85" s="25">
        <f t="shared" si="8"/>
        <v>10124139.515470704</v>
      </c>
      <c r="BG85" s="25">
        <f t="shared" si="8"/>
        <v>10773900.940427946</v>
      </c>
      <c r="BH85" s="25">
        <f t="shared" si="8"/>
        <v>810206.1121972286</v>
      </c>
      <c r="BI85" s="25">
        <f t="shared" si="8"/>
        <v>-1854898.4931358348</v>
      </c>
      <c r="BJ85" s="25">
        <f t="shared" si="8"/>
        <v>494512.20808558335</v>
      </c>
      <c r="BK85" s="25">
        <f t="shared" si="9"/>
        <v>2850419.0866061314</v>
      </c>
      <c r="BL85" s="25">
        <f t="shared" si="9"/>
        <v>0</v>
      </c>
      <c r="BM85" s="26">
        <f t="shared" si="10"/>
        <v>30293897.902420964</v>
      </c>
    </row>
    <row r="86" spans="2:65" ht="15.75" thickBot="1">
      <c r="B86" s="16"/>
      <c r="C86" s="7"/>
      <c r="D86" s="7"/>
      <c r="E86" s="7"/>
      <c r="F86" s="7"/>
      <c r="G86" s="7"/>
      <c r="H86" s="7"/>
      <c r="I86" s="7"/>
      <c r="J86" s="7"/>
      <c r="K86" s="7"/>
      <c r="L86" s="7"/>
      <c r="M86" s="7"/>
      <c r="N86" s="7"/>
      <c r="O86" s="7"/>
      <c r="P86" s="7"/>
      <c r="Q86" s="8"/>
      <c r="S86" s="16"/>
      <c r="T86" s="7"/>
      <c r="U86" s="7"/>
      <c r="V86" s="7"/>
      <c r="W86" s="7"/>
      <c r="X86" s="7"/>
      <c r="Y86" s="7"/>
      <c r="Z86" s="7"/>
      <c r="AA86" s="7"/>
      <c r="AB86" s="7"/>
      <c r="AC86" s="7"/>
      <c r="AD86" s="7"/>
      <c r="AE86" s="7"/>
      <c r="AF86" s="7"/>
      <c r="AG86" s="7"/>
      <c r="AH86" s="8"/>
      <c r="AX86" s="16"/>
      <c r="AY86" s="7"/>
      <c r="AZ86" s="7"/>
      <c r="BA86" s="7"/>
      <c r="BB86" s="7"/>
      <c r="BC86" s="7"/>
      <c r="BD86" s="7"/>
      <c r="BE86" s="7"/>
      <c r="BF86" s="7"/>
      <c r="BG86" s="7"/>
      <c r="BH86" s="7"/>
      <c r="BI86" s="7"/>
      <c r="BJ86" s="7"/>
      <c r="BK86" s="7"/>
      <c r="BL86" s="7"/>
      <c r="BM86" s="8"/>
    </row>
    <row r="87" spans="2:68" ht="15.75" thickBot="1">
      <c r="B87" s="19" t="s">
        <v>32</v>
      </c>
      <c r="C87" s="59">
        <f>AVERAGE(C6:C85)</f>
        <v>5608.5</v>
      </c>
      <c r="D87" s="59">
        <f aca="true" t="shared" si="11" ref="D87:Q87">AVERAGE(D6:D85)</f>
        <v>7284.2875</v>
      </c>
      <c r="E87" s="59">
        <f t="shared" si="11"/>
        <v>8430.825</v>
      </c>
      <c r="F87" s="59">
        <f t="shared" si="11"/>
        <v>9550.975</v>
      </c>
      <c r="G87" s="59">
        <f t="shared" si="11"/>
        <v>9246.2375</v>
      </c>
      <c r="H87" s="59">
        <f t="shared" si="11"/>
        <v>9039.5375</v>
      </c>
      <c r="I87" s="59">
        <f t="shared" si="11"/>
        <v>8245.925</v>
      </c>
      <c r="J87" s="59">
        <f t="shared" si="11"/>
        <v>9441.1625</v>
      </c>
      <c r="K87" s="59">
        <f t="shared" si="11"/>
        <v>10758.8125</v>
      </c>
      <c r="L87" s="59">
        <f t="shared" si="11"/>
        <v>10665.425</v>
      </c>
      <c r="M87" s="59">
        <f t="shared" si="11"/>
        <v>9110.8625</v>
      </c>
      <c r="N87" s="59">
        <f t="shared" si="11"/>
        <v>7846.275</v>
      </c>
      <c r="O87" s="59">
        <f t="shared" si="11"/>
        <v>6849.9875</v>
      </c>
      <c r="P87" s="59">
        <f t="shared" si="11"/>
        <v>6016.4625</v>
      </c>
      <c r="Q87" s="60">
        <f t="shared" si="11"/>
        <v>8487.75</v>
      </c>
      <c r="S87" s="19" t="s">
        <v>32</v>
      </c>
      <c r="T87" s="59">
        <f>AVERAGE(T6:T85)</f>
        <v>5608.5</v>
      </c>
      <c r="U87" s="59">
        <f aca="true" t="shared" si="12" ref="U87:AG87">AVERAGE(U6:U85)</f>
        <v>7284.2875</v>
      </c>
      <c r="V87" s="59">
        <f t="shared" si="12"/>
        <v>8430.825</v>
      </c>
      <c r="W87" s="59">
        <f t="shared" si="12"/>
        <v>9550.975</v>
      </c>
      <c r="X87" s="59">
        <f t="shared" si="12"/>
        <v>9246.2375</v>
      </c>
      <c r="Y87" s="59">
        <f t="shared" si="12"/>
        <v>9039.5375</v>
      </c>
      <c r="Z87" s="59">
        <f t="shared" si="12"/>
        <v>7543.1</v>
      </c>
      <c r="AA87" s="59">
        <f t="shared" si="12"/>
        <v>8308.8125</v>
      </c>
      <c r="AB87" s="59">
        <f t="shared" si="12"/>
        <v>9697.5375</v>
      </c>
      <c r="AC87" s="59">
        <f t="shared" si="12"/>
        <v>10075.0875</v>
      </c>
      <c r="AD87" s="59">
        <f t="shared" si="12"/>
        <v>9151.925</v>
      </c>
      <c r="AE87" s="59">
        <f t="shared" si="12"/>
        <v>7785.6375</v>
      </c>
      <c r="AF87" s="59">
        <f t="shared" si="12"/>
        <v>6621.1</v>
      </c>
      <c r="AG87" s="59">
        <f t="shared" si="12"/>
        <v>6016.4625</v>
      </c>
      <c r="AH87" s="60">
        <f>AVERAGE(AH6:AH85)</f>
        <v>8264.75</v>
      </c>
      <c r="AX87" s="19" t="s">
        <v>32</v>
      </c>
      <c r="AY87" s="29">
        <f>SUM(AY6:AY85)/80</f>
        <v>0</v>
      </c>
      <c r="AZ87" s="29">
        <f aca="true" t="shared" si="13" ref="AZ87:BL87">SUM(AZ6:AZ85)/80</f>
        <v>0</v>
      </c>
      <c r="BA87" s="29">
        <f t="shared" si="13"/>
        <v>0</v>
      </c>
      <c r="BB87" s="29">
        <f t="shared" si="13"/>
        <v>0</v>
      </c>
      <c r="BC87" s="29">
        <f t="shared" si="13"/>
        <v>0</v>
      </c>
      <c r="BD87" s="29">
        <f>SUM(BD6:BD85)/80</f>
        <v>0</v>
      </c>
      <c r="BE87" s="29">
        <f>SUM(BE6:BE85)/80</f>
        <v>4943020.663381862</v>
      </c>
      <c r="BF87" s="29">
        <f t="shared" si="13"/>
        <v>7874197.993119401</v>
      </c>
      <c r="BG87" s="29">
        <f t="shared" si="13"/>
        <v>12678278.82086453</v>
      </c>
      <c r="BH87" s="29">
        <f t="shared" si="13"/>
        <v>7265954.4987958055</v>
      </c>
      <c r="BI87" s="29">
        <f t="shared" si="13"/>
        <v>-676452.5918095501</v>
      </c>
      <c r="BJ87" s="29">
        <f t="shared" si="13"/>
        <v>566132.7886383709</v>
      </c>
      <c r="BK87" s="29">
        <f t="shared" si="13"/>
        <v>2243424.2773614423</v>
      </c>
      <c r="BL87" s="29">
        <f t="shared" si="13"/>
        <v>0</v>
      </c>
      <c r="BM87" s="79">
        <f>SUM(AY6:BL85)/80</f>
        <v>34894556.45035186</v>
      </c>
      <c r="BN87"/>
      <c r="BO87"/>
      <c r="BP87"/>
    </row>
    <row r="88" ht="15">
      <c r="BM88" s="30"/>
    </row>
    <row r="89" spans="62:66" ht="15">
      <c r="BJ89"/>
      <c r="BK89"/>
      <c r="BL89"/>
      <c r="BM89"/>
      <c r="BN89"/>
    </row>
    <row r="90" spans="62:66" ht="15">
      <c r="BJ90"/>
      <c r="BK90"/>
      <c r="BL90"/>
      <c r="BM90"/>
      <c r="BN90"/>
    </row>
    <row r="91" spans="62:66" ht="15">
      <c r="BJ91"/>
      <c r="BK91"/>
      <c r="BL91"/>
      <c r="BM91"/>
      <c r="BN91"/>
    </row>
    <row r="92" spans="62:66" ht="15">
      <c r="BJ92"/>
      <c r="BK92"/>
      <c r="BL92"/>
      <c r="BM92"/>
      <c r="BN92"/>
    </row>
    <row r="93" spans="62:66" ht="15">
      <c r="BJ93"/>
      <c r="BK93"/>
      <c r="BL93"/>
      <c r="BM93"/>
      <c r="BN93"/>
    </row>
    <row r="99" ht="15">
      <c r="L99"/>
    </row>
  </sheetData>
  <mergeCells count="4">
    <mergeCell ref="B2:Q2"/>
    <mergeCell ref="S2:AH2"/>
    <mergeCell ref="AJ2:AV2"/>
    <mergeCell ref="AX2:BM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5"/>
  <sheetViews>
    <sheetView zoomScale="90" zoomScaleNormal="90" workbookViewId="0" topLeftCell="BD70">
      <selection activeCell="BW103" sqref="BW103"/>
    </sheetView>
  </sheetViews>
  <sheetFormatPr defaultColWidth="8.8515625" defaultRowHeight="15"/>
  <cols>
    <col min="1" max="18" width="8.8515625" style="5" customWidth="1"/>
    <col min="19" max="19" width="10.00390625" style="5" customWidth="1"/>
    <col min="20" max="61" width="8.8515625" style="5" customWidth="1"/>
    <col min="62" max="73" width="11.57421875" style="5" customWidth="1"/>
    <col min="74" max="75" width="16.140625" style="5" bestFit="1" customWidth="1"/>
    <col min="76" max="16384" width="8.8515625" style="5" customWidth="1"/>
  </cols>
  <sheetData>
    <row r="1" spans="1:83" ht="15.75" thickBo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row>
    <row r="2" spans="2:74" ht="15" customHeight="1">
      <c r="B2" s="121" t="s">
        <v>39</v>
      </c>
      <c r="C2" s="122"/>
      <c r="D2" s="122"/>
      <c r="E2" s="122"/>
      <c r="F2" s="122"/>
      <c r="G2" s="122"/>
      <c r="H2" s="122"/>
      <c r="I2" s="122"/>
      <c r="J2" s="122"/>
      <c r="K2" s="122"/>
      <c r="L2" s="122"/>
      <c r="M2" s="122"/>
      <c r="N2" s="122"/>
      <c r="O2" s="123"/>
      <c r="Q2" s="121" t="s">
        <v>225</v>
      </c>
      <c r="R2" s="122"/>
      <c r="S2" s="122"/>
      <c r="T2" s="122"/>
      <c r="U2" s="122"/>
      <c r="V2" s="122"/>
      <c r="W2" s="122"/>
      <c r="X2" s="122"/>
      <c r="Y2" s="122"/>
      <c r="Z2" s="122"/>
      <c r="AA2" s="122"/>
      <c r="AB2" s="122"/>
      <c r="AC2" s="122"/>
      <c r="AD2" s="123"/>
      <c r="AF2" s="121" t="s">
        <v>226</v>
      </c>
      <c r="AG2" s="122"/>
      <c r="AH2" s="122"/>
      <c r="AI2" s="122"/>
      <c r="AJ2" s="122"/>
      <c r="AK2" s="122"/>
      <c r="AL2" s="122"/>
      <c r="AM2" s="122"/>
      <c r="AN2" s="122"/>
      <c r="AO2" s="122"/>
      <c r="AP2" s="122"/>
      <c r="AQ2" s="122"/>
      <c r="AR2" s="122"/>
      <c r="AS2" s="31"/>
      <c r="AT2" s="37"/>
      <c r="AU2" s="121" t="s">
        <v>41</v>
      </c>
      <c r="AV2" s="122"/>
      <c r="AW2" s="122"/>
      <c r="AX2" s="122"/>
      <c r="AY2" s="122"/>
      <c r="AZ2" s="122"/>
      <c r="BA2" s="122"/>
      <c r="BB2" s="122"/>
      <c r="BC2" s="122"/>
      <c r="BD2" s="122"/>
      <c r="BE2" s="122"/>
      <c r="BF2" s="122"/>
      <c r="BG2" s="123"/>
      <c r="BI2" s="121" t="s">
        <v>42</v>
      </c>
      <c r="BJ2" s="122"/>
      <c r="BK2" s="122"/>
      <c r="BL2" s="122"/>
      <c r="BM2" s="122"/>
      <c r="BN2" s="122"/>
      <c r="BO2" s="122"/>
      <c r="BP2" s="122"/>
      <c r="BQ2" s="122"/>
      <c r="BR2" s="122"/>
      <c r="BS2" s="122"/>
      <c r="BT2" s="122"/>
      <c r="BU2" s="122"/>
      <c r="BV2" s="123"/>
    </row>
    <row r="3" spans="2:74" ht="15">
      <c r="B3" s="6"/>
      <c r="C3" s="7"/>
      <c r="D3" s="7"/>
      <c r="E3" s="7"/>
      <c r="F3" s="7"/>
      <c r="G3" s="7"/>
      <c r="H3" s="7"/>
      <c r="I3" s="7"/>
      <c r="J3" s="7"/>
      <c r="K3" s="7"/>
      <c r="L3" s="7"/>
      <c r="M3" s="7"/>
      <c r="N3" s="7"/>
      <c r="O3" s="8"/>
      <c r="Q3" s="56" t="s">
        <v>191</v>
      </c>
      <c r="R3" s="7"/>
      <c r="S3" s="100">
        <f>SUM('FY19 LDD offset for SecR'!H3:H136)</f>
        <v>0.22735799999999998</v>
      </c>
      <c r="T3" s="7"/>
      <c r="U3" s="7"/>
      <c r="V3" s="7"/>
      <c r="W3" s="7"/>
      <c r="X3" s="7"/>
      <c r="Y3" s="7"/>
      <c r="Z3" s="7"/>
      <c r="AA3" s="7"/>
      <c r="AB3" s="7"/>
      <c r="AC3" s="7"/>
      <c r="AD3" s="8"/>
      <c r="AF3" s="6"/>
      <c r="AG3" s="7"/>
      <c r="AH3" s="7"/>
      <c r="AI3" s="7"/>
      <c r="AJ3" s="7"/>
      <c r="AK3" s="7"/>
      <c r="AL3" s="7"/>
      <c r="AM3" s="7"/>
      <c r="AN3" s="7"/>
      <c r="AO3" s="7"/>
      <c r="AP3" s="7"/>
      <c r="AQ3" s="7"/>
      <c r="AR3" s="7"/>
      <c r="AS3" s="8"/>
      <c r="AT3" s="7"/>
      <c r="AU3" s="6"/>
      <c r="AV3" s="7"/>
      <c r="AW3" s="7"/>
      <c r="AX3" s="7"/>
      <c r="AY3" s="7"/>
      <c r="AZ3" s="7"/>
      <c r="BA3" s="7"/>
      <c r="BB3" s="7"/>
      <c r="BC3" s="7"/>
      <c r="BD3" s="7"/>
      <c r="BE3" s="7"/>
      <c r="BF3" s="7"/>
      <c r="BG3" s="8"/>
      <c r="BI3" s="6"/>
      <c r="BJ3" s="7"/>
      <c r="BK3" s="7"/>
      <c r="BL3" s="7"/>
      <c r="BM3" s="7"/>
      <c r="BN3" s="7"/>
      <c r="BO3" s="7"/>
      <c r="BP3" s="7"/>
      <c r="BQ3" s="7"/>
      <c r="BR3" s="7"/>
      <c r="BS3" s="7"/>
      <c r="BT3" s="7"/>
      <c r="BU3" s="7"/>
      <c r="BV3" s="8"/>
    </row>
    <row r="4" spans="2:74" s="12" customFormat="1" ht="30" customHeight="1">
      <c r="B4" s="9" t="s">
        <v>16</v>
      </c>
      <c r="C4" s="10" t="s">
        <v>17</v>
      </c>
      <c r="D4" s="10" t="s">
        <v>18</v>
      </c>
      <c r="E4" s="10" t="s">
        <v>19</v>
      </c>
      <c r="F4" s="10" t="s">
        <v>20</v>
      </c>
      <c r="G4" s="10" t="s">
        <v>21</v>
      </c>
      <c r="H4" s="10" t="s">
        <v>22</v>
      </c>
      <c r="I4" s="32" t="s">
        <v>35</v>
      </c>
      <c r="J4" s="10" t="s">
        <v>25</v>
      </c>
      <c r="K4" s="10" t="s">
        <v>26</v>
      </c>
      <c r="L4" s="10" t="s">
        <v>27</v>
      </c>
      <c r="M4" s="32" t="s">
        <v>36</v>
      </c>
      <c r="N4" s="10" t="s">
        <v>30</v>
      </c>
      <c r="O4" s="11" t="s">
        <v>31</v>
      </c>
      <c r="Q4" s="9" t="s">
        <v>16</v>
      </c>
      <c r="R4" s="10" t="s">
        <v>17</v>
      </c>
      <c r="S4" s="10" t="s">
        <v>18</v>
      </c>
      <c r="T4" s="10" t="s">
        <v>19</v>
      </c>
      <c r="U4" s="10" t="s">
        <v>20</v>
      </c>
      <c r="V4" s="10" t="s">
        <v>21</v>
      </c>
      <c r="W4" s="10" t="s">
        <v>22</v>
      </c>
      <c r="X4" s="32" t="s">
        <v>35</v>
      </c>
      <c r="Y4" s="10" t="s">
        <v>25</v>
      </c>
      <c r="Z4" s="10" t="s">
        <v>26</v>
      </c>
      <c r="AA4" s="10" t="s">
        <v>27</v>
      </c>
      <c r="AB4" s="32" t="s">
        <v>36</v>
      </c>
      <c r="AC4" s="10" t="s">
        <v>30</v>
      </c>
      <c r="AD4" s="11" t="s">
        <v>31</v>
      </c>
      <c r="AF4" s="9" t="s">
        <v>16</v>
      </c>
      <c r="AG4" s="10" t="s">
        <v>17</v>
      </c>
      <c r="AH4" s="10" t="s">
        <v>18</v>
      </c>
      <c r="AI4" s="10" t="s">
        <v>19</v>
      </c>
      <c r="AJ4" s="10" t="s">
        <v>20</v>
      </c>
      <c r="AK4" s="10" t="s">
        <v>21</v>
      </c>
      <c r="AL4" s="10" t="s">
        <v>22</v>
      </c>
      <c r="AM4" s="10" t="s">
        <v>35</v>
      </c>
      <c r="AN4" s="10" t="s">
        <v>25</v>
      </c>
      <c r="AO4" s="10" t="s">
        <v>26</v>
      </c>
      <c r="AP4" s="10" t="s">
        <v>27</v>
      </c>
      <c r="AQ4" s="10" t="s">
        <v>36</v>
      </c>
      <c r="AR4" s="10" t="s">
        <v>30</v>
      </c>
      <c r="AS4" s="11" t="s">
        <v>31</v>
      </c>
      <c r="AT4" s="10"/>
      <c r="AU4" s="9" t="s">
        <v>16</v>
      </c>
      <c r="AV4" s="10" t="s">
        <v>17</v>
      </c>
      <c r="AW4" s="10" t="s">
        <v>18</v>
      </c>
      <c r="AX4" s="10" t="s">
        <v>19</v>
      </c>
      <c r="AY4" s="10" t="s">
        <v>20</v>
      </c>
      <c r="AZ4" s="10" t="s">
        <v>21</v>
      </c>
      <c r="BA4" s="10" t="s">
        <v>22</v>
      </c>
      <c r="BB4" s="10" t="s">
        <v>35</v>
      </c>
      <c r="BC4" s="10" t="s">
        <v>25</v>
      </c>
      <c r="BD4" s="10" t="s">
        <v>26</v>
      </c>
      <c r="BE4" s="10" t="s">
        <v>27</v>
      </c>
      <c r="BF4" s="10" t="s">
        <v>36</v>
      </c>
      <c r="BG4" s="11" t="s">
        <v>30</v>
      </c>
      <c r="BI4" s="22"/>
      <c r="BJ4" s="10" t="s">
        <v>17</v>
      </c>
      <c r="BK4" s="10" t="s">
        <v>18</v>
      </c>
      <c r="BL4" s="10" t="s">
        <v>19</v>
      </c>
      <c r="BM4" s="10" t="s">
        <v>20</v>
      </c>
      <c r="BN4" s="10" t="s">
        <v>21</v>
      </c>
      <c r="BO4" s="10" t="s">
        <v>22</v>
      </c>
      <c r="BP4" s="32" t="s">
        <v>35</v>
      </c>
      <c r="BQ4" s="10" t="s">
        <v>25</v>
      </c>
      <c r="BR4" s="10" t="s">
        <v>26</v>
      </c>
      <c r="BS4" s="10" t="s">
        <v>27</v>
      </c>
      <c r="BT4" s="32" t="s">
        <v>36</v>
      </c>
      <c r="BU4" s="10" t="s">
        <v>30</v>
      </c>
      <c r="BV4" s="11" t="s">
        <v>37</v>
      </c>
    </row>
    <row r="5" spans="2:74" ht="15">
      <c r="B5" s="39" t="s">
        <v>40</v>
      </c>
      <c r="C5" s="40">
        <v>744</v>
      </c>
      <c r="D5" s="40">
        <v>721</v>
      </c>
      <c r="E5" s="40">
        <v>744</v>
      </c>
      <c r="F5" s="40">
        <v>744</v>
      </c>
      <c r="G5" s="40">
        <v>672</v>
      </c>
      <c r="H5" s="40">
        <v>743</v>
      </c>
      <c r="I5" s="40">
        <v>720</v>
      </c>
      <c r="J5" s="40">
        <v>744</v>
      </c>
      <c r="K5" s="40">
        <v>720</v>
      </c>
      <c r="L5" s="40">
        <v>744</v>
      </c>
      <c r="M5" s="40">
        <v>744</v>
      </c>
      <c r="N5" s="40">
        <v>720</v>
      </c>
      <c r="O5" s="15"/>
      <c r="Q5" s="39" t="s">
        <v>40</v>
      </c>
      <c r="R5" s="40">
        <v>744</v>
      </c>
      <c r="S5" s="40">
        <v>721</v>
      </c>
      <c r="T5" s="40">
        <v>744</v>
      </c>
      <c r="U5" s="40">
        <v>744</v>
      </c>
      <c r="V5" s="40">
        <v>672</v>
      </c>
      <c r="W5" s="40">
        <v>743</v>
      </c>
      <c r="X5" s="40">
        <v>720</v>
      </c>
      <c r="Y5" s="40">
        <v>744</v>
      </c>
      <c r="Z5" s="40">
        <v>720</v>
      </c>
      <c r="AA5" s="40">
        <v>744</v>
      </c>
      <c r="AB5" s="40">
        <v>744</v>
      </c>
      <c r="AC5" s="40">
        <v>720</v>
      </c>
      <c r="AD5" s="15"/>
      <c r="AF5" s="39" t="s">
        <v>40</v>
      </c>
      <c r="AG5" s="40">
        <v>744</v>
      </c>
      <c r="AH5" s="40">
        <v>721</v>
      </c>
      <c r="AI5" s="40">
        <v>744</v>
      </c>
      <c r="AJ5" s="40">
        <v>744</v>
      </c>
      <c r="AK5" s="40">
        <v>672</v>
      </c>
      <c r="AL5" s="40">
        <v>743</v>
      </c>
      <c r="AM5" s="40">
        <v>720</v>
      </c>
      <c r="AN5" s="40">
        <v>744</v>
      </c>
      <c r="AO5" s="40">
        <v>720</v>
      </c>
      <c r="AP5" s="40">
        <v>744</v>
      </c>
      <c r="AQ5" s="40">
        <v>744</v>
      </c>
      <c r="AR5" s="40">
        <v>720</v>
      </c>
      <c r="AS5" s="15"/>
      <c r="AT5" s="14"/>
      <c r="AU5" s="6"/>
      <c r="AV5" s="7"/>
      <c r="AW5" s="7"/>
      <c r="AX5" s="7"/>
      <c r="AY5" s="7"/>
      <c r="AZ5" s="7"/>
      <c r="BA5" s="7"/>
      <c r="BB5" s="7"/>
      <c r="BC5" s="7"/>
      <c r="BD5" s="7"/>
      <c r="BE5" s="7"/>
      <c r="BF5" s="7"/>
      <c r="BG5" s="8"/>
      <c r="BI5" s="39" t="s">
        <v>40</v>
      </c>
      <c r="BJ5" s="40">
        <v>744</v>
      </c>
      <c r="BK5" s="40">
        <v>721</v>
      </c>
      <c r="BL5" s="40">
        <v>744</v>
      </c>
      <c r="BM5" s="40">
        <v>744</v>
      </c>
      <c r="BN5" s="40">
        <v>672</v>
      </c>
      <c r="BO5" s="40">
        <v>743</v>
      </c>
      <c r="BP5" s="40">
        <v>720</v>
      </c>
      <c r="BQ5" s="40">
        <v>744</v>
      </c>
      <c r="BR5" s="40">
        <v>720</v>
      </c>
      <c r="BS5" s="40">
        <v>744</v>
      </c>
      <c r="BT5" s="40">
        <v>744</v>
      </c>
      <c r="BU5" s="40">
        <v>720</v>
      </c>
      <c r="BV5" s="18">
        <f>SUM(BJ5:BU5)</f>
        <v>8760</v>
      </c>
    </row>
    <row r="6" spans="2:74" ht="15">
      <c r="B6" s="16">
        <v>1929</v>
      </c>
      <c r="C6" s="33">
        <v>193.86859277930552</v>
      </c>
      <c r="D6" s="33">
        <v>301.80598520738647</v>
      </c>
      <c r="E6" s="33">
        <v>-435.7930352211946</v>
      </c>
      <c r="F6" s="33">
        <v>-653.4974708501928</v>
      </c>
      <c r="G6" s="33">
        <v>-701.297651911579</v>
      </c>
      <c r="H6" s="33">
        <v>-6.785862730577452</v>
      </c>
      <c r="I6" s="33">
        <v>406.935209529729</v>
      </c>
      <c r="J6" s="33">
        <v>1649.2608407464036</v>
      </c>
      <c r="K6" s="33">
        <v>1420.7456410569266</v>
      </c>
      <c r="L6" s="33">
        <v>-456.8322677388725</v>
      </c>
      <c r="M6" s="33">
        <v>492.0716403949165</v>
      </c>
      <c r="N6" s="33">
        <v>406.7595711893591</v>
      </c>
      <c r="O6" s="34">
        <f>SUMPRODUCT($C$5:$N$5,C6:N6)/SUM($R$5:$AC$5)</f>
        <v>221.1369356394941</v>
      </c>
      <c r="Q6" s="16">
        <v>1929</v>
      </c>
      <c r="R6" s="33">
        <f>('FY19 Spill Cost'!C6-'FY19 Spill Cost'!T6)*(1-$S$3)</f>
        <v>0</v>
      </c>
      <c r="S6" s="33">
        <f>('FY19 Spill Cost'!D6-'FY19 Spill Cost'!U6)*(1-$S$3)</f>
        <v>0</v>
      </c>
      <c r="T6" s="33">
        <f>('FY19 Spill Cost'!E6-'FY19 Spill Cost'!V6)*(1-$S$3)</f>
        <v>0</v>
      </c>
      <c r="U6" s="33">
        <f>('FY19 Spill Cost'!F6-'FY19 Spill Cost'!W6)*(1-$S$3)</f>
        <v>0</v>
      </c>
      <c r="V6" s="33">
        <f>('FY19 Spill Cost'!G6-'FY19 Spill Cost'!X6)*(1-$S$3)</f>
        <v>0</v>
      </c>
      <c r="W6" s="33">
        <f>('FY19 Spill Cost'!H6-'FY19 Spill Cost'!Y6)*(1-$S$3)</f>
        <v>0</v>
      </c>
      <c r="X6" s="33">
        <f>(('FY19 Spill Cost'!I6-'FY19 Spill Cost'!Z6)*15/30+('FY19 Spill Cost'!J6-'FY19 Spill Cost'!AA6)*15/30)*(1-$S$3)</f>
        <v>752.1669870000001</v>
      </c>
      <c r="Y6" s="33">
        <f>('FY19 Spill Cost'!K6-'FY19 Spill Cost'!AB6)*(1-$S$3)</f>
        <v>1148.1460120000002</v>
      </c>
      <c r="Z6" s="33">
        <f>('FY19 Spill Cost'!L6-'FY19 Spill Cost'!AC6)*(1-$S$3)</f>
        <v>673.743824</v>
      </c>
      <c r="AA6" s="33">
        <f>('FY19 Spill Cost'!M6-'FY19 Spill Cost'!AD6)*(1-$S$3)</f>
        <v>-84.99062</v>
      </c>
      <c r="AB6" s="33">
        <f>(('FY19 Spill Cost'!N6-'FY19 Spill Cost'!AE6)*15/31+('FY19 Spill Cost'!O6-'FY19 Spill Cost'!AF6)*16/31)*(1-$S$3)</f>
        <v>85.41432690322583</v>
      </c>
      <c r="AC6" s="33">
        <f>('FY19 Spill Cost'!P6-'FY19 Spill Cost'!AG6)*(1-$S$3)</f>
        <v>0</v>
      </c>
      <c r="AD6" s="34">
        <f>SUMPRODUCT($R$5:$AC$5,R6:AC6)/SUM($R$5:$AC$5)</f>
        <v>214.7479057972603</v>
      </c>
      <c r="AF6" s="16">
        <v>1929</v>
      </c>
      <c r="AG6" s="33">
        <f>C6-R6</f>
        <v>193.86859277930552</v>
      </c>
      <c r="AH6" s="33">
        <f aca="true" t="shared" si="0" ref="AH6:AR6">D6-S6</f>
        <v>301.80598520738647</v>
      </c>
      <c r="AI6" s="33">
        <f t="shared" si="0"/>
        <v>-435.7930352211946</v>
      </c>
      <c r="AJ6" s="33">
        <f t="shared" si="0"/>
        <v>-653.4974708501928</v>
      </c>
      <c r="AK6" s="33">
        <f t="shared" si="0"/>
        <v>-701.297651911579</v>
      </c>
      <c r="AL6" s="33">
        <f t="shared" si="0"/>
        <v>-6.785862730577452</v>
      </c>
      <c r="AM6" s="33">
        <f t="shared" si="0"/>
        <v>-345.2317774702711</v>
      </c>
      <c r="AN6" s="33">
        <f>J6-Y6</f>
        <v>501.1148287464034</v>
      </c>
      <c r="AO6" s="33">
        <f t="shared" si="0"/>
        <v>747.0018170569266</v>
      </c>
      <c r="AP6" s="33">
        <f t="shared" si="0"/>
        <v>-371.84164773887244</v>
      </c>
      <c r="AQ6" s="33">
        <f>M6-AB6</f>
        <v>406.65731349169073</v>
      </c>
      <c r="AR6" s="33">
        <f t="shared" si="0"/>
        <v>406.7595711893591</v>
      </c>
      <c r="AS6" s="34">
        <f>SUMPRODUCT($AG$5:$AR$5,AG6:AR6)/SUM($R$5:$AC$5)</f>
        <v>6.389029842233821</v>
      </c>
      <c r="AT6" s="33"/>
      <c r="AU6" s="16">
        <v>1929</v>
      </c>
      <c r="AV6" s="23">
        <f>'FY19 Aurora Prices for SecR'!AR5-'FY19 Aurora Prices for SecR'!AD5</f>
        <v>-0.1945512048659701</v>
      </c>
      <c r="AW6" s="23">
        <f>'FY19 Aurora Prices for SecR'!AS5-'FY19 Aurora Prices for SecR'!AE5</f>
        <v>-0.2458961322139217</v>
      </c>
      <c r="AX6" s="23">
        <f>'FY19 Aurora Prices for SecR'!AT5-'FY19 Aurora Prices for SecR'!AF5</f>
        <v>-0.13552816401244883</v>
      </c>
      <c r="AY6" s="23">
        <f>'FY19 Aurora Prices for SecR'!AU5-'FY19 Aurora Prices for SecR'!AG5</f>
        <v>-0.031037215776279936</v>
      </c>
      <c r="AZ6" s="23">
        <f>'FY19 Aurora Prices for SecR'!AV5-'FY19 Aurora Prices for SecR'!AH5</f>
        <v>-0.05853473118373387</v>
      </c>
      <c r="BA6" s="23">
        <f>'FY19 Aurora Prices for SecR'!AW5-'FY19 Aurora Prices for SecR'!AI5</f>
        <v>0.00012512001658748773</v>
      </c>
      <c r="BB6" s="23">
        <f>'FY19 Aurora Prices for SecR'!AX5-'FY19 Aurora Prices for SecR'!AJ5</f>
        <v>1.1164722352557916</v>
      </c>
      <c r="BC6" s="23">
        <f>'FY19 Aurora Prices for SecR'!AY5-'FY19 Aurora Prices for SecR'!AK5</f>
        <v>0.9958938042323204</v>
      </c>
      <c r="BD6" s="23">
        <f>'FY19 Aurora Prices for SecR'!AZ5-'FY19 Aurora Prices for SecR'!AL5</f>
        <v>0.5457942565282217</v>
      </c>
      <c r="BE6" s="23">
        <f>'FY19 Aurora Prices for SecR'!BA5-'FY19 Aurora Prices for SecR'!AM5</f>
        <v>-0.2817897809448837</v>
      </c>
      <c r="BF6" s="23">
        <f>'FY19 Aurora Prices for SecR'!BB5-'FY19 Aurora Prices for SecR'!AN5</f>
        <v>0.1548672660704895</v>
      </c>
      <c r="BG6" s="24">
        <f>'FY19 Aurora Prices for SecR'!BC5-'FY19 Aurora Prices for SecR'!AO5</f>
        <v>-0.007609090805015484</v>
      </c>
      <c r="BI6" s="16">
        <v>1929</v>
      </c>
      <c r="BJ6" s="41">
        <f>(BJ$5*AG6)*AV6</f>
        <v>-28061.722023297698</v>
      </c>
      <c r="BK6" s="41">
        <f aca="true" t="shared" si="1" ref="BK6:BU6">(BK$5*AH6)*AW6</f>
        <v>-53507.518522327555</v>
      </c>
      <c r="BL6" s="41">
        <f t="shared" si="1"/>
        <v>43942.299084988066</v>
      </c>
      <c r="BM6" s="41">
        <f t="shared" si="1"/>
        <v>15090.360056950798</v>
      </c>
      <c r="BN6" s="41">
        <f t="shared" si="1"/>
        <v>27585.781127135644</v>
      </c>
      <c r="BO6" s="41">
        <f t="shared" si="1"/>
        <v>-0.6308421122558273</v>
      </c>
      <c r="BP6" s="41">
        <f>(BP$5*AM6)*BB6</f>
        <v>-277518.0198769658</v>
      </c>
      <c r="BQ6" s="41">
        <f t="shared" si="1"/>
        <v>371298.52194916765</v>
      </c>
      <c r="BR6" s="41">
        <f t="shared" si="1"/>
        <v>293550.69698338746</v>
      </c>
      <c r="BS6" s="41">
        <f t="shared" si="1"/>
        <v>77957.19528811598</v>
      </c>
      <c r="BT6" s="41">
        <f t="shared" si="1"/>
        <v>46855.56233781293</v>
      </c>
      <c r="BU6" s="41">
        <f t="shared" si="1"/>
        <v>-2228.4507693520754</v>
      </c>
      <c r="BV6" s="42">
        <f>SUM(BJ6:BU6)</f>
        <v>514964.07479350315</v>
      </c>
    </row>
    <row r="7" spans="2:74" ht="15">
      <c r="B7" s="16">
        <v>1930</v>
      </c>
      <c r="C7" s="33">
        <v>258.7549808635017</v>
      </c>
      <c r="D7" s="33">
        <v>431.38967884616113</v>
      </c>
      <c r="E7" s="33">
        <v>-410.7099782990708</v>
      </c>
      <c r="F7" s="33">
        <v>-1419.4481700555657</v>
      </c>
      <c r="G7" s="33">
        <v>-347.3698439958435</v>
      </c>
      <c r="H7" s="33">
        <v>-186.00330477676695</v>
      </c>
      <c r="I7" s="33">
        <v>1338.645627012118</v>
      </c>
      <c r="J7" s="33">
        <v>1143.9248694306546</v>
      </c>
      <c r="K7" s="33">
        <v>-695.4754280846402</v>
      </c>
      <c r="L7" s="33">
        <v>1045.360120412759</v>
      </c>
      <c r="M7" s="33">
        <v>670.2487961972728</v>
      </c>
      <c r="N7" s="33">
        <v>304.8499435584751</v>
      </c>
      <c r="O7" s="34">
        <f aca="true" t="shared" si="2" ref="O7:O70">SUMPRODUCT($C$5:$N$5,C7:N7)/SUM($R$5:$AC$5)</f>
        <v>180.4044121717454</v>
      </c>
      <c r="Q7" s="16">
        <v>1930</v>
      </c>
      <c r="R7" s="33">
        <f>('FY19 Spill Cost'!C7-'FY19 Spill Cost'!T7)*(1-$S$3)</f>
        <v>0</v>
      </c>
      <c r="S7" s="33">
        <f>('FY19 Spill Cost'!D7-'FY19 Spill Cost'!U7)*(1-$S$3)</f>
        <v>0</v>
      </c>
      <c r="T7" s="33">
        <f>('FY19 Spill Cost'!E7-'FY19 Spill Cost'!V7)*(1-$S$3)</f>
        <v>0</v>
      </c>
      <c r="U7" s="33">
        <f>('FY19 Spill Cost'!F7-'FY19 Spill Cost'!W7)*(1-$S$3)</f>
        <v>0</v>
      </c>
      <c r="V7" s="33">
        <f>('FY19 Spill Cost'!G7-'FY19 Spill Cost'!X7)*(1-$S$3)</f>
        <v>0</v>
      </c>
      <c r="W7" s="33">
        <f>('FY19 Spill Cost'!H7-'FY19 Spill Cost'!Y7)*(1-$S$3)</f>
        <v>0</v>
      </c>
      <c r="X7" s="33">
        <f>(('FY19 Spill Cost'!I7-'FY19 Spill Cost'!Z7)*15/30+('FY19 Spill Cost'!J7-'FY19 Spill Cost'!AA7)*15/30)*(1-$S$3)</f>
        <v>909.013313</v>
      </c>
      <c r="Y7" s="33">
        <f>('FY19 Spill Cost'!K7-'FY19 Spill Cost'!AB7)*(1-$S$3)</f>
        <v>1119.558258</v>
      </c>
      <c r="Z7" s="33">
        <f>('FY19 Spill Cost'!L7-'FY19 Spill Cost'!AC7)*(1-$S$3)</f>
        <v>562.483376</v>
      </c>
      <c r="AA7" s="33">
        <f>('FY19 Spill Cost'!M7-'FY19 Spill Cost'!AD7)*(1-$S$3)</f>
        <v>-9.271704</v>
      </c>
      <c r="AB7" s="33">
        <f>(('FY19 Spill Cost'!N7-'FY19 Spill Cost'!AE7)*15/31+('FY19 Spill Cost'!O7-'FY19 Spill Cost'!AF7)*16/31)*(1-$S$3)</f>
        <v>94.4367915483871</v>
      </c>
      <c r="AC7" s="33">
        <f>('FY19 Spill Cost'!P7-'FY19 Spill Cost'!AG7)*(1-$S$3)</f>
        <v>0</v>
      </c>
      <c r="AD7" s="34">
        <f aca="true" t="shared" si="3" ref="AD7:AD70">SUMPRODUCT($R$5:$AC$5,R7:AC7)/SUM($R$5:$AC$5)</f>
        <v>223.26390241643838</v>
      </c>
      <c r="AF7" s="16">
        <v>1930</v>
      </c>
      <c r="AG7" s="33">
        <f aca="true" t="shared" si="4" ref="AG7:AG70">C7-R7</f>
        <v>258.7549808635017</v>
      </c>
      <c r="AH7" s="33">
        <f aca="true" t="shared" si="5" ref="AH7:AH70">D7-S7</f>
        <v>431.38967884616113</v>
      </c>
      <c r="AI7" s="33">
        <f aca="true" t="shared" si="6" ref="AI7:AI70">E7-T7</f>
        <v>-410.7099782990708</v>
      </c>
      <c r="AJ7" s="33">
        <f aca="true" t="shared" si="7" ref="AJ7:AJ70">F7-U7</f>
        <v>-1419.4481700555657</v>
      </c>
      <c r="AK7" s="33">
        <f aca="true" t="shared" si="8" ref="AK7:AK70">G7-V7</f>
        <v>-347.3698439958435</v>
      </c>
      <c r="AL7" s="33">
        <f aca="true" t="shared" si="9" ref="AL7:AL70">H7-W7</f>
        <v>-186.00330477676695</v>
      </c>
      <c r="AM7" s="33">
        <f aca="true" t="shared" si="10" ref="AM7:AM70">I7-X7</f>
        <v>429.63231401211794</v>
      </c>
      <c r="AN7" s="33">
        <f aca="true" t="shared" si="11" ref="AN7:AN70">J7-Y7</f>
        <v>24.36661143065453</v>
      </c>
      <c r="AO7" s="33">
        <f aca="true" t="shared" si="12" ref="AO7:AO70">K7-Z7</f>
        <v>-1257.9588040846402</v>
      </c>
      <c r="AP7" s="33">
        <f aca="true" t="shared" si="13" ref="AP7:AP70">L7-AA7</f>
        <v>1054.631824412759</v>
      </c>
      <c r="AQ7" s="33">
        <f aca="true" t="shared" si="14" ref="AQ7:AQ70">M7-AB7</f>
        <v>575.8120046488857</v>
      </c>
      <c r="AR7" s="33">
        <f aca="true" t="shared" si="15" ref="AR7:AR70">N7-AC7</f>
        <v>304.8499435584751</v>
      </c>
      <c r="AS7" s="34">
        <f aca="true" t="shared" si="16" ref="AS7:AS70">SUMPRODUCT($AG$5:$AR$5,AG7:AR7)/SUM($R$5:$AC$5)</f>
        <v>-42.85949024469296</v>
      </c>
      <c r="AT7" s="33"/>
      <c r="AU7" s="16">
        <v>1930</v>
      </c>
      <c r="AV7" s="23">
        <f>'FY19 Aurora Prices for SecR'!AR6-'FY19 Aurora Prices for SecR'!AD6</f>
        <v>0.015165193619214534</v>
      </c>
      <c r="AW7" s="23">
        <f>'FY19 Aurora Prices for SecR'!AS6-'FY19 Aurora Prices for SecR'!AE6</f>
        <v>-0.03378762408536673</v>
      </c>
      <c r="AX7" s="23">
        <f>'FY19 Aurora Prices for SecR'!AT6-'FY19 Aurora Prices for SecR'!AF6</f>
        <v>-0.012699894238565435</v>
      </c>
      <c r="AY7" s="23">
        <f>'FY19 Aurora Prices for SecR'!AU6-'FY19 Aurora Prices for SecR'!AG6</f>
        <v>0.0023873349671887922</v>
      </c>
      <c r="AZ7" s="23">
        <f>'FY19 Aurora Prices for SecR'!AV6-'FY19 Aurora Prices for SecR'!AH6</f>
        <v>-0.01858560017175037</v>
      </c>
      <c r="BA7" s="23">
        <f>'FY19 Aurora Prices for SecR'!AW6-'FY19 Aurora Prices for SecR'!AI6</f>
        <v>-0.08436153034499227</v>
      </c>
      <c r="BB7" s="23">
        <f>'FY19 Aurora Prices for SecR'!AX6-'FY19 Aurora Prices for SecR'!AJ6</f>
        <v>1.1617786741256353</v>
      </c>
      <c r="BC7" s="23">
        <f>'FY19 Aurora Prices for SecR'!AY6-'FY19 Aurora Prices for SecR'!AK6</f>
        <v>1.4034966555974897</v>
      </c>
      <c r="BD7" s="23">
        <f>'FY19 Aurora Prices for SecR'!AZ6-'FY19 Aurora Prices for SecR'!AL6</f>
        <v>0.9794034534030978</v>
      </c>
      <c r="BE7" s="23">
        <f>'FY19 Aurora Prices for SecR'!BA6-'FY19 Aurora Prices for SecR'!AM6</f>
        <v>-0.14389124634441686</v>
      </c>
      <c r="BF7" s="23">
        <f>'FY19 Aurora Prices for SecR'!BB6-'FY19 Aurora Prices for SecR'!AN6</f>
        <v>0.08140018524658998</v>
      </c>
      <c r="BG7" s="24">
        <f>'FY19 Aurora Prices for SecR'!BC6-'FY19 Aurora Prices for SecR'!AO6</f>
        <v>-0.039063801765472306</v>
      </c>
      <c r="BI7" s="16">
        <v>1930</v>
      </c>
      <c r="BJ7" s="41">
        <f aca="true" t="shared" si="17" ref="BJ7:BJ70">(BJ$5*AG7)*AV7</f>
        <v>2919.5076222399794</v>
      </c>
      <c r="BK7" s="41">
        <f aca="true" t="shared" si="18" ref="BK7:BK70">(BK$5*AH7)*AW7</f>
        <v>-10509.030890579204</v>
      </c>
      <c r="BL7" s="41">
        <f aca="true" t="shared" si="19" ref="BL7:BL70">(BL$5*AI7)*AX7</f>
        <v>3880.684125618548</v>
      </c>
      <c r="BM7" s="41">
        <f aca="true" t="shared" si="20" ref="BM7:BM70">(BM$5*AJ7)*AY7</f>
        <v>-2521.191498361432</v>
      </c>
      <c r="BN7" s="41">
        <f aca="true" t="shared" si="21" ref="BN7:BN70">(BN$5*AK7)*AZ7</f>
        <v>4338.483765658592</v>
      </c>
      <c r="BO7" s="41">
        <f aca="true" t="shared" si="22" ref="BO7:BO70">(BO$5*AL7)*BA7</f>
        <v>11658.801916064194</v>
      </c>
      <c r="BP7" s="41">
        <f>(BP$5*AM7)*BB7</f>
        <v>359379.1152968594</v>
      </c>
      <c r="BQ7" s="41">
        <f aca="true" t="shared" si="23" ref="BQ7:BQ70">(BQ$5*AN7)*BC7</f>
        <v>25443.65249246839</v>
      </c>
      <c r="BR7" s="41">
        <f aca="true" t="shared" si="24" ref="BR7:BR70">(BR$5*AO7)*BD7</f>
        <v>-887075.4218107158</v>
      </c>
      <c r="BS7" s="41">
        <f aca="true" t="shared" si="25" ref="BS7:BS70">(BS$5*AP7)*BE7</f>
        <v>-112903.70201103314</v>
      </c>
      <c r="BT7" s="41">
        <f aca="true" t="shared" si="26" ref="BT7:BT70">(BT$5*AQ7)*BF7</f>
        <v>34872.175661148445</v>
      </c>
      <c r="BU7" s="41">
        <f aca="true" t="shared" si="27" ref="BU7:BU70">(BU$5*AR7)*BG7</f>
        <v>-8574.190389636258</v>
      </c>
      <c r="BV7" s="42">
        <f aca="true" t="shared" si="28" ref="BV7:BV70">SUM(BJ7:BU7)</f>
        <v>-579091.1157202681</v>
      </c>
    </row>
    <row r="8" spans="2:74" ht="15">
      <c r="B8" s="16">
        <v>1931</v>
      </c>
      <c r="C8" s="33">
        <v>162.4795019906748</v>
      </c>
      <c r="D8" s="33">
        <v>466.83363922735754</v>
      </c>
      <c r="E8" s="33">
        <v>-300.34273243328505</v>
      </c>
      <c r="F8" s="33">
        <v>-1013.9867610657432</v>
      </c>
      <c r="G8" s="33">
        <v>-1426.209249019264</v>
      </c>
      <c r="H8" s="33">
        <v>-489.4334103298053</v>
      </c>
      <c r="I8" s="33">
        <v>-59.46320610199636</v>
      </c>
      <c r="J8" s="33">
        <v>2013.5111534381092</v>
      </c>
      <c r="K8" s="33">
        <v>-385.12936648363166</v>
      </c>
      <c r="L8" s="33">
        <v>888.6862961933299</v>
      </c>
      <c r="M8" s="33">
        <v>653.6728743217366</v>
      </c>
      <c r="N8" s="33">
        <v>20.364542302674217</v>
      </c>
      <c r="O8" s="34">
        <f t="shared" si="2"/>
        <v>56.81191326508618</v>
      </c>
      <c r="Q8" s="16">
        <v>1931</v>
      </c>
      <c r="R8" s="33">
        <f>('FY19 Spill Cost'!C8-'FY19 Spill Cost'!T8)*(1-$S$3)</f>
        <v>0</v>
      </c>
      <c r="S8" s="33">
        <f>('FY19 Spill Cost'!D8-'FY19 Spill Cost'!U8)*(1-$S$3)</f>
        <v>0</v>
      </c>
      <c r="T8" s="33">
        <f>('FY19 Spill Cost'!E8-'FY19 Spill Cost'!V8)*(1-$S$3)</f>
        <v>0</v>
      </c>
      <c r="U8" s="33">
        <f>('FY19 Spill Cost'!F8-'FY19 Spill Cost'!W8)*(1-$S$3)</f>
        <v>0</v>
      </c>
      <c r="V8" s="33">
        <f>('FY19 Spill Cost'!G8-'FY19 Spill Cost'!X8)*(1-$S$3)</f>
        <v>0</v>
      </c>
      <c r="W8" s="33">
        <f>('FY19 Spill Cost'!H8-'FY19 Spill Cost'!Y8)*(1-$S$3)</f>
        <v>0</v>
      </c>
      <c r="X8" s="33">
        <f>(('FY19 Spill Cost'!I8-'FY19 Spill Cost'!Z8)*15/30+('FY19 Spill Cost'!J8-'FY19 Spill Cost'!AA8)*15/30)*(1-$S$3)</f>
        <v>623.522094</v>
      </c>
      <c r="Y8" s="33">
        <f>('FY19 Spill Cost'!K8-'FY19 Spill Cost'!AB8)*(1-$S$3)</f>
        <v>1114.149764</v>
      </c>
      <c r="Z8" s="33">
        <f>('FY19 Spill Cost'!L8-'FY19 Spill Cost'!AC8)*(1-$S$3)</f>
        <v>411.045544</v>
      </c>
      <c r="AA8" s="33">
        <f>('FY19 Spill Cost'!M8-'FY19 Spill Cost'!AD8)*(1-$S$3)</f>
        <v>33.996248</v>
      </c>
      <c r="AB8" s="33">
        <f>(('FY19 Spill Cost'!N8-'FY19 Spill Cost'!AE8)*15/31+('FY19 Spill Cost'!O8-'FY19 Spill Cost'!AF8)*16/31)*(1-$S$3)</f>
        <v>88.35535129032257</v>
      </c>
      <c r="AC8" s="33">
        <f>('FY19 Spill Cost'!P8-'FY19 Spill Cost'!AG8)*(1-$S$3)</f>
        <v>0</v>
      </c>
      <c r="AD8" s="34">
        <f t="shared" si="3"/>
        <v>190.05088055342466</v>
      </c>
      <c r="AF8" s="16">
        <v>1931</v>
      </c>
      <c r="AG8" s="33">
        <f t="shared" si="4"/>
        <v>162.4795019906748</v>
      </c>
      <c r="AH8" s="33">
        <f t="shared" si="5"/>
        <v>466.83363922735754</v>
      </c>
      <c r="AI8" s="33">
        <f t="shared" si="6"/>
        <v>-300.34273243328505</v>
      </c>
      <c r="AJ8" s="33">
        <f t="shared" si="7"/>
        <v>-1013.9867610657432</v>
      </c>
      <c r="AK8" s="33">
        <f t="shared" si="8"/>
        <v>-1426.209249019264</v>
      </c>
      <c r="AL8" s="33">
        <f t="shared" si="9"/>
        <v>-489.4334103298053</v>
      </c>
      <c r="AM8" s="33">
        <f t="shared" si="10"/>
        <v>-682.9853001019964</v>
      </c>
      <c r="AN8" s="33">
        <f t="shared" si="11"/>
        <v>899.3613894381092</v>
      </c>
      <c r="AO8" s="33">
        <f t="shared" si="12"/>
        <v>-796.1749104836317</v>
      </c>
      <c r="AP8" s="33">
        <f t="shared" si="13"/>
        <v>854.6900481933299</v>
      </c>
      <c r="AQ8" s="33">
        <f t="shared" si="14"/>
        <v>565.317523031414</v>
      </c>
      <c r="AR8" s="33">
        <f t="shared" si="15"/>
        <v>20.364542302674217</v>
      </c>
      <c r="AS8" s="34">
        <f t="shared" si="16"/>
        <v>-133.23896728833844</v>
      </c>
      <c r="AT8" s="33"/>
      <c r="AU8" s="16">
        <v>1931</v>
      </c>
      <c r="AV8" s="23">
        <f>'FY19 Aurora Prices for SecR'!AR7-'FY19 Aurora Prices for SecR'!AD7</f>
        <v>-0.02616754116551334</v>
      </c>
      <c r="AW8" s="23">
        <f>'FY19 Aurora Prices for SecR'!AS7-'FY19 Aurora Prices for SecR'!AE7</f>
        <v>-0.010708190002677753</v>
      </c>
      <c r="AX8" s="23">
        <f>'FY19 Aurora Prices for SecR'!AT7-'FY19 Aurora Prices for SecR'!AF7</f>
        <v>-0.0030688572955028803</v>
      </c>
      <c r="AY8" s="23">
        <f>'FY19 Aurora Prices for SecR'!AU7-'FY19 Aurora Prices for SecR'!AG7</f>
        <v>-0.02710277290752572</v>
      </c>
      <c r="AZ8" s="23">
        <f>'FY19 Aurora Prices for SecR'!AV7-'FY19 Aurora Prices for SecR'!AH7</f>
        <v>-0.015615224838221309</v>
      </c>
      <c r="BA8" s="23">
        <f>'FY19 Aurora Prices for SecR'!AW7-'FY19 Aurora Prices for SecR'!AI7</f>
        <v>0.04707311845883666</v>
      </c>
      <c r="BB8" s="23">
        <f>'FY19 Aurora Prices for SecR'!AX7-'FY19 Aurora Prices for SecR'!AJ7</f>
        <v>1.3040762450959988</v>
      </c>
      <c r="BC8" s="23">
        <f>'FY19 Aurora Prices for SecR'!AY7-'FY19 Aurora Prices for SecR'!AK7</f>
        <v>1.0809147773250274</v>
      </c>
      <c r="BD8" s="23">
        <f>'FY19 Aurora Prices for SecR'!AZ7-'FY19 Aurora Prices for SecR'!AL7</f>
        <v>0.5872579998440273</v>
      </c>
      <c r="BE8" s="23">
        <f>'FY19 Aurora Prices for SecR'!BA7-'FY19 Aurora Prices for SecR'!AM7</f>
        <v>-0.03340934476546309</v>
      </c>
      <c r="BF8" s="23">
        <f>'FY19 Aurora Prices for SecR'!BB7-'FY19 Aurora Prices for SecR'!AN7</f>
        <v>0.12357881376821211</v>
      </c>
      <c r="BG8" s="24">
        <f>'FY19 Aurora Prices for SecR'!BC7-'FY19 Aurora Prices for SecR'!AO7</f>
        <v>0.008906315167710233</v>
      </c>
      <c r="BI8" s="16">
        <v>1931</v>
      </c>
      <c r="BJ8" s="41">
        <f t="shared" si="17"/>
        <v>-3163.256658328459</v>
      </c>
      <c r="BK8" s="41">
        <f t="shared" si="18"/>
        <v>-3604.2381254198935</v>
      </c>
      <c r="BL8" s="41">
        <f t="shared" si="19"/>
        <v>685.7514852708923</v>
      </c>
      <c r="BM8" s="41">
        <f t="shared" si="20"/>
        <v>20446.49856980337</v>
      </c>
      <c r="BN8" s="41">
        <f t="shared" si="21"/>
        <v>14965.828476336575</v>
      </c>
      <c r="BO8" s="41">
        <f t="shared" si="22"/>
        <v>-17118.09357831033</v>
      </c>
      <c r="BP8" s="41">
        <f aca="true" t="shared" si="29" ref="BP8:BP70">(BP$5*AM8)*BB8</f>
        <v>-641278.7320411982</v>
      </c>
      <c r="BQ8" s="41">
        <f t="shared" si="23"/>
        <v>723266.9639034205</v>
      </c>
      <c r="BR8" s="41">
        <f t="shared" si="24"/>
        <v>-336643.2615287628</v>
      </c>
      <c r="BS8" s="41">
        <f t="shared" si="25"/>
        <v>-21244.648058849707</v>
      </c>
      <c r="BT8" s="41">
        <f t="shared" si="26"/>
        <v>51976.78406056292</v>
      </c>
      <c r="BU8" s="41">
        <f t="shared" si="27"/>
        <v>130.58858303552452</v>
      </c>
      <c r="BV8" s="42">
        <f t="shared" si="28"/>
        <v>-211579.81491243962</v>
      </c>
    </row>
    <row r="9" spans="2:74" ht="15">
      <c r="B9" s="16">
        <v>1932</v>
      </c>
      <c r="C9" s="33">
        <v>55.83280417406784</v>
      </c>
      <c r="D9" s="33">
        <v>71.51732651492111</v>
      </c>
      <c r="E9" s="33">
        <v>-349.784294745165</v>
      </c>
      <c r="F9" s="33">
        <v>-1830.842646230693</v>
      </c>
      <c r="G9" s="33">
        <v>-1473.667527100772</v>
      </c>
      <c r="H9" s="33">
        <v>1314.484572380127</v>
      </c>
      <c r="I9" s="33">
        <v>4496.724466880182</v>
      </c>
      <c r="J9" s="33">
        <v>5542.135144283795</v>
      </c>
      <c r="K9" s="33">
        <v>4697.545702503927</v>
      </c>
      <c r="L9" s="33">
        <v>2103.4150629981164</v>
      </c>
      <c r="M9" s="33">
        <v>1294.046752437594</v>
      </c>
      <c r="N9" s="33">
        <v>725.0272650783602</v>
      </c>
      <c r="O9" s="34">
        <f t="shared" si="2"/>
        <v>1398.4051260899237</v>
      </c>
      <c r="Q9" s="16">
        <v>1932</v>
      </c>
      <c r="R9" s="33">
        <f>('FY19 Spill Cost'!C9-'FY19 Spill Cost'!T9)*(1-$S$3)</f>
        <v>0</v>
      </c>
      <c r="S9" s="33">
        <f>('FY19 Spill Cost'!D9-'FY19 Spill Cost'!U9)*(1-$S$3)</f>
        <v>0</v>
      </c>
      <c r="T9" s="33">
        <f>('FY19 Spill Cost'!E9-'FY19 Spill Cost'!V9)*(1-$S$3)</f>
        <v>0</v>
      </c>
      <c r="U9" s="33">
        <f>('FY19 Spill Cost'!F9-'FY19 Spill Cost'!W9)*(1-$S$3)</f>
        <v>0</v>
      </c>
      <c r="V9" s="33">
        <f>('FY19 Spill Cost'!G9-'FY19 Spill Cost'!X9)*(1-$S$3)</f>
        <v>0</v>
      </c>
      <c r="W9" s="33">
        <f>('FY19 Spill Cost'!H9-'FY19 Spill Cost'!Y9)*(1-$S$3)</f>
        <v>0</v>
      </c>
      <c r="X9" s="33">
        <f>(('FY19 Spill Cost'!I9-'FY19 Spill Cost'!Z9)*15/30+('FY19 Spill Cost'!J9-'FY19 Spill Cost'!AA9)*15/30)*(1-$S$3)</f>
        <v>577.163574</v>
      </c>
      <c r="Y9" s="33">
        <f>('FY19 Spill Cost'!K9-'FY19 Spill Cost'!AB9)*(1-$S$3)</f>
        <v>705.422146</v>
      </c>
      <c r="Z9" s="33">
        <f>('FY19 Spill Cost'!L9-'FY19 Spill Cost'!AC9)*(1-$S$3)</f>
        <v>517.6701400000001</v>
      </c>
      <c r="AA9" s="33">
        <f>('FY19 Spill Cost'!M9-'FY19 Spill Cost'!AD9)*(1-$S$3)</f>
        <v>-49.449088</v>
      </c>
      <c r="AB9" s="33">
        <f>(('FY19 Spill Cost'!N9-'FY19 Spill Cost'!AE9)*15/31+('FY19 Spill Cost'!O9-'FY19 Spill Cost'!AF9)*16/31)*(1-$S$3)</f>
        <v>118.53823716129034</v>
      </c>
      <c r="AC9" s="33">
        <f>('FY19 Spill Cost'!P9-'FY19 Spill Cost'!AG9)*(1-$S$3)</f>
        <v>0</v>
      </c>
      <c r="AD9" s="34">
        <f t="shared" si="3"/>
        <v>155.7667440273973</v>
      </c>
      <c r="AF9" s="16">
        <v>1932</v>
      </c>
      <c r="AG9" s="33">
        <f t="shared" si="4"/>
        <v>55.83280417406784</v>
      </c>
      <c r="AH9" s="33">
        <f t="shared" si="5"/>
        <v>71.51732651492111</v>
      </c>
      <c r="AI9" s="33">
        <f t="shared" si="6"/>
        <v>-349.784294745165</v>
      </c>
      <c r="AJ9" s="33">
        <f t="shared" si="7"/>
        <v>-1830.842646230693</v>
      </c>
      <c r="AK9" s="33">
        <f t="shared" si="8"/>
        <v>-1473.667527100772</v>
      </c>
      <c r="AL9" s="33">
        <f t="shared" si="9"/>
        <v>1314.484572380127</v>
      </c>
      <c r="AM9" s="33">
        <f t="shared" si="10"/>
        <v>3919.560892880182</v>
      </c>
      <c r="AN9" s="33">
        <f t="shared" si="11"/>
        <v>4836.712998283795</v>
      </c>
      <c r="AO9" s="33">
        <f t="shared" si="12"/>
        <v>4179.875562503927</v>
      </c>
      <c r="AP9" s="33">
        <f t="shared" si="13"/>
        <v>2152.864150998116</v>
      </c>
      <c r="AQ9" s="33">
        <f t="shared" si="14"/>
        <v>1175.5085152763036</v>
      </c>
      <c r="AR9" s="33">
        <f t="shared" si="15"/>
        <v>725.0272650783602</v>
      </c>
      <c r="AS9" s="34">
        <f t="shared" si="16"/>
        <v>1242.6383820625265</v>
      </c>
      <c r="AT9" s="33"/>
      <c r="AU9" s="16">
        <v>1932</v>
      </c>
      <c r="AV9" s="23">
        <f>'FY19 Aurora Prices for SecR'!AR8-'FY19 Aurora Prices for SecR'!AD8</f>
        <v>-0.007676066890876854</v>
      </c>
      <c r="AW9" s="23">
        <f>'FY19 Aurora Prices for SecR'!AS8-'FY19 Aurora Prices for SecR'!AE8</f>
        <v>0.0034233556871612336</v>
      </c>
      <c r="AX9" s="23">
        <f>'FY19 Aurora Prices for SecR'!AT8-'FY19 Aurora Prices for SecR'!AF8</f>
        <v>-0.0005629744581305829</v>
      </c>
      <c r="AY9" s="23">
        <f>'FY19 Aurora Prices for SecR'!AU8-'FY19 Aurora Prices for SecR'!AG8</f>
        <v>-0.030809679851721228</v>
      </c>
      <c r="AZ9" s="23">
        <f>'FY19 Aurora Prices for SecR'!AV8-'FY19 Aurora Prices for SecR'!AH8</f>
        <v>0.014479868752616198</v>
      </c>
      <c r="BA9" s="23">
        <f>'FY19 Aurora Prices for SecR'!AW8-'FY19 Aurora Prices for SecR'!AI8</f>
        <v>0.006621087993256225</v>
      </c>
      <c r="BB9" s="23">
        <f>'FY19 Aurora Prices for SecR'!AX8-'FY19 Aurora Prices for SecR'!AJ8</f>
        <v>0.9135443639755003</v>
      </c>
      <c r="BC9" s="23">
        <f>'FY19 Aurora Prices for SecR'!AY8-'FY19 Aurora Prices for SecR'!AK8</f>
        <v>2.058144201001811</v>
      </c>
      <c r="BD9" s="23">
        <f>'FY19 Aurora Prices for SecR'!AZ8-'FY19 Aurora Prices for SecR'!AL8</f>
        <v>1.460025199254373</v>
      </c>
      <c r="BE9" s="23">
        <f>'FY19 Aurora Prices for SecR'!BA8-'FY19 Aurora Prices for SecR'!AM8</f>
        <v>0.007604517475236605</v>
      </c>
      <c r="BF9" s="23">
        <f>'FY19 Aurora Prices for SecR'!BB8-'FY19 Aurora Prices for SecR'!AN8</f>
        <v>0.15473708414263498</v>
      </c>
      <c r="BG9" s="24">
        <f>'FY19 Aurora Prices for SecR'!BC8-'FY19 Aurora Prices for SecR'!AO8</f>
        <v>0.016744969685841937</v>
      </c>
      <c r="BI9" s="16">
        <v>1932</v>
      </c>
      <c r="BJ9" s="41">
        <f t="shared" si="17"/>
        <v>-318.86079662175763</v>
      </c>
      <c r="BK9" s="41">
        <f t="shared" si="18"/>
        <v>176.52188669435932</v>
      </c>
      <c r="BL9" s="41">
        <f t="shared" si="19"/>
        <v>146.50820010478003</v>
      </c>
      <c r="BM9" s="41">
        <f t="shared" si="20"/>
        <v>41967.31078719884</v>
      </c>
      <c r="BN9" s="41">
        <f t="shared" si="21"/>
        <v>-14339.480317620631</v>
      </c>
      <c r="BO9" s="41">
        <f t="shared" si="22"/>
        <v>6466.565288493405</v>
      </c>
      <c r="BP9" s="41">
        <f t="shared" si="29"/>
        <v>2578098.7893236186</v>
      </c>
      <c r="BQ9" s="41">
        <f t="shared" si="23"/>
        <v>7406261.690139939</v>
      </c>
      <c r="BR9" s="41">
        <f t="shared" si="24"/>
        <v>4393961.028722362</v>
      </c>
      <c r="BS9" s="41">
        <f t="shared" si="25"/>
        <v>12180.390835208242</v>
      </c>
      <c r="BT9" s="41">
        <f t="shared" si="26"/>
        <v>135329.70146878783</v>
      </c>
      <c r="BU9" s="41">
        <f t="shared" si="27"/>
        <v>8741.20289410514</v>
      </c>
      <c r="BV9" s="42">
        <f t="shared" si="28"/>
        <v>14568671.368432269</v>
      </c>
    </row>
    <row r="10" spans="2:74" ht="15">
      <c r="B10" s="16">
        <v>1933</v>
      </c>
      <c r="C10" s="33">
        <v>151.48008385043897</v>
      </c>
      <c r="D10" s="33">
        <v>-144.3600930381201</v>
      </c>
      <c r="E10" s="33">
        <v>951.7064073991621</v>
      </c>
      <c r="F10" s="33">
        <v>2093.3221633736166</v>
      </c>
      <c r="G10" s="33">
        <v>2343.0793917887972</v>
      </c>
      <c r="H10" s="33">
        <v>2349.3007541107213</v>
      </c>
      <c r="I10" s="33">
        <v>1987.3022699443877</v>
      </c>
      <c r="J10" s="33">
        <v>3517.9895585715653</v>
      </c>
      <c r="K10" s="33">
        <v>6211.294401825671</v>
      </c>
      <c r="L10" s="33">
        <v>4293.9140798933395</v>
      </c>
      <c r="M10" s="33">
        <v>2462.2376225429975</v>
      </c>
      <c r="N10" s="33">
        <v>499.77321904442977</v>
      </c>
      <c r="O10" s="34">
        <f t="shared" si="2"/>
        <v>2226.1399592604835</v>
      </c>
      <c r="Q10" s="16">
        <v>1933</v>
      </c>
      <c r="R10" s="33">
        <f>('FY19 Spill Cost'!C10-'FY19 Spill Cost'!T10)*(1-$S$3)</f>
        <v>0</v>
      </c>
      <c r="S10" s="33">
        <f>('FY19 Spill Cost'!D10-'FY19 Spill Cost'!U10)*(1-$S$3)</f>
        <v>0</v>
      </c>
      <c r="T10" s="33">
        <f>('FY19 Spill Cost'!E10-'FY19 Spill Cost'!V10)*(1-$S$3)</f>
        <v>0</v>
      </c>
      <c r="U10" s="33">
        <f>('FY19 Spill Cost'!F10-'FY19 Spill Cost'!W10)*(1-$S$3)</f>
        <v>0</v>
      </c>
      <c r="V10" s="33">
        <f>('FY19 Spill Cost'!G10-'FY19 Spill Cost'!X10)*(1-$S$3)</f>
        <v>0</v>
      </c>
      <c r="W10" s="33">
        <f>('FY19 Spill Cost'!H10-'FY19 Spill Cost'!Y10)*(1-$S$3)</f>
        <v>0</v>
      </c>
      <c r="X10" s="33">
        <f>(('FY19 Spill Cost'!I10-'FY19 Spill Cost'!Z10)*15/30+('FY19 Spill Cost'!J10-'FY19 Spill Cost'!AA10)*15/30)*(1-$S$3)</f>
        <v>875.017065</v>
      </c>
      <c r="Y10" s="33">
        <f>('FY19 Spill Cost'!K10-'FY19 Spill Cost'!AB10)*(1-$S$3)</f>
        <v>989.754402</v>
      </c>
      <c r="Z10" s="33">
        <f>('FY19 Spill Cost'!L10-'FY19 Spill Cost'!AC10)*(1-$S$3)</f>
        <v>235.65581</v>
      </c>
      <c r="AA10" s="33">
        <f>('FY19 Spill Cost'!M10-'FY19 Spill Cost'!AD10)*(1-$S$3)</f>
        <v>-6.953778000000001</v>
      </c>
      <c r="AB10" s="33">
        <f>(('FY19 Spill Cost'!N10-'FY19 Spill Cost'!AE10)*15/31+('FY19 Spill Cost'!O10-'FY19 Spill Cost'!AF10)*16/31)*(1-$S$3)</f>
        <v>144.8579130322581</v>
      </c>
      <c r="AC10" s="33">
        <f>('FY19 Spill Cost'!P10-'FY19 Spill Cost'!AG10)*(1-$S$3)</f>
        <v>0</v>
      </c>
      <c r="AD10" s="34">
        <f t="shared" si="3"/>
        <v>187.06192026849317</v>
      </c>
      <c r="AF10" s="16">
        <v>1933</v>
      </c>
      <c r="AG10" s="33">
        <f t="shared" si="4"/>
        <v>151.48008385043897</v>
      </c>
      <c r="AH10" s="33">
        <f t="shared" si="5"/>
        <v>-144.3600930381201</v>
      </c>
      <c r="AI10" s="33">
        <f t="shared" si="6"/>
        <v>951.7064073991621</v>
      </c>
      <c r="AJ10" s="33">
        <f t="shared" si="7"/>
        <v>2093.3221633736166</v>
      </c>
      <c r="AK10" s="33">
        <f t="shared" si="8"/>
        <v>2343.0793917887972</v>
      </c>
      <c r="AL10" s="33">
        <f t="shared" si="9"/>
        <v>2349.3007541107213</v>
      </c>
      <c r="AM10" s="33">
        <f t="shared" si="10"/>
        <v>1112.2852049443877</v>
      </c>
      <c r="AN10" s="33">
        <f t="shared" si="11"/>
        <v>2528.2351565715653</v>
      </c>
      <c r="AO10" s="33">
        <f t="shared" si="12"/>
        <v>5975.638591825671</v>
      </c>
      <c r="AP10" s="33">
        <f t="shared" si="13"/>
        <v>4300.8678578933395</v>
      </c>
      <c r="AQ10" s="33">
        <f t="shared" si="14"/>
        <v>2317.3797095107393</v>
      </c>
      <c r="AR10" s="33">
        <f t="shared" si="15"/>
        <v>499.77321904442977</v>
      </c>
      <c r="AS10" s="34">
        <f t="shared" si="16"/>
        <v>2039.0780389919903</v>
      </c>
      <c r="AT10" s="33"/>
      <c r="AU10" s="16">
        <v>1933</v>
      </c>
      <c r="AV10" s="23">
        <f>'FY19 Aurora Prices for SecR'!AR9-'FY19 Aurora Prices for SecR'!AD9</f>
        <v>-0.08782364245387342</v>
      </c>
      <c r="AW10" s="23">
        <f>'FY19 Aurora Prices for SecR'!AS9-'FY19 Aurora Prices for SecR'!AE9</f>
        <v>-0.04858865546122715</v>
      </c>
      <c r="AX10" s="23">
        <f>'FY19 Aurora Prices for SecR'!AT9-'FY19 Aurora Prices for SecR'!AF9</f>
        <v>-0.034819244569309404</v>
      </c>
      <c r="AY10" s="23">
        <f>'FY19 Aurora Prices for SecR'!AU9-'FY19 Aurora Prices for SecR'!AG9</f>
        <v>0.014054417353797533</v>
      </c>
      <c r="AZ10" s="23">
        <f>'FY19 Aurora Prices for SecR'!AV9-'FY19 Aurora Prices for SecR'!AH9</f>
        <v>0.01530369349887195</v>
      </c>
      <c r="BA10" s="23">
        <f>'FY19 Aurora Prices for SecR'!AW9-'FY19 Aurora Prices for SecR'!AI9</f>
        <v>-0.0002789371588391987</v>
      </c>
      <c r="BB10" s="23">
        <f>'FY19 Aurora Prices for SecR'!AX9-'FY19 Aurora Prices for SecR'!AJ9</f>
        <v>1.1001897107230683</v>
      </c>
      <c r="BC10" s="23">
        <f>'FY19 Aurora Prices for SecR'!AY9-'FY19 Aurora Prices for SecR'!AK9</f>
        <v>1.0603977572533623</v>
      </c>
      <c r="BD10" s="23">
        <f>'FY19 Aurora Prices for SecR'!AZ9-'FY19 Aurora Prices for SecR'!AL9</f>
        <v>0.7310756189955558</v>
      </c>
      <c r="BE10" s="23">
        <f>'FY19 Aurora Prices for SecR'!BA9-'FY19 Aurora Prices for SecR'!AM9</f>
        <v>-0.21362909283684317</v>
      </c>
      <c r="BF10" s="23">
        <f>'FY19 Aurora Prices for SecR'!BB9-'FY19 Aurora Prices for SecR'!AN9</f>
        <v>0.2079266009792491</v>
      </c>
      <c r="BG10" s="24">
        <f>'FY19 Aurora Prices for SecR'!BC9-'FY19 Aurora Prices for SecR'!AO9</f>
        <v>-0.12148677825927123</v>
      </c>
      <c r="BI10" s="16">
        <v>1933</v>
      </c>
      <c r="BJ10" s="41">
        <f t="shared" si="17"/>
        <v>-9897.828345885006</v>
      </c>
      <c r="BK10" s="41">
        <f t="shared" si="18"/>
        <v>5057.283495368518</v>
      </c>
      <c r="BL10" s="41">
        <f t="shared" si="19"/>
        <v>-24654.447429113217</v>
      </c>
      <c r="BM10" s="41">
        <f t="shared" si="20"/>
        <v>21888.79496496532</v>
      </c>
      <c r="BN10" s="41">
        <f t="shared" si="21"/>
        <v>24096.42067086849</v>
      </c>
      <c r="BO10" s="41">
        <f t="shared" si="22"/>
        <v>-486.8933072645506</v>
      </c>
      <c r="BP10" s="41">
        <f t="shared" si="29"/>
        <v>881081.8112659066</v>
      </c>
      <c r="BQ10" s="41">
        <f t="shared" si="23"/>
        <v>1994615.5580391677</v>
      </c>
      <c r="BR10" s="41">
        <f t="shared" si="24"/>
        <v>3145423.4513371326</v>
      </c>
      <c r="BS10" s="41">
        <f t="shared" si="25"/>
        <v>-683580.1311763109</v>
      </c>
      <c r="BT10" s="41">
        <f t="shared" si="26"/>
        <v>358492.5953155746</v>
      </c>
      <c r="BU10" s="41">
        <f t="shared" si="27"/>
        <v>-43715.40353422044</v>
      </c>
      <c r="BV10" s="42">
        <f t="shared" si="28"/>
        <v>5668321.21129619</v>
      </c>
    </row>
    <row r="11" spans="2:74" ht="15">
      <c r="B11" s="16">
        <v>1934</v>
      </c>
      <c r="C11" s="33">
        <v>916.8825481606422</v>
      </c>
      <c r="D11" s="33">
        <v>2586.453759425111</v>
      </c>
      <c r="E11" s="33">
        <v>4319.562343379165</v>
      </c>
      <c r="F11" s="33">
        <v>4796.1527059532145</v>
      </c>
      <c r="G11" s="33">
        <v>4306.7668091357755</v>
      </c>
      <c r="H11" s="33">
        <v>4848.8872714990075</v>
      </c>
      <c r="I11" s="33">
        <v>4937.238474338242</v>
      </c>
      <c r="J11" s="33">
        <v>4104.029522531829</v>
      </c>
      <c r="K11" s="33">
        <v>3068.3047565730285</v>
      </c>
      <c r="L11" s="33">
        <v>1470.8318105653375</v>
      </c>
      <c r="M11" s="33">
        <v>309.63487974272164</v>
      </c>
      <c r="N11" s="33">
        <v>133.29446023925254</v>
      </c>
      <c r="O11" s="34">
        <f t="shared" si="2"/>
        <v>2975.340711361252</v>
      </c>
      <c r="Q11" s="16">
        <v>1934</v>
      </c>
      <c r="R11" s="33">
        <f>('FY19 Spill Cost'!C11-'FY19 Spill Cost'!T11)*(1-$S$3)</f>
        <v>0</v>
      </c>
      <c r="S11" s="33">
        <f>('FY19 Spill Cost'!D11-'FY19 Spill Cost'!U11)*(1-$S$3)</f>
        <v>0</v>
      </c>
      <c r="T11" s="33">
        <f>('FY19 Spill Cost'!E11-'FY19 Spill Cost'!V11)*(1-$S$3)</f>
        <v>0</v>
      </c>
      <c r="U11" s="33">
        <f>('FY19 Spill Cost'!F11-'FY19 Spill Cost'!W11)*(1-$S$3)</f>
        <v>0</v>
      </c>
      <c r="V11" s="33">
        <f>('FY19 Spill Cost'!G11-'FY19 Spill Cost'!X11)*(1-$S$3)</f>
        <v>0</v>
      </c>
      <c r="W11" s="33">
        <f>('FY19 Spill Cost'!H11-'FY19 Spill Cost'!Y11)*(1-$S$3)</f>
        <v>0</v>
      </c>
      <c r="X11" s="33">
        <f>(('FY19 Spill Cost'!I11-'FY19 Spill Cost'!Z11)*15/30+('FY19 Spill Cost'!J11-'FY19 Spill Cost'!AA11)*15/30)*(1-$S$3)</f>
        <v>487.537102</v>
      </c>
      <c r="Y11" s="33">
        <f>('FY19 Spill Cost'!K11-'FY19 Spill Cost'!AB11)*(1-$S$3)</f>
        <v>897.810004</v>
      </c>
      <c r="Z11" s="33">
        <f>('FY19 Spill Cost'!L11-'FY19 Spill Cost'!AC11)*(1-$S$3)</f>
        <v>421.08989</v>
      </c>
      <c r="AA11" s="33">
        <f>('FY19 Spill Cost'!M11-'FY19 Spill Cost'!AD11)*(1-$S$3)</f>
        <v>32.450964</v>
      </c>
      <c r="AB11" s="33">
        <f>(('FY19 Spill Cost'!N11-'FY19 Spill Cost'!AE11)*15/31+('FY19 Spill Cost'!O11-'FY19 Spill Cost'!AF11)*16/31)*(1-$S$3)</f>
        <v>86.78514335483871</v>
      </c>
      <c r="AC11" s="33">
        <f>('FY19 Spill Cost'!P11-'FY19 Spill Cost'!AG11)*(1-$S$3)</f>
        <v>0</v>
      </c>
      <c r="AD11" s="34">
        <f t="shared" si="3"/>
        <v>161.06092934794523</v>
      </c>
      <c r="AF11" s="16">
        <v>1934</v>
      </c>
      <c r="AG11" s="33">
        <f t="shared" si="4"/>
        <v>916.8825481606422</v>
      </c>
      <c r="AH11" s="33">
        <f t="shared" si="5"/>
        <v>2586.453759425111</v>
      </c>
      <c r="AI11" s="33">
        <f t="shared" si="6"/>
        <v>4319.562343379165</v>
      </c>
      <c r="AJ11" s="33">
        <f t="shared" si="7"/>
        <v>4796.1527059532145</v>
      </c>
      <c r="AK11" s="33">
        <f t="shared" si="8"/>
        <v>4306.7668091357755</v>
      </c>
      <c r="AL11" s="33">
        <f t="shared" si="9"/>
        <v>4848.8872714990075</v>
      </c>
      <c r="AM11" s="33">
        <f t="shared" si="10"/>
        <v>4449.7013723382415</v>
      </c>
      <c r="AN11" s="33">
        <f t="shared" si="11"/>
        <v>3206.2195185318287</v>
      </c>
      <c r="AO11" s="33">
        <f t="shared" si="12"/>
        <v>2647.2148665730283</v>
      </c>
      <c r="AP11" s="33">
        <f t="shared" si="13"/>
        <v>1438.3808465653374</v>
      </c>
      <c r="AQ11" s="33">
        <f t="shared" si="14"/>
        <v>222.84973638788293</v>
      </c>
      <c r="AR11" s="33">
        <f t="shared" si="15"/>
        <v>133.29446023925254</v>
      </c>
      <c r="AS11" s="34">
        <f t="shared" si="16"/>
        <v>2814.279782013307</v>
      </c>
      <c r="AT11" s="33"/>
      <c r="AU11" s="16">
        <v>1934</v>
      </c>
      <c r="AV11" s="23">
        <f>'FY19 Aurora Prices for SecR'!AR10-'FY19 Aurora Prices for SecR'!AD10</f>
        <v>-0.012181387409075484</v>
      </c>
      <c r="AW11" s="23">
        <f>'FY19 Aurora Prices for SecR'!AS10-'FY19 Aurora Prices for SecR'!AE10</f>
        <v>-0.009850515968715001</v>
      </c>
      <c r="AX11" s="23">
        <f>'FY19 Aurora Prices for SecR'!AT10-'FY19 Aurora Prices for SecR'!AF10</f>
        <v>0.04514946911925932</v>
      </c>
      <c r="AY11" s="23">
        <f>'FY19 Aurora Prices for SecR'!AU10-'FY19 Aurora Prices for SecR'!AG10</f>
        <v>0.25257366522340874</v>
      </c>
      <c r="AZ11" s="23">
        <f>'FY19 Aurora Prices for SecR'!AV10-'FY19 Aurora Prices for SecR'!AH10</f>
        <v>0.04584691524505757</v>
      </c>
      <c r="BA11" s="23">
        <f>'FY19 Aurora Prices for SecR'!AW10-'FY19 Aurora Prices for SecR'!AI10</f>
        <v>0.08310170422534213</v>
      </c>
      <c r="BB11" s="23">
        <f>'FY19 Aurora Prices for SecR'!AX10-'FY19 Aurora Prices for SecR'!AJ10</f>
        <v>1.039429396763449</v>
      </c>
      <c r="BC11" s="23">
        <f>'FY19 Aurora Prices for SecR'!AY10-'FY19 Aurora Prices for SecR'!AK10</f>
        <v>1.415622868012342</v>
      </c>
      <c r="BD11" s="23">
        <f>'FY19 Aurora Prices for SecR'!AZ10-'FY19 Aurora Prices for SecR'!AL10</f>
        <v>0.5314371797773028</v>
      </c>
      <c r="BE11" s="23">
        <f>'FY19 Aurora Prices for SecR'!BA10-'FY19 Aurora Prices for SecR'!AM10</f>
        <v>0.06151526410097219</v>
      </c>
      <c r="BF11" s="23">
        <f>'FY19 Aurora Prices for SecR'!BB10-'FY19 Aurora Prices for SecR'!AN10</f>
        <v>0.18603526007742133</v>
      </c>
      <c r="BG11" s="24">
        <f>'FY19 Aurora Prices for SecR'!BC10-'FY19 Aurora Prices for SecR'!AO10</f>
        <v>0.01446585019432689</v>
      </c>
      <c r="BI11" s="16">
        <v>1934</v>
      </c>
      <c r="BJ11" s="41">
        <f t="shared" si="17"/>
        <v>-8309.662736657228</v>
      </c>
      <c r="BK11" s="41">
        <f t="shared" si="18"/>
        <v>-18369.568826942763</v>
      </c>
      <c r="BL11" s="41">
        <f t="shared" si="19"/>
        <v>145099.3042935481</v>
      </c>
      <c r="BM11" s="41">
        <f t="shared" si="20"/>
        <v>901268.1097278472</v>
      </c>
      <c r="BN11" s="41">
        <f t="shared" si="21"/>
        <v>132687.72577446955</v>
      </c>
      <c r="BO11" s="41">
        <f t="shared" si="22"/>
        <v>299392.4413225956</v>
      </c>
      <c r="BP11" s="41">
        <f t="shared" si="29"/>
        <v>3330108.2975234613</v>
      </c>
      <c r="BQ11" s="41">
        <f t="shared" si="23"/>
        <v>3376865.466704076</v>
      </c>
      <c r="BR11" s="41">
        <f t="shared" si="24"/>
        <v>1012916.4501284056</v>
      </c>
      <c r="BS11" s="41">
        <f t="shared" si="25"/>
        <v>65830.88897475954</v>
      </c>
      <c r="BT11" s="41">
        <f t="shared" si="26"/>
        <v>30844.684048325813</v>
      </c>
      <c r="BU11" s="41">
        <f t="shared" si="27"/>
        <v>1388.3167393593762</v>
      </c>
      <c r="BV11" s="42">
        <f t="shared" si="28"/>
        <v>9269722.45367325</v>
      </c>
    </row>
    <row r="12" spans="2:74" ht="15">
      <c r="B12" s="16">
        <v>1935</v>
      </c>
      <c r="C12" s="33">
        <v>42.93099154740089</v>
      </c>
      <c r="D12" s="33">
        <v>-529.0966599707539</v>
      </c>
      <c r="E12" s="33">
        <v>-477.22099992927735</v>
      </c>
      <c r="F12" s="33">
        <v>1789.6809996781976</v>
      </c>
      <c r="G12" s="33">
        <v>1868.7072851567532</v>
      </c>
      <c r="H12" s="33">
        <v>2253.1961708117683</v>
      </c>
      <c r="I12" s="33">
        <v>1396.3557181423673</v>
      </c>
      <c r="J12" s="33">
        <v>2961.6976645180994</v>
      </c>
      <c r="K12" s="33">
        <v>2328.231630246436</v>
      </c>
      <c r="L12" s="33">
        <v>2859.7559879484174</v>
      </c>
      <c r="M12" s="33">
        <v>1415.7520594825417</v>
      </c>
      <c r="N12" s="33">
        <v>-148.1365312781026</v>
      </c>
      <c r="O12" s="34">
        <f t="shared" si="2"/>
        <v>1314.6522710312597</v>
      </c>
      <c r="Q12" s="16">
        <v>1935</v>
      </c>
      <c r="R12" s="33">
        <f>('FY19 Spill Cost'!C12-'FY19 Spill Cost'!T12)*(1-$S$3)</f>
        <v>0</v>
      </c>
      <c r="S12" s="33">
        <f>('FY19 Spill Cost'!D12-'FY19 Spill Cost'!U12)*(1-$S$3)</f>
        <v>0</v>
      </c>
      <c r="T12" s="33">
        <f>('FY19 Spill Cost'!E12-'FY19 Spill Cost'!V12)*(1-$S$3)</f>
        <v>0</v>
      </c>
      <c r="U12" s="33">
        <f>('FY19 Spill Cost'!F12-'FY19 Spill Cost'!W12)*(1-$S$3)</f>
        <v>0</v>
      </c>
      <c r="V12" s="33">
        <f>('FY19 Spill Cost'!G12-'FY19 Spill Cost'!X12)*(1-$S$3)</f>
        <v>0</v>
      </c>
      <c r="W12" s="33">
        <f>('FY19 Spill Cost'!H12-'FY19 Spill Cost'!Y12)*(1-$S$3)</f>
        <v>0</v>
      </c>
      <c r="X12" s="33">
        <f>(('FY19 Spill Cost'!I12-'FY19 Spill Cost'!Z12)*15/30+('FY19 Spill Cost'!J12-'FY19 Spill Cost'!AA12)*15/30)*(1-$S$3)</f>
        <v>889.3109420000001</v>
      </c>
      <c r="Y12" s="33">
        <f>('FY19 Spill Cost'!K12-'FY19 Spill Cost'!AB12)*(1-$S$3)</f>
        <v>1032.249712</v>
      </c>
      <c r="Z12" s="33">
        <f>('FY19 Spill Cost'!L12-'FY19 Spill Cost'!AC12)*(1-$S$3)</f>
        <v>636.657008</v>
      </c>
      <c r="AA12" s="33">
        <f>('FY19 Spill Cost'!M12-'FY19 Spill Cost'!AD12)*(1-$S$3)</f>
        <v>-13.907556000000001</v>
      </c>
      <c r="AB12" s="33">
        <f>(('FY19 Spill Cost'!N12-'FY19 Spill Cost'!AE12)*15/31+('FY19 Spill Cost'!O12-'FY19 Spill Cost'!AF12)*16/31)*(1-$S$3)</f>
        <v>118.11453025806453</v>
      </c>
      <c r="AC12" s="33">
        <f>('FY19 Spill Cost'!P12-'FY19 Spill Cost'!AG12)*(1-$S$3)</f>
        <v>0</v>
      </c>
      <c r="AD12" s="34">
        <f t="shared" si="3"/>
        <v>221.94300212054796</v>
      </c>
      <c r="AF12" s="16">
        <v>1935</v>
      </c>
      <c r="AG12" s="33">
        <f t="shared" si="4"/>
        <v>42.93099154740089</v>
      </c>
      <c r="AH12" s="33">
        <f t="shared" si="5"/>
        <v>-529.0966599707539</v>
      </c>
      <c r="AI12" s="33">
        <f t="shared" si="6"/>
        <v>-477.22099992927735</v>
      </c>
      <c r="AJ12" s="33">
        <f t="shared" si="7"/>
        <v>1789.6809996781976</v>
      </c>
      <c r="AK12" s="33">
        <f t="shared" si="8"/>
        <v>1868.7072851567532</v>
      </c>
      <c r="AL12" s="33">
        <f t="shared" si="9"/>
        <v>2253.1961708117683</v>
      </c>
      <c r="AM12" s="33">
        <f t="shared" si="10"/>
        <v>507.04477614236725</v>
      </c>
      <c r="AN12" s="33">
        <f t="shared" si="11"/>
        <v>1929.4479525180993</v>
      </c>
      <c r="AO12" s="33">
        <f t="shared" si="12"/>
        <v>1691.5746222464359</v>
      </c>
      <c r="AP12" s="33">
        <f t="shared" si="13"/>
        <v>2873.6635439484176</v>
      </c>
      <c r="AQ12" s="33">
        <f t="shared" si="14"/>
        <v>1297.637529224477</v>
      </c>
      <c r="AR12" s="33">
        <f t="shared" si="15"/>
        <v>-148.1365312781026</v>
      </c>
      <c r="AS12" s="34">
        <f t="shared" si="16"/>
        <v>1092.7092689107117</v>
      </c>
      <c r="AT12" s="33"/>
      <c r="AU12" s="16">
        <v>1935</v>
      </c>
      <c r="AV12" s="23">
        <f>'FY19 Aurora Prices for SecR'!AR11-'FY19 Aurora Prices for SecR'!AD11</f>
        <v>-0.023810874262153447</v>
      </c>
      <c r="AW12" s="23">
        <f>'FY19 Aurora Prices for SecR'!AS11-'FY19 Aurora Prices for SecR'!AE11</f>
        <v>0.005366331330645124</v>
      </c>
      <c r="AX12" s="23">
        <f>'FY19 Aurora Prices for SecR'!AT11-'FY19 Aurora Prices for SecR'!AF11</f>
        <v>-0.02357460298841829</v>
      </c>
      <c r="AY12" s="23">
        <f>'FY19 Aurora Prices for SecR'!AU11-'FY19 Aurora Prices for SecR'!AG11</f>
        <v>0.0029412633629561924</v>
      </c>
      <c r="AZ12" s="23">
        <f>'FY19 Aurora Prices for SecR'!AV11-'FY19 Aurora Prices for SecR'!AH11</f>
        <v>0.005659740311706685</v>
      </c>
      <c r="BA12" s="23">
        <f>'FY19 Aurora Prices for SecR'!AW11-'FY19 Aurora Prices for SecR'!AI11</f>
        <v>0.010831236229563501</v>
      </c>
      <c r="BB12" s="23">
        <f>'FY19 Aurora Prices for SecR'!AX11-'FY19 Aurora Prices for SecR'!AJ11</f>
        <v>1.3874736796485223</v>
      </c>
      <c r="BC12" s="23">
        <f>'FY19 Aurora Prices for SecR'!AY11-'FY19 Aurora Prices for SecR'!AK11</f>
        <v>1.011733044091116</v>
      </c>
      <c r="BD12" s="23">
        <f>'FY19 Aurora Prices for SecR'!AZ11-'FY19 Aurora Prices for SecR'!AL11</f>
        <v>0.629153002632961</v>
      </c>
      <c r="BE12" s="23">
        <f>'FY19 Aurora Prices for SecR'!BA11-'FY19 Aurora Prices for SecR'!AM11</f>
        <v>-0.09396483129065913</v>
      </c>
      <c r="BF12" s="23">
        <f>'FY19 Aurora Prices for SecR'!BB11-'FY19 Aurora Prices for SecR'!AN11</f>
        <v>0.1768888611946835</v>
      </c>
      <c r="BG12" s="24">
        <f>'FY19 Aurora Prices for SecR'!BC11-'FY19 Aurora Prices for SecR'!AO11</f>
        <v>-0.029422596295635373</v>
      </c>
      <c r="BI12" s="16">
        <v>1935</v>
      </c>
      <c r="BJ12" s="41">
        <f t="shared" si="17"/>
        <v>-760.5349846134429</v>
      </c>
      <c r="BK12" s="41">
        <f t="shared" si="18"/>
        <v>-2047.1410559886783</v>
      </c>
      <c r="BL12" s="41">
        <f t="shared" si="19"/>
        <v>8370.219934635119</v>
      </c>
      <c r="BM12" s="41">
        <f t="shared" si="20"/>
        <v>3916.358827864828</v>
      </c>
      <c r="BN12" s="41">
        <f t="shared" si="21"/>
        <v>7107.339424134859</v>
      </c>
      <c r="BO12" s="41">
        <f t="shared" si="22"/>
        <v>18132.84069822436</v>
      </c>
      <c r="BP12" s="41">
        <f t="shared" si="29"/>
        <v>506528.1225365843</v>
      </c>
      <c r="BQ12" s="41">
        <f t="shared" si="23"/>
        <v>1452352.170309882</v>
      </c>
      <c r="BR12" s="41">
        <f t="shared" si="24"/>
        <v>766266.6619901246</v>
      </c>
      <c r="BS12" s="41">
        <f t="shared" si="25"/>
        <v>-200897.3427093636</v>
      </c>
      <c r="BT12" s="41">
        <f t="shared" si="26"/>
        <v>170775.99284227242</v>
      </c>
      <c r="BU12" s="41">
        <f t="shared" si="27"/>
        <v>3138.16417663059</v>
      </c>
      <c r="BV12" s="42">
        <f t="shared" si="28"/>
        <v>2732882.851990388</v>
      </c>
    </row>
    <row r="13" spans="2:74" ht="15">
      <c r="B13" s="16">
        <v>1936</v>
      </c>
      <c r="C13" s="33">
        <v>231.96807120513336</v>
      </c>
      <c r="D13" s="33">
        <v>205.3599389340239</v>
      </c>
      <c r="E13" s="33">
        <v>-768.0023305229273</v>
      </c>
      <c r="F13" s="33">
        <v>-1422.6156358493695</v>
      </c>
      <c r="G13" s="33">
        <v>-657.797227237394</v>
      </c>
      <c r="H13" s="33">
        <v>127.35231712428438</v>
      </c>
      <c r="I13" s="33">
        <v>2400.8104797023498</v>
      </c>
      <c r="J13" s="33">
        <v>5476.818957536561</v>
      </c>
      <c r="K13" s="33">
        <v>4116.653297353693</v>
      </c>
      <c r="L13" s="33">
        <v>1375.9655653659333</v>
      </c>
      <c r="M13" s="33">
        <v>554.2485472101455</v>
      </c>
      <c r="N13" s="33">
        <v>199.6865313812592</v>
      </c>
      <c r="O13" s="34">
        <f t="shared" si="2"/>
        <v>992.0768099458378</v>
      </c>
      <c r="Q13" s="16">
        <v>1936</v>
      </c>
      <c r="R13" s="33">
        <f>('FY19 Spill Cost'!C13-'FY19 Spill Cost'!T13)*(1-$S$3)</f>
        <v>0</v>
      </c>
      <c r="S13" s="33">
        <f>('FY19 Spill Cost'!D13-'FY19 Spill Cost'!U13)*(1-$S$3)</f>
        <v>0</v>
      </c>
      <c r="T13" s="33">
        <f>('FY19 Spill Cost'!E13-'FY19 Spill Cost'!V13)*(1-$S$3)</f>
        <v>0</v>
      </c>
      <c r="U13" s="33">
        <f>('FY19 Spill Cost'!F13-'FY19 Spill Cost'!W13)*(1-$S$3)</f>
        <v>0</v>
      </c>
      <c r="V13" s="33">
        <f>('FY19 Spill Cost'!G13-'FY19 Spill Cost'!X13)*(1-$S$3)</f>
        <v>0</v>
      </c>
      <c r="W13" s="33">
        <f>('FY19 Spill Cost'!H13-'FY19 Spill Cost'!Y13)*(1-$S$3)</f>
        <v>0</v>
      </c>
      <c r="X13" s="33">
        <f>(('FY19 Spill Cost'!I13-'FY19 Spill Cost'!Z13)*15/30+('FY19 Spill Cost'!J13-'FY19 Spill Cost'!AA13)*15/30)*(1-$S$3)</f>
        <v>807.7972110000001</v>
      </c>
      <c r="Y13" s="33">
        <f>('FY19 Spill Cost'!K13-'FY19 Spill Cost'!AB13)*(1-$S$3)</f>
        <v>831.362792</v>
      </c>
      <c r="Z13" s="33">
        <f>('FY19 Spill Cost'!L13-'FY19 Spill Cost'!AC13)*(1-$S$3)</f>
        <v>542.394684</v>
      </c>
      <c r="AA13" s="33">
        <f>('FY19 Spill Cost'!M13-'FY19 Spill Cost'!AD13)*(1-$S$3)</f>
        <v>-26.269828</v>
      </c>
      <c r="AB13" s="33">
        <f>(('FY19 Spill Cost'!N13-'FY19 Spill Cost'!AE13)*15/31+('FY19 Spill Cost'!O13-'FY19 Spill Cost'!AF13)*16/31)*(1-$S$3)</f>
        <v>96.10669522580646</v>
      </c>
      <c r="AC13" s="33">
        <f>('FY19 Spill Cost'!P13-'FY19 Spill Cost'!AG13)*(1-$S$3)</f>
        <v>0</v>
      </c>
      <c r="AD13" s="34">
        <f t="shared" si="3"/>
        <v>187.51492133150686</v>
      </c>
      <c r="AF13" s="16">
        <v>1936</v>
      </c>
      <c r="AG13" s="33">
        <f t="shared" si="4"/>
        <v>231.96807120513336</v>
      </c>
      <c r="AH13" s="33">
        <f t="shared" si="5"/>
        <v>205.3599389340239</v>
      </c>
      <c r="AI13" s="33">
        <f t="shared" si="6"/>
        <v>-768.0023305229273</v>
      </c>
      <c r="AJ13" s="33">
        <f t="shared" si="7"/>
        <v>-1422.6156358493695</v>
      </c>
      <c r="AK13" s="33">
        <f t="shared" si="8"/>
        <v>-657.797227237394</v>
      </c>
      <c r="AL13" s="33">
        <f t="shared" si="9"/>
        <v>127.35231712428438</v>
      </c>
      <c r="AM13" s="33">
        <f t="shared" si="10"/>
        <v>1593.0132687023497</v>
      </c>
      <c r="AN13" s="33">
        <f t="shared" si="11"/>
        <v>4645.4561655365615</v>
      </c>
      <c r="AO13" s="33">
        <f t="shared" si="12"/>
        <v>3574.2586133536934</v>
      </c>
      <c r="AP13" s="33">
        <f t="shared" si="13"/>
        <v>1402.2353933659333</v>
      </c>
      <c r="AQ13" s="33">
        <f t="shared" si="14"/>
        <v>458.14185198433904</v>
      </c>
      <c r="AR13" s="33">
        <f t="shared" si="15"/>
        <v>199.6865313812592</v>
      </c>
      <c r="AS13" s="34">
        <f t="shared" si="16"/>
        <v>804.5618886143308</v>
      </c>
      <c r="AT13" s="33"/>
      <c r="AU13" s="16">
        <v>1936</v>
      </c>
      <c r="AV13" s="23">
        <f>'FY19 Aurora Prices for SecR'!AR12-'FY19 Aurora Prices for SecR'!AD12</f>
        <v>0.005729377654269285</v>
      </c>
      <c r="AW13" s="23">
        <f>'FY19 Aurora Prices for SecR'!AS12-'FY19 Aurora Prices for SecR'!AE12</f>
        <v>0.007153648278613645</v>
      </c>
      <c r="AX13" s="23">
        <f>'FY19 Aurora Prices for SecR'!AT12-'FY19 Aurora Prices for SecR'!AF12</f>
        <v>-0.03505870449924231</v>
      </c>
      <c r="AY13" s="23">
        <f>'FY19 Aurora Prices for SecR'!AU12-'FY19 Aurora Prices for SecR'!AG12</f>
        <v>0.03333846317823941</v>
      </c>
      <c r="AZ13" s="23">
        <f>'FY19 Aurora Prices for SecR'!AV12-'FY19 Aurora Prices for SecR'!AH12</f>
        <v>-0.0028761386871423156</v>
      </c>
      <c r="BA13" s="23">
        <f>'FY19 Aurora Prices for SecR'!AW12-'FY19 Aurora Prices for SecR'!AI12</f>
        <v>0.05362949326412547</v>
      </c>
      <c r="BB13" s="23">
        <f>'FY19 Aurora Prices for SecR'!AX12-'FY19 Aurora Prices for SecR'!AJ12</f>
        <v>0.8952939658694881</v>
      </c>
      <c r="BC13" s="23">
        <f>'FY19 Aurora Prices for SecR'!AY12-'FY19 Aurora Prices for SecR'!AK12</f>
        <v>2.700237185035334</v>
      </c>
      <c r="BD13" s="23">
        <f>'FY19 Aurora Prices for SecR'!AZ12-'FY19 Aurora Prices for SecR'!AL12</f>
        <v>1.3474214633306048</v>
      </c>
      <c r="BE13" s="23">
        <f>'FY19 Aurora Prices for SecR'!BA12-'FY19 Aurora Prices for SecR'!AM12</f>
        <v>0.02477292655617802</v>
      </c>
      <c r="BF13" s="23">
        <f>'FY19 Aurora Prices for SecR'!BB12-'FY19 Aurora Prices for SecR'!AN12</f>
        <v>0.16444811205704823</v>
      </c>
      <c r="BG13" s="24">
        <f>'FY19 Aurora Prices for SecR'!BC12-'FY19 Aurora Prices for SecR'!AO12</f>
        <v>-0.02758118788398889</v>
      </c>
      <c r="BI13" s="16">
        <v>1936</v>
      </c>
      <c r="BJ13" s="41">
        <f t="shared" si="17"/>
        <v>988.8003166479783</v>
      </c>
      <c r="BK13" s="41">
        <f t="shared" si="18"/>
        <v>1059.2014698027915</v>
      </c>
      <c r="BL13" s="41">
        <f t="shared" si="19"/>
        <v>20032.32406983635</v>
      </c>
      <c r="BM13" s="41">
        <f t="shared" si="20"/>
        <v>-35286.297330458576</v>
      </c>
      <c r="BN13" s="41">
        <f t="shared" si="21"/>
        <v>1271.3675879872221</v>
      </c>
      <c r="BO13" s="41">
        <f t="shared" si="22"/>
        <v>5074.5712934069725</v>
      </c>
      <c r="BP13" s="41">
        <f t="shared" si="29"/>
        <v>1026874.9202538551</v>
      </c>
      <c r="BQ13" s="41">
        <f t="shared" si="23"/>
        <v>9332612.10884731</v>
      </c>
      <c r="BR13" s="41">
        <f t="shared" si="24"/>
        <v>3467543.5952114775</v>
      </c>
      <c r="BS13" s="41">
        <f t="shared" si="25"/>
        <v>25844.68096425978</v>
      </c>
      <c r="BT13" s="41">
        <f t="shared" si="26"/>
        <v>56053.37858417928</v>
      </c>
      <c r="BU13" s="41">
        <f t="shared" si="27"/>
        <v>-3965.4660527485585</v>
      </c>
      <c r="BV13" s="42">
        <f t="shared" si="28"/>
        <v>13898103.185215557</v>
      </c>
    </row>
    <row r="14" spans="2:74" ht="15">
      <c r="B14" s="16">
        <v>1937</v>
      </c>
      <c r="C14" s="33">
        <v>187.33045408256805</v>
      </c>
      <c r="D14" s="33">
        <v>484.83430640921944</v>
      </c>
      <c r="E14" s="33">
        <v>-471.85697678551</v>
      </c>
      <c r="F14" s="33">
        <v>-1726.6895215969187</v>
      </c>
      <c r="G14" s="33">
        <v>-1020.5309513424642</v>
      </c>
      <c r="H14" s="33">
        <v>-267.78697447258725</v>
      </c>
      <c r="I14" s="33">
        <v>115.46730183660422</v>
      </c>
      <c r="J14" s="33">
        <v>2320.300605658946</v>
      </c>
      <c r="K14" s="33">
        <v>956.8203709747377</v>
      </c>
      <c r="L14" s="33">
        <v>-174.98390936068006</v>
      </c>
      <c r="M14" s="33">
        <v>476.11122204695795</v>
      </c>
      <c r="N14" s="33">
        <v>190.28957351932428</v>
      </c>
      <c r="O14" s="34">
        <f t="shared" si="2"/>
        <v>94.50413986685032</v>
      </c>
      <c r="Q14" s="16">
        <v>1937</v>
      </c>
      <c r="R14" s="33">
        <f>('FY19 Spill Cost'!C14-'FY19 Spill Cost'!T14)*(1-$S$3)</f>
        <v>0</v>
      </c>
      <c r="S14" s="33">
        <f>('FY19 Spill Cost'!D14-'FY19 Spill Cost'!U14)*(1-$S$3)</f>
        <v>0</v>
      </c>
      <c r="T14" s="33">
        <f>('FY19 Spill Cost'!E14-'FY19 Spill Cost'!V14)*(1-$S$3)</f>
        <v>0</v>
      </c>
      <c r="U14" s="33">
        <f>('FY19 Spill Cost'!F14-'FY19 Spill Cost'!W14)*(1-$S$3)</f>
        <v>0</v>
      </c>
      <c r="V14" s="33">
        <f>('FY19 Spill Cost'!G14-'FY19 Spill Cost'!X14)*(1-$S$3)</f>
        <v>0</v>
      </c>
      <c r="W14" s="33">
        <f>('FY19 Spill Cost'!H14-'FY19 Spill Cost'!Y14)*(1-$S$3)</f>
        <v>0</v>
      </c>
      <c r="X14" s="33">
        <f>(('FY19 Spill Cost'!I14-'FY19 Spill Cost'!Z14)*15/30+('FY19 Spill Cost'!J14-'FY19 Spill Cost'!AA14)*15/30)*(1-$S$3)</f>
        <v>642.451823</v>
      </c>
      <c r="Y14" s="33">
        <f>('FY19 Spill Cost'!K14-'FY19 Spill Cost'!AB14)*(1-$S$3)</f>
        <v>1125.7393940000002</v>
      </c>
      <c r="Z14" s="33">
        <f>('FY19 Spill Cost'!L14-'FY19 Spill Cost'!AC14)*(1-$S$3)</f>
        <v>672.1985400000001</v>
      </c>
      <c r="AA14" s="33">
        <f>('FY19 Spill Cost'!M14-'FY19 Spill Cost'!AD14)*(1-$S$3)</f>
        <v>-16.225482</v>
      </c>
      <c r="AB14" s="33">
        <f>(('FY19 Spill Cost'!N14-'FY19 Spill Cost'!AE14)*15/31+('FY19 Spill Cost'!O14-'FY19 Spill Cost'!AF14)*16/31)*(1-$S$3)</f>
        <v>89.00337361290323</v>
      </c>
      <c r="AC14" s="33">
        <f>('FY19 Spill Cost'!P14-'FY19 Spill Cost'!AG14)*(1-$S$3)</f>
        <v>0</v>
      </c>
      <c r="AD14" s="34">
        <f t="shared" si="3"/>
        <v>209.84533354520553</v>
      </c>
      <c r="AF14" s="16">
        <v>1937</v>
      </c>
      <c r="AG14" s="33">
        <f t="shared" si="4"/>
        <v>187.33045408256805</v>
      </c>
      <c r="AH14" s="33">
        <f t="shared" si="5"/>
        <v>484.83430640921944</v>
      </c>
      <c r="AI14" s="33">
        <f t="shared" si="6"/>
        <v>-471.85697678551</v>
      </c>
      <c r="AJ14" s="33">
        <f t="shared" si="7"/>
        <v>-1726.6895215969187</v>
      </c>
      <c r="AK14" s="33">
        <f t="shared" si="8"/>
        <v>-1020.5309513424642</v>
      </c>
      <c r="AL14" s="33">
        <f t="shared" si="9"/>
        <v>-267.78697447258725</v>
      </c>
      <c r="AM14" s="33">
        <f t="shared" si="10"/>
        <v>-526.9845211633958</v>
      </c>
      <c r="AN14" s="33">
        <f t="shared" si="11"/>
        <v>1194.561211658946</v>
      </c>
      <c r="AO14" s="33">
        <f t="shared" si="12"/>
        <v>284.6218309747376</v>
      </c>
      <c r="AP14" s="33">
        <f t="shared" si="13"/>
        <v>-158.75842736068006</v>
      </c>
      <c r="AQ14" s="33">
        <f t="shared" si="14"/>
        <v>387.10784843405474</v>
      </c>
      <c r="AR14" s="33">
        <f t="shared" si="15"/>
        <v>190.28957351932428</v>
      </c>
      <c r="AS14" s="34">
        <f t="shared" si="16"/>
        <v>-115.34119367835522</v>
      </c>
      <c r="AT14" s="33"/>
      <c r="AU14" s="16">
        <v>1937</v>
      </c>
      <c r="AV14" s="23">
        <f>'FY19 Aurora Prices for SecR'!AR13-'FY19 Aurora Prices for SecR'!AD13</f>
        <v>0.01216042041780696</v>
      </c>
      <c r="AW14" s="23">
        <f>'FY19 Aurora Prices for SecR'!AS13-'FY19 Aurora Prices for SecR'!AE13</f>
        <v>-0.001411070605389142</v>
      </c>
      <c r="AX14" s="23">
        <f>'FY19 Aurora Prices for SecR'!AT13-'FY19 Aurora Prices for SecR'!AF13</f>
        <v>0.03718116770512481</v>
      </c>
      <c r="AY14" s="23">
        <f>'FY19 Aurora Prices for SecR'!AU13-'FY19 Aurora Prices for SecR'!AG13</f>
        <v>0.013560786298484118</v>
      </c>
      <c r="AZ14" s="23">
        <f>'FY19 Aurora Prices for SecR'!AV13-'FY19 Aurora Prices for SecR'!AH13</f>
        <v>-0.005929701668890175</v>
      </c>
      <c r="BA14" s="23">
        <f>'FY19 Aurora Prices for SecR'!AW13-'FY19 Aurora Prices for SecR'!AI13</f>
        <v>0.022070142077300403</v>
      </c>
      <c r="BB14" s="23">
        <f>'FY19 Aurora Prices for SecR'!AX13-'FY19 Aurora Prices for SecR'!AJ13</f>
        <v>1.255539278454254</v>
      </c>
      <c r="BC14" s="23">
        <f>'FY19 Aurora Prices for SecR'!AY13-'FY19 Aurora Prices for SecR'!AK13</f>
        <v>0.9824855153278342</v>
      </c>
      <c r="BD14" s="23">
        <f>'FY19 Aurora Prices for SecR'!AZ13-'FY19 Aurora Prices for SecR'!AL13</f>
        <v>0.5582286145951727</v>
      </c>
      <c r="BE14" s="23">
        <f>'FY19 Aurora Prices for SecR'!BA13-'FY19 Aurora Prices for SecR'!AM13</f>
        <v>-0.15278010060710656</v>
      </c>
      <c r="BF14" s="23">
        <f>'FY19 Aurora Prices for SecR'!BB13-'FY19 Aurora Prices for SecR'!AN13</f>
        <v>0.11995974048494418</v>
      </c>
      <c r="BG14" s="24">
        <f>'FY19 Aurora Prices for SecR'!BC13-'FY19 Aurora Prices for SecR'!AO13</f>
        <v>-0.013093965848273825</v>
      </c>
      <c r="BI14" s="16">
        <v>1937</v>
      </c>
      <c r="BJ14" s="41">
        <f t="shared" si="17"/>
        <v>1694.8447065548162</v>
      </c>
      <c r="BK14" s="41">
        <f t="shared" si="18"/>
        <v>-493.2616509842214</v>
      </c>
      <c r="BL14" s="41">
        <f t="shared" si="19"/>
        <v>-13052.879879701253</v>
      </c>
      <c r="BM14" s="41">
        <f t="shared" si="20"/>
        <v>-17420.959099018448</v>
      </c>
      <c r="BN14" s="41">
        <f t="shared" si="21"/>
        <v>4066.570425341416</v>
      </c>
      <c r="BO14" s="41">
        <f t="shared" si="22"/>
        <v>-4391.20175378389</v>
      </c>
      <c r="BP14" s="41">
        <f t="shared" si="29"/>
        <v>-476387.8311297964</v>
      </c>
      <c r="BQ14" s="41">
        <f t="shared" si="23"/>
        <v>873187.4811947718</v>
      </c>
      <c r="BR14" s="41">
        <f t="shared" si="24"/>
        <v>114396.5162797698</v>
      </c>
      <c r="BS14" s="41">
        <f t="shared" si="25"/>
        <v>18045.815607266693</v>
      </c>
      <c r="BT14" s="41">
        <f t="shared" si="26"/>
        <v>34549.39363614873</v>
      </c>
      <c r="BU14" s="41">
        <f t="shared" si="27"/>
        <v>-1793.9845274001289</v>
      </c>
      <c r="BV14" s="42">
        <f t="shared" si="28"/>
        <v>532400.5038091689</v>
      </c>
    </row>
    <row r="15" spans="2:74" ht="15">
      <c r="B15" s="16">
        <v>1938</v>
      </c>
      <c r="C15" s="33">
        <v>208.2769041484547</v>
      </c>
      <c r="D15" s="33">
        <v>375.22731533024455</v>
      </c>
      <c r="E15" s="33">
        <v>393.72699706969047</v>
      </c>
      <c r="F15" s="33">
        <v>1405.7169548433192</v>
      </c>
      <c r="G15" s="33">
        <v>1917.8725151283375</v>
      </c>
      <c r="H15" s="33">
        <v>2512.699470771697</v>
      </c>
      <c r="I15" s="33">
        <v>4543.425019199335</v>
      </c>
      <c r="J15" s="33">
        <v>4996.125315335177</v>
      </c>
      <c r="K15" s="33">
        <v>3372.028235061477</v>
      </c>
      <c r="L15" s="33">
        <v>2385.2346533402733</v>
      </c>
      <c r="M15" s="33">
        <v>180.36044166442338</v>
      </c>
      <c r="N15" s="33">
        <v>475.9272010783193</v>
      </c>
      <c r="O15" s="34">
        <f t="shared" si="2"/>
        <v>1893.5779864554213</v>
      </c>
      <c r="Q15" s="16">
        <v>1938</v>
      </c>
      <c r="R15" s="33">
        <f>('FY19 Spill Cost'!C15-'FY19 Spill Cost'!T15)*(1-$S$3)</f>
        <v>0</v>
      </c>
      <c r="S15" s="33">
        <f>('FY19 Spill Cost'!D15-'FY19 Spill Cost'!U15)*(1-$S$3)</f>
        <v>0</v>
      </c>
      <c r="T15" s="33">
        <f>('FY19 Spill Cost'!E15-'FY19 Spill Cost'!V15)*(1-$S$3)</f>
        <v>0</v>
      </c>
      <c r="U15" s="33">
        <f>('FY19 Spill Cost'!F15-'FY19 Spill Cost'!W15)*(1-$S$3)</f>
        <v>0</v>
      </c>
      <c r="V15" s="33">
        <f>('FY19 Spill Cost'!G15-'FY19 Spill Cost'!X15)*(1-$S$3)</f>
        <v>0</v>
      </c>
      <c r="W15" s="33">
        <f>('FY19 Spill Cost'!H15-'FY19 Spill Cost'!Y15)*(1-$S$3)</f>
        <v>0</v>
      </c>
      <c r="X15" s="33">
        <f>(('FY19 Spill Cost'!I15-'FY19 Spill Cost'!Z15)*15/30+('FY19 Spill Cost'!J15-'FY19 Spill Cost'!AA15)*15/30)*(1-$S$3)</f>
        <v>589.9121670000001</v>
      </c>
      <c r="Y15" s="33">
        <f>('FY19 Spill Cost'!K15-'FY19 Spill Cost'!AB15)*(1-$S$3)</f>
        <v>709.2853560000001</v>
      </c>
      <c r="Z15" s="33">
        <f>('FY19 Spill Cost'!L15-'FY19 Spill Cost'!AC15)*(1-$S$3)</f>
        <v>556.30224</v>
      </c>
      <c r="AA15" s="33">
        <f>('FY19 Spill Cost'!M15-'FY19 Spill Cost'!AD15)*(1-$S$3)</f>
        <v>-63.356644</v>
      </c>
      <c r="AB15" s="33">
        <f>(('FY19 Spill Cost'!N15-'FY19 Spill Cost'!AE15)*15/31+('FY19 Spill Cost'!O15-'FY19 Spill Cost'!AF15)*16/31)*(1-$S$3)</f>
        <v>94.96019419354839</v>
      </c>
      <c r="AC15" s="33">
        <f>('FY19 Spill Cost'!P15-'FY19 Spill Cost'!AG15)*(1-$S$3)</f>
        <v>0</v>
      </c>
      <c r="AD15" s="34">
        <f t="shared" si="3"/>
        <v>157.1342145260274</v>
      </c>
      <c r="AF15" s="16">
        <v>1938</v>
      </c>
      <c r="AG15" s="33">
        <f t="shared" si="4"/>
        <v>208.2769041484547</v>
      </c>
      <c r="AH15" s="33">
        <f t="shared" si="5"/>
        <v>375.22731533024455</v>
      </c>
      <c r="AI15" s="33">
        <f t="shared" si="6"/>
        <v>393.72699706969047</v>
      </c>
      <c r="AJ15" s="33">
        <f t="shared" si="7"/>
        <v>1405.7169548433192</v>
      </c>
      <c r="AK15" s="33">
        <f t="shared" si="8"/>
        <v>1917.8725151283375</v>
      </c>
      <c r="AL15" s="33">
        <f t="shared" si="9"/>
        <v>2512.699470771697</v>
      </c>
      <c r="AM15" s="33">
        <f t="shared" si="10"/>
        <v>3953.512852199335</v>
      </c>
      <c r="AN15" s="33">
        <f t="shared" si="11"/>
        <v>4286.839959335177</v>
      </c>
      <c r="AO15" s="33">
        <f t="shared" si="12"/>
        <v>2815.725995061477</v>
      </c>
      <c r="AP15" s="33">
        <f t="shared" si="13"/>
        <v>2448.5912973402733</v>
      </c>
      <c r="AQ15" s="33">
        <f t="shared" si="14"/>
        <v>85.40024747087499</v>
      </c>
      <c r="AR15" s="33">
        <f t="shared" si="15"/>
        <v>475.9272010783193</v>
      </c>
      <c r="AS15" s="34">
        <f t="shared" si="16"/>
        <v>1736.4437719293937</v>
      </c>
      <c r="AT15" s="33"/>
      <c r="AU15" s="16">
        <v>1938</v>
      </c>
      <c r="AV15" s="23">
        <f>'FY19 Aurora Prices for SecR'!AR14-'FY19 Aurora Prices for SecR'!AD14</f>
        <v>-0.0082821030771143</v>
      </c>
      <c r="AW15" s="23">
        <f>'FY19 Aurora Prices for SecR'!AS14-'FY19 Aurora Prices for SecR'!AE14</f>
        <v>-0.029770319008800783</v>
      </c>
      <c r="AX15" s="23">
        <f>'FY19 Aurora Prices for SecR'!AT14-'FY19 Aurora Prices for SecR'!AF14</f>
        <v>0.02294196467244447</v>
      </c>
      <c r="AY15" s="23">
        <f>'FY19 Aurora Prices for SecR'!AU14-'FY19 Aurora Prices for SecR'!AG14</f>
        <v>-0.010364843183971573</v>
      </c>
      <c r="AZ15" s="23">
        <f>'FY19 Aurora Prices for SecR'!AV14-'FY19 Aurora Prices for SecR'!AH14</f>
        <v>-0.007248779705633979</v>
      </c>
      <c r="BA15" s="23">
        <f>'FY19 Aurora Prices for SecR'!AW14-'FY19 Aurora Prices for SecR'!AI14</f>
        <v>0.017334289570044348</v>
      </c>
      <c r="BB15" s="23">
        <f>'FY19 Aurora Prices for SecR'!AX14-'FY19 Aurora Prices for SecR'!AJ14</f>
        <v>1.0510670985115809</v>
      </c>
      <c r="BC15" s="23">
        <f>'FY19 Aurora Prices for SecR'!AY14-'FY19 Aurora Prices for SecR'!AK14</f>
        <v>2.5339266216442606</v>
      </c>
      <c r="BD15" s="23">
        <f>'FY19 Aurora Prices for SecR'!AZ14-'FY19 Aurora Prices for SecR'!AL14</f>
        <v>0.7610224273470223</v>
      </c>
      <c r="BE15" s="23">
        <f>'FY19 Aurora Prices for SecR'!BA14-'FY19 Aurora Prices for SecR'!AM14</f>
        <v>-0.038346737687344756</v>
      </c>
      <c r="BF15" s="23">
        <f>'FY19 Aurora Prices for SecR'!BB14-'FY19 Aurora Prices for SecR'!AN14</f>
        <v>0.19131134940730732</v>
      </c>
      <c r="BG15" s="24">
        <f>'FY19 Aurora Prices for SecR'!BC14-'FY19 Aurora Prices for SecR'!AO14</f>
        <v>0.03992577234908978</v>
      </c>
      <c r="BI15" s="16">
        <v>1938</v>
      </c>
      <c r="BJ15" s="41">
        <f t="shared" si="17"/>
        <v>-1283.378266822379</v>
      </c>
      <c r="BK15" s="41">
        <f t="shared" si="18"/>
        <v>-8054.029189180228</v>
      </c>
      <c r="BL15" s="41">
        <f t="shared" si="19"/>
        <v>6720.455917876202</v>
      </c>
      <c r="BM15" s="41">
        <f t="shared" si="20"/>
        <v>-10840.106633712783</v>
      </c>
      <c r="BN15" s="41">
        <f t="shared" si="21"/>
        <v>-9342.302165720488</v>
      </c>
      <c r="BO15" s="41">
        <f t="shared" si="22"/>
        <v>32362.004150038363</v>
      </c>
      <c r="BP15" s="41">
        <f t="shared" si="29"/>
        <v>2991893.2433923674</v>
      </c>
      <c r="BQ15" s="41">
        <f t="shared" si="23"/>
        <v>8081728.1943917265</v>
      </c>
      <c r="BR15" s="41">
        <f t="shared" si="24"/>
        <v>1542838.0546841724</v>
      </c>
      <c r="BS15" s="41">
        <f t="shared" si="25"/>
        <v>-69858.24320787124</v>
      </c>
      <c r="BT15" s="41">
        <f t="shared" si="26"/>
        <v>12155.499218028082</v>
      </c>
      <c r="BU15" s="41">
        <f t="shared" si="27"/>
        <v>13681.267981194565</v>
      </c>
      <c r="BV15" s="42">
        <f t="shared" si="28"/>
        <v>12582000.660272095</v>
      </c>
    </row>
    <row r="16" spans="2:74" ht="15">
      <c r="B16" s="16">
        <v>1939</v>
      </c>
      <c r="C16" s="33">
        <v>174.71677712504788</v>
      </c>
      <c r="D16" s="33">
        <v>169.06953288343055</v>
      </c>
      <c r="E16" s="33">
        <v>-568.7790996000388</v>
      </c>
      <c r="F16" s="33">
        <v>359.078177669796</v>
      </c>
      <c r="G16" s="33">
        <v>204.8900743570144</v>
      </c>
      <c r="H16" s="33">
        <v>585.6581048568953</v>
      </c>
      <c r="I16" s="33">
        <v>2587.54580360822</v>
      </c>
      <c r="J16" s="33">
        <v>3318.66100888195</v>
      </c>
      <c r="K16" s="33">
        <v>718.6262761902802</v>
      </c>
      <c r="L16" s="33">
        <v>1101.5576331251236</v>
      </c>
      <c r="M16" s="33">
        <v>488.5642569869797</v>
      </c>
      <c r="N16" s="33">
        <v>399.79076131423506</v>
      </c>
      <c r="O16" s="34">
        <f t="shared" si="2"/>
        <v>797.8457481510527</v>
      </c>
      <c r="Q16" s="16">
        <v>1939</v>
      </c>
      <c r="R16" s="33">
        <f>('FY19 Spill Cost'!C16-'FY19 Spill Cost'!T16)*(1-$S$3)</f>
        <v>0</v>
      </c>
      <c r="S16" s="33">
        <f>('FY19 Spill Cost'!D16-'FY19 Spill Cost'!U16)*(1-$S$3)</f>
        <v>0</v>
      </c>
      <c r="T16" s="33">
        <f>('FY19 Spill Cost'!E16-'FY19 Spill Cost'!V16)*(1-$S$3)</f>
        <v>0</v>
      </c>
      <c r="U16" s="33">
        <f>('FY19 Spill Cost'!F16-'FY19 Spill Cost'!W16)*(1-$S$3)</f>
        <v>0</v>
      </c>
      <c r="V16" s="33">
        <f>('FY19 Spill Cost'!G16-'FY19 Spill Cost'!X16)*(1-$S$3)</f>
        <v>0</v>
      </c>
      <c r="W16" s="33">
        <f>('FY19 Spill Cost'!H16-'FY19 Spill Cost'!Y16)*(1-$S$3)</f>
        <v>0</v>
      </c>
      <c r="X16" s="33">
        <f>(('FY19 Spill Cost'!I16-'FY19 Spill Cost'!Z16)*15/30+('FY19 Spill Cost'!J16-'FY19 Spill Cost'!AA16)*15/30)*(1-$S$3)</f>
        <v>847.5882740000001</v>
      </c>
      <c r="Y16" s="33">
        <f>('FY19 Spill Cost'!K16-'FY19 Spill Cost'!AB16)*(1-$S$3)</f>
        <v>1074.745022</v>
      </c>
      <c r="Z16" s="33">
        <f>('FY19 Spill Cost'!L16-'FY19 Spill Cost'!AC16)*(1-$S$3)</f>
        <v>640.520218</v>
      </c>
      <c r="AA16" s="33">
        <f>('FY19 Spill Cost'!M16-'FY19 Spill Cost'!AD16)*(1-$S$3)</f>
        <v>-4.635852</v>
      </c>
      <c r="AB16" s="33">
        <f>(('FY19 Spill Cost'!N16-'FY19 Spill Cost'!AE16)*15/31+('FY19 Spill Cost'!O16-'FY19 Spill Cost'!AF16)*16/31)*(1-$S$3)</f>
        <v>90.72312516129033</v>
      </c>
      <c r="AC16" s="33">
        <f>('FY19 Spill Cost'!P16-'FY19 Spill Cost'!AG16)*(1-$S$3)</f>
        <v>0</v>
      </c>
      <c r="AD16" s="34">
        <f t="shared" si="3"/>
        <v>220.9015230410959</v>
      </c>
      <c r="AF16" s="16">
        <v>1939</v>
      </c>
      <c r="AG16" s="33">
        <f t="shared" si="4"/>
        <v>174.71677712504788</v>
      </c>
      <c r="AH16" s="33">
        <f t="shared" si="5"/>
        <v>169.06953288343055</v>
      </c>
      <c r="AI16" s="33">
        <f t="shared" si="6"/>
        <v>-568.7790996000388</v>
      </c>
      <c r="AJ16" s="33">
        <f t="shared" si="7"/>
        <v>359.078177669796</v>
      </c>
      <c r="AK16" s="33">
        <f t="shared" si="8"/>
        <v>204.8900743570144</v>
      </c>
      <c r="AL16" s="33">
        <f t="shared" si="9"/>
        <v>585.6581048568953</v>
      </c>
      <c r="AM16" s="33">
        <f t="shared" si="10"/>
        <v>1739.9575296082198</v>
      </c>
      <c r="AN16" s="33">
        <f t="shared" si="11"/>
        <v>2243.9159868819497</v>
      </c>
      <c r="AO16" s="33">
        <f t="shared" si="12"/>
        <v>78.10605819028024</v>
      </c>
      <c r="AP16" s="33">
        <f t="shared" si="13"/>
        <v>1106.1934851251235</v>
      </c>
      <c r="AQ16" s="33">
        <f t="shared" si="14"/>
        <v>397.84113182568933</v>
      </c>
      <c r="AR16" s="33">
        <f t="shared" si="15"/>
        <v>399.79076131423506</v>
      </c>
      <c r="AS16" s="34">
        <f t="shared" si="16"/>
        <v>576.9442251099567</v>
      </c>
      <c r="AT16" s="33"/>
      <c r="AU16" s="16">
        <v>1939</v>
      </c>
      <c r="AV16" s="23">
        <f>'FY19 Aurora Prices for SecR'!AR15-'FY19 Aurora Prices for SecR'!AD15</f>
        <v>-0.005355699600684716</v>
      </c>
      <c r="AW16" s="23">
        <f>'FY19 Aurora Prices for SecR'!AS15-'FY19 Aurora Prices for SecR'!AE15</f>
        <v>0.0014650883853342123</v>
      </c>
      <c r="AX16" s="23">
        <f>'FY19 Aurora Prices for SecR'!AT15-'FY19 Aurora Prices for SecR'!AF15</f>
        <v>0.0051215284614194445</v>
      </c>
      <c r="AY16" s="23">
        <f>'FY19 Aurora Prices for SecR'!AU15-'FY19 Aurora Prices for SecR'!AG15</f>
        <v>-0.0022948903421706746</v>
      </c>
      <c r="AZ16" s="23">
        <f>'FY19 Aurora Prices for SecR'!AV15-'FY19 Aurora Prices for SecR'!AH15</f>
        <v>-0.009039388384177727</v>
      </c>
      <c r="BA16" s="23">
        <f>'FY19 Aurora Prices for SecR'!AW15-'FY19 Aurora Prices for SecR'!AI15</f>
        <v>0.013132783926963043</v>
      </c>
      <c r="BB16" s="23">
        <f>'FY19 Aurora Prices for SecR'!AX15-'FY19 Aurora Prices for SecR'!AJ15</f>
        <v>0.9079802555508039</v>
      </c>
      <c r="BC16" s="23">
        <f>'FY19 Aurora Prices for SecR'!AY15-'FY19 Aurora Prices for SecR'!AK15</f>
        <v>1.1677108669793839</v>
      </c>
      <c r="BD16" s="23">
        <f>'FY19 Aurora Prices for SecR'!AZ15-'FY19 Aurora Prices for SecR'!AL15</f>
        <v>0.6729986084831907</v>
      </c>
      <c r="BE16" s="23">
        <f>'FY19 Aurora Prices for SecR'!BA15-'FY19 Aurora Prices for SecR'!AM15</f>
        <v>-0.04655076431969363</v>
      </c>
      <c r="BF16" s="23">
        <f>'FY19 Aurora Prices for SecR'!BB15-'FY19 Aurora Prices for SecR'!AN15</f>
        <v>0.13935474272694393</v>
      </c>
      <c r="BG16" s="24">
        <f>'FY19 Aurora Prices for SecR'!BC15-'FY19 Aurora Prices for SecR'!AO15</f>
        <v>-0.0034811798731588794</v>
      </c>
      <c r="BI16" s="16">
        <v>1939</v>
      </c>
      <c r="BJ16" s="41">
        <f t="shared" si="17"/>
        <v>-696.1835466702653</v>
      </c>
      <c r="BK16" s="41">
        <f t="shared" si="18"/>
        <v>178.59300424674564</v>
      </c>
      <c r="BL16" s="41">
        <f t="shared" si="19"/>
        <v>-2167.28565006542</v>
      </c>
      <c r="BM16" s="41">
        <f t="shared" si="20"/>
        <v>-613.0895112618834</v>
      </c>
      <c r="BN16" s="41">
        <f t="shared" si="21"/>
        <v>-1244.5984038943436</v>
      </c>
      <c r="BO16" s="41">
        <f t="shared" si="22"/>
        <v>5714.651760197082</v>
      </c>
      <c r="BP16" s="41">
        <f t="shared" si="29"/>
        <v>1137489.8993144762</v>
      </c>
      <c r="BQ16" s="41">
        <f t="shared" si="23"/>
        <v>1949462.341358291</v>
      </c>
      <c r="BR16" s="41">
        <f t="shared" si="24"/>
        <v>37846.99330283932</v>
      </c>
      <c r="BS16" s="41">
        <f t="shared" si="25"/>
        <v>-38311.64925022187</v>
      </c>
      <c r="BT16" s="41">
        <f t="shared" si="26"/>
        <v>41248.140137393246</v>
      </c>
      <c r="BU16" s="41">
        <f t="shared" si="27"/>
        <v>-1002.055357268626</v>
      </c>
      <c r="BV16" s="42">
        <f t="shared" si="28"/>
        <v>3127905.757158061</v>
      </c>
    </row>
    <row r="17" spans="2:74" ht="15">
      <c r="B17" s="16">
        <v>1940</v>
      </c>
      <c r="C17" s="33">
        <v>181.70634103843656</v>
      </c>
      <c r="D17" s="33">
        <v>561.23486534893</v>
      </c>
      <c r="E17" s="33">
        <v>-287.6280518680395</v>
      </c>
      <c r="F17" s="33">
        <v>528.5868025545941</v>
      </c>
      <c r="G17" s="33">
        <v>63.47495859829005</v>
      </c>
      <c r="H17" s="33">
        <v>3091.555092141608</v>
      </c>
      <c r="I17" s="33">
        <v>2346.830351431665</v>
      </c>
      <c r="J17" s="33">
        <v>2997.7659005762907</v>
      </c>
      <c r="K17" s="33">
        <v>610.2496569338338</v>
      </c>
      <c r="L17" s="33">
        <v>870.8763858132891</v>
      </c>
      <c r="M17" s="33">
        <v>81.47474552476004</v>
      </c>
      <c r="N17" s="33">
        <v>234.16663975313585</v>
      </c>
      <c r="O17" s="34">
        <f t="shared" si="2"/>
        <v>946.9610080124341</v>
      </c>
      <c r="Q17" s="16">
        <v>1940</v>
      </c>
      <c r="R17" s="33">
        <f>('FY19 Spill Cost'!C17-'FY19 Spill Cost'!T17)*(1-$S$3)</f>
        <v>0</v>
      </c>
      <c r="S17" s="33">
        <f>('FY19 Spill Cost'!D17-'FY19 Spill Cost'!U17)*(1-$S$3)</f>
        <v>0</v>
      </c>
      <c r="T17" s="33">
        <f>('FY19 Spill Cost'!E17-'FY19 Spill Cost'!V17)*(1-$S$3)</f>
        <v>0</v>
      </c>
      <c r="U17" s="33">
        <f>('FY19 Spill Cost'!F17-'FY19 Spill Cost'!W17)*(1-$S$3)</f>
        <v>0</v>
      </c>
      <c r="V17" s="33">
        <f>('FY19 Spill Cost'!G17-'FY19 Spill Cost'!X17)*(1-$S$3)</f>
        <v>0</v>
      </c>
      <c r="W17" s="33">
        <f>('FY19 Spill Cost'!H17-'FY19 Spill Cost'!Y17)*(1-$S$3)</f>
        <v>0</v>
      </c>
      <c r="X17" s="33">
        <f>(('FY19 Spill Cost'!I17-'FY19 Spill Cost'!Z17)*15/30+('FY19 Spill Cost'!J17-'FY19 Spill Cost'!AA17)*15/30)*(1-$S$3)</f>
        <v>831.362792</v>
      </c>
      <c r="Y17" s="33">
        <f>('FY19 Spill Cost'!K17-'FY19 Spill Cost'!AB17)*(1-$S$3)</f>
        <v>1078.608232</v>
      </c>
      <c r="Z17" s="33">
        <f>('FY19 Spill Cost'!L17-'FY19 Spill Cost'!AC17)*(1-$S$3)</f>
        <v>654.427774</v>
      </c>
      <c r="AA17" s="33">
        <f>('FY19 Spill Cost'!M17-'FY19 Spill Cost'!AD17)*(1-$S$3)</f>
        <v>15.452840000000002</v>
      </c>
      <c r="AB17" s="33">
        <f>(('FY19 Spill Cost'!N17-'FY19 Spill Cost'!AE17)*15/31+('FY19 Spill Cost'!O17-'FY19 Spill Cost'!AF17)*16/31)*(1-$S$3)</f>
        <v>80.7037030967742</v>
      </c>
      <c r="AC17" s="33">
        <f>('FY19 Spill Cost'!P17-'FY19 Spill Cost'!AG17)*(1-$S$3)</f>
        <v>0</v>
      </c>
      <c r="AD17" s="34">
        <f t="shared" si="3"/>
        <v>221.894315090411</v>
      </c>
      <c r="AF17" s="16">
        <v>1940</v>
      </c>
      <c r="AG17" s="33">
        <f t="shared" si="4"/>
        <v>181.70634103843656</v>
      </c>
      <c r="AH17" s="33">
        <f t="shared" si="5"/>
        <v>561.23486534893</v>
      </c>
      <c r="AI17" s="33">
        <f t="shared" si="6"/>
        <v>-287.6280518680395</v>
      </c>
      <c r="AJ17" s="33">
        <f t="shared" si="7"/>
        <v>528.5868025545941</v>
      </c>
      <c r="AK17" s="33">
        <f t="shared" si="8"/>
        <v>63.47495859829005</v>
      </c>
      <c r="AL17" s="33">
        <f t="shared" si="9"/>
        <v>3091.555092141608</v>
      </c>
      <c r="AM17" s="33">
        <f t="shared" si="10"/>
        <v>1515.467559431665</v>
      </c>
      <c r="AN17" s="33">
        <f t="shared" si="11"/>
        <v>1919.1576685762907</v>
      </c>
      <c r="AO17" s="33">
        <f t="shared" si="12"/>
        <v>-44.17811706616624</v>
      </c>
      <c r="AP17" s="33">
        <f t="shared" si="13"/>
        <v>855.423545813289</v>
      </c>
      <c r="AQ17" s="33">
        <f t="shared" si="14"/>
        <v>0.771042427985833</v>
      </c>
      <c r="AR17" s="33">
        <f t="shared" si="15"/>
        <v>234.16663975313585</v>
      </c>
      <c r="AS17" s="34">
        <f t="shared" si="16"/>
        <v>725.0666929220232</v>
      </c>
      <c r="AT17" s="33"/>
      <c r="AU17" s="16">
        <v>1940</v>
      </c>
      <c r="AV17" s="23">
        <f>'FY19 Aurora Prices for SecR'!AR16-'FY19 Aurora Prices for SecR'!AD16</f>
        <v>-0.04111037638881143</v>
      </c>
      <c r="AW17" s="23">
        <f>'FY19 Aurora Prices for SecR'!AS16-'FY19 Aurora Prices for SecR'!AE16</f>
        <v>-0.02526615158695833</v>
      </c>
      <c r="AX17" s="23">
        <f>'FY19 Aurora Prices for SecR'!AT16-'FY19 Aurora Prices for SecR'!AF16</f>
        <v>-0.0507390991333736</v>
      </c>
      <c r="AY17" s="23">
        <f>'FY19 Aurora Prices for SecR'!AU16-'FY19 Aurora Prices for SecR'!AG16</f>
        <v>-0.020433602794536654</v>
      </c>
      <c r="AZ17" s="23">
        <f>'FY19 Aurora Prices for SecR'!AV16-'FY19 Aurora Prices for SecR'!AH16</f>
        <v>-0.04120611463278934</v>
      </c>
      <c r="BA17" s="23">
        <f>'FY19 Aurora Prices for SecR'!AW16-'FY19 Aurora Prices for SecR'!AI16</f>
        <v>-0.02784348580270546</v>
      </c>
      <c r="BB17" s="23">
        <f>'FY19 Aurora Prices for SecR'!AX16-'FY19 Aurora Prices for SecR'!AJ16</f>
        <v>1.012606453365752</v>
      </c>
      <c r="BC17" s="23">
        <f>'FY19 Aurora Prices for SecR'!AY16-'FY19 Aurora Prices for SecR'!AK16</f>
        <v>1.012515001143182</v>
      </c>
      <c r="BD17" s="23">
        <f>'FY19 Aurora Prices for SecR'!AZ16-'FY19 Aurora Prices for SecR'!AL16</f>
        <v>0.8225332683987254</v>
      </c>
      <c r="BE17" s="23">
        <f>'FY19 Aurora Prices for SecR'!BA16-'FY19 Aurora Prices for SecR'!AM16</f>
        <v>-0.0565123670844514</v>
      </c>
      <c r="BF17" s="23">
        <f>'FY19 Aurora Prices for SecR'!BB16-'FY19 Aurora Prices for SecR'!AN16</f>
        <v>0.1651347937122587</v>
      </c>
      <c r="BG17" s="24">
        <f>'FY19 Aurora Prices for SecR'!BC16-'FY19 Aurora Prices for SecR'!AO16</f>
        <v>0.0032439915339210756</v>
      </c>
      <c r="BI17" s="16">
        <v>1940</v>
      </c>
      <c r="BJ17" s="41">
        <f t="shared" si="17"/>
        <v>-5557.691957808952</v>
      </c>
      <c r="BK17" s="41">
        <f t="shared" si="18"/>
        <v>-10223.956777514186</v>
      </c>
      <c r="BL17" s="41">
        <f t="shared" si="19"/>
        <v>10857.927248530055</v>
      </c>
      <c r="BM17" s="41">
        <f t="shared" si="20"/>
        <v>-8035.893977781053</v>
      </c>
      <c r="BN17" s="41">
        <f t="shared" si="21"/>
        <v>-1757.6539144501326</v>
      </c>
      <c r="BO17" s="41">
        <f t="shared" si="22"/>
        <v>-63957.19504503069</v>
      </c>
      <c r="BP17" s="41">
        <f t="shared" si="29"/>
        <v>1104892.0059938042</v>
      </c>
      <c r="BQ17" s="41">
        <f t="shared" si="23"/>
        <v>1445722.8911703974</v>
      </c>
      <c r="BR17" s="41">
        <f t="shared" si="24"/>
        <v>-26163.33913593736</v>
      </c>
      <c r="BS17" s="41">
        <f t="shared" si="25"/>
        <v>-35966.455018660614</v>
      </c>
      <c r="BT17" s="41">
        <f t="shared" si="26"/>
        <v>94.73049362289667</v>
      </c>
      <c r="BU17" s="41">
        <f t="shared" si="27"/>
        <v>546.9369097578617</v>
      </c>
      <c r="BV17" s="42">
        <f t="shared" si="28"/>
        <v>2410452.3059889297</v>
      </c>
    </row>
    <row r="18" spans="2:74" ht="15">
      <c r="B18" s="16">
        <v>1941</v>
      </c>
      <c r="C18" s="33">
        <v>-1.9342535658045823</v>
      </c>
      <c r="D18" s="33">
        <v>311.9922068628577</v>
      </c>
      <c r="E18" s="33">
        <v>26.933401152005388</v>
      </c>
      <c r="F18" s="33">
        <v>-826.5322359733091</v>
      </c>
      <c r="G18" s="33">
        <v>-507.36655969642663</v>
      </c>
      <c r="H18" s="33">
        <v>68.7371260866091</v>
      </c>
      <c r="I18" s="33">
        <v>259.59876685288447</v>
      </c>
      <c r="J18" s="33">
        <v>2380.930033688725</v>
      </c>
      <c r="K18" s="33">
        <v>688.2971239784545</v>
      </c>
      <c r="L18" s="33">
        <v>870.6961709124868</v>
      </c>
      <c r="M18" s="33">
        <v>643.6370536453744</v>
      </c>
      <c r="N18" s="33">
        <v>392.7873394715447</v>
      </c>
      <c r="O18" s="34">
        <f t="shared" si="2"/>
        <v>365.53594861963467</v>
      </c>
      <c r="Q18" s="16">
        <v>1941</v>
      </c>
      <c r="R18" s="33">
        <f>('FY19 Spill Cost'!C18-'FY19 Spill Cost'!T18)*(1-$S$3)</f>
        <v>0</v>
      </c>
      <c r="S18" s="33">
        <f>('FY19 Spill Cost'!D18-'FY19 Spill Cost'!U18)*(1-$S$3)</f>
        <v>0</v>
      </c>
      <c r="T18" s="33">
        <f>('FY19 Spill Cost'!E18-'FY19 Spill Cost'!V18)*(1-$S$3)</f>
        <v>0</v>
      </c>
      <c r="U18" s="33">
        <f>('FY19 Spill Cost'!F18-'FY19 Spill Cost'!W18)*(1-$S$3)</f>
        <v>0</v>
      </c>
      <c r="V18" s="33">
        <f>('FY19 Spill Cost'!G18-'FY19 Spill Cost'!X18)*(1-$S$3)</f>
        <v>0</v>
      </c>
      <c r="W18" s="33">
        <f>('FY19 Spill Cost'!H18-'FY19 Spill Cost'!Y18)*(1-$S$3)</f>
        <v>0</v>
      </c>
      <c r="X18" s="33">
        <f>(('FY19 Spill Cost'!I18-'FY19 Spill Cost'!Z18)*15/30+('FY19 Spill Cost'!J18-'FY19 Spill Cost'!AA18)*15/30)*(1-$S$3)</f>
        <v>697.695726</v>
      </c>
      <c r="Y18" s="33">
        <f>('FY19 Spill Cost'!K18-'FY19 Spill Cost'!AB18)*(1-$S$3)</f>
        <v>1105.6507020000001</v>
      </c>
      <c r="Z18" s="33">
        <f>('FY19 Spill Cost'!L18-'FY19 Spill Cost'!AC18)*(1-$S$3)</f>
        <v>679.152318</v>
      </c>
      <c r="AA18" s="33">
        <f>('FY19 Spill Cost'!M18-'FY19 Spill Cost'!AD18)*(1-$S$3)</f>
        <v>-28.587754</v>
      </c>
      <c r="AB18" s="33">
        <f>(('FY19 Spill Cost'!N18-'FY19 Spill Cost'!AE18)*15/31+('FY19 Spill Cost'!O18-'FY19 Spill Cost'!AF18)*16/31)*(1-$S$3)</f>
        <v>113.07989529032258</v>
      </c>
      <c r="AC18" s="33">
        <f>('FY19 Spill Cost'!P18-'FY19 Spill Cost'!AG18)*(1-$S$3)</f>
        <v>0</v>
      </c>
      <c r="AD18" s="34">
        <f t="shared" si="3"/>
        <v>214.2462177041096</v>
      </c>
      <c r="AF18" s="16">
        <v>1941</v>
      </c>
      <c r="AG18" s="33">
        <f t="shared" si="4"/>
        <v>-1.9342535658045823</v>
      </c>
      <c r="AH18" s="33">
        <f t="shared" si="5"/>
        <v>311.9922068628577</v>
      </c>
      <c r="AI18" s="33">
        <f t="shared" si="6"/>
        <v>26.933401152005388</v>
      </c>
      <c r="AJ18" s="33">
        <f t="shared" si="7"/>
        <v>-826.5322359733091</v>
      </c>
      <c r="AK18" s="33">
        <f t="shared" si="8"/>
        <v>-507.36655969642663</v>
      </c>
      <c r="AL18" s="33">
        <f t="shared" si="9"/>
        <v>68.7371260866091</v>
      </c>
      <c r="AM18" s="33">
        <f t="shared" si="10"/>
        <v>-438.09695914711557</v>
      </c>
      <c r="AN18" s="33">
        <f t="shared" si="11"/>
        <v>1275.2793316887248</v>
      </c>
      <c r="AO18" s="33">
        <f t="shared" si="12"/>
        <v>9.144805978454428</v>
      </c>
      <c r="AP18" s="33">
        <f t="shared" si="13"/>
        <v>899.2839249124868</v>
      </c>
      <c r="AQ18" s="33">
        <f t="shared" si="14"/>
        <v>530.5571583550518</v>
      </c>
      <c r="AR18" s="33">
        <f t="shared" si="15"/>
        <v>392.7873394715447</v>
      </c>
      <c r="AS18" s="34">
        <f t="shared" si="16"/>
        <v>151.2897309155251</v>
      </c>
      <c r="AT18" s="33"/>
      <c r="AU18" s="16">
        <v>1941</v>
      </c>
      <c r="AV18" s="23">
        <f>'FY19 Aurora Prices for SecR'!AR17-'FY19 Aurora Prices for SecR'!AD17</f>
        <v>-0.010714137169571814</v>
      </c>
      <c r="AW18" s="23">
        <f>'FY19 Aurora Prices for SecR'!AS17-'FY19 Aurora Prices for SecR'!AE17</f>
        <v>0.007878310538160349</v>
      </c>
      <c r="AX18" s="23">
        <f>'FY19 Aurora Prices for SecR'!AT17-'FY19 Aurora Prices for SecR'!AF17</f>
        <v>-0.0042063672055867585</v>
      </c>
      <c r="AY18" s="23">
        <f>'FY19 Aurora Prices for SecR'!AU17-'FY19 Aurora Prices for SecR'!AG17</f>
        <v>9.259869983679891E-06</v>
      </c>
      <c r="AZ18" s="23">
        <f>'FY19 Aurora Prices for SecR'!AV17-'FY19 Aurora Prices for SecR'!AH17</f>
        <v>-0.027793516431543708</v>
      </c>
      <c r="BA18" s="23">
        <f>'FY19 Aurora Prices for SecR'!AW17-'FY19 Aurora Prices for SecR'!AI17</f>
        <v>0.002773689999084894</v>
      </c>
      <c r="BB18" s="23">
        <f>'FY19 Aurora Prices for SecR'!AX17-'FY19 Aurora Prices for SecR'!AJ17</f>
        <v>1.3336573590172804</v>
      </c>
      <c r="BC18" s="23">
        <f>'FY19 Aurora Prices for SecR'!AY17-'FY19 Aurora Prices for SecR'!AK17</f>
        <v>1.0967789990927663</v>
      </c>
      <c r="BD18" s="23">
        <f>'FY19 Aurora Prices for SecR'!AZ17-'FY19 Aurora Prices for SecR'!AL17</f>
        <v>0.7209676769044648</v>
      </c>
      <c r="BE18" s="23">
        <f>'FY19 Aurora Prices for SecR'!BA17-'FY19 Aurora Prices for SecR'!AM17</f>
        <v>-0.10570662560001765</v>
      </c>
      <c r="BF18" s="23">
        <f>'FY19 Aurora Prices for SecR'!BB17-'FY19 Aurora Prices for SecR'!AN17</f>
        <v>0.1804209078511647</v>
      </c>
      <c r="BG18" s="24">
        <f>'FY19 Aurora Prices for SecR'!BC17-'FY19 Aurora Prices for SecR'!AO17</f>
        <v>0.002025610605901562</v>
      </c>
      <c r="BI18" s="16">
        <v>1941</v>
      </c>
      <c r="BJ18" s="41">
        <f t="shared" si="17"/>
        <v>15.418550370424189</v>
      </c>
      <c r="BK18" s="41">
        <f t="shared" si="18"/>
        <v>1772.1974451202714</v>
      </c>
      <c r="BL18" s="41">
        <f t="shared" si="19"/>
        <v>-84.28908085348681</v>
      </c>
      <c r="BM18" s="41">
        <f t="shared" si="20"/>
        <v>-5.694264295570203</v>
      </c>
      <c r="BN18" s="41">
        <f t="shared" si="21"/>
        <v>9476.20854683223</v>
      </c>
      <c r="BO18" s="41">
        <f t="shared" si="22"/>
        <v>141.6570210398529</v>
      </c>
      <c r="BP18" s="41">
        <f t="shared" si="29"/>
        <v>-420675.28814134334</v>
      </c>
      <c r="BQ18" s="41">
        <f t="shared" si="23"/>
        <v>1040632.4941960992</v>
      </c>
      <c r="BR18" s="41">
        <f t="shared" si="24"/>
        <v>4747.038855860413</v>
      </c>
      <c r="BS18" s="41">
        <f t="shared" si="25"/>
        <v>-70724.84025417594</v>
      </c>
      <c r="BT18" s="41">
        <f t="shared" si="26"/>
        <v>71218.36150795034</v>
      </c>
      <c r="BU18" s="41">
        <f t="shared" si="27"/>
        <v>572.8566245021411</v>
      </c>
      <c r="BV18" s="42">
        <f t="shared" si="28"/>
        <v>637086.1210071065</v>
      </c>
    </row>
    <row r="19" spans="2:74" ht="15">
      <c r="B19" s="16">
        <v>1942</v>
      </c>
      <c r="C19" s="33">
        <v>13.736351916013922</v>
      </c>
      <c r="D19" s="33">
        <v>802.7464850821065</v>
      </c>
      <c r="E19" s="33">
        <v>918.7727530175819</v>
      </c>
      <c r="F19" s="33">
        <v>1703.173743481663</v>
      </c>
      <c r="G19" s="33">
        <v>1197.2677965098283</v>
      </c>
      <c r="H19" s="33">
        <v>1440.1843626382222</v>
      </c>
      <c r="I19" s="33">
        <v>1579.5334970258905</v>
      </c>
      <c r="J19" s="33">
        <v>2840.772680633145</v>
      </c>
      <c r="K19" s="33">
        <v>2825.169567047396</v>
      </c>
      <c r="L19" s="33">
        <v>2835.46640196099</v>
      </c>
      <c r="M19" s="33">
        <v>1236.7534007984257</v>
      </c>
      <c r="N19" s="33">
        <v>859.2614644783887</v>
      </c>
      <c r="O19" s="34">
        <f t="shared" si="2"/>
        <v>1523.7066282946605</v>
      </c>
      <c r="Q19" s="16">
        <v>1942</v>
      </c>
      <c r="R19" s="33">
        <f>('FY19 Spill Cost'!C19-'FY19 Spill Cost'!T19)*(1-$S$3)</f>
        <v>0</v>
      </c>
      <c r="S19" s="33">
        <f>('FY19 Spill Cost'!D19-'FY19 Spill Cost'!U19)*(1-$S$3)</f>
        <v>0</v>
      </c>
      <c r="T19" s="33">
        <f>('FY19 Spill Cost'!E19-'FY19 Spill Cost'!V19)*(1-$S$3)</f>
        <v>0</v>
      </c>
      <c r="U19" s="33">
        <f>('FY19 Spill Cost'!F19-'FY19 Spill Cost'!W19)*(1-$S$3)</f>
        <v>0</v>
      </c>
      <c r="V19" s="33">
        <f>('FY19 Spill Cost'!G19-'FY19 Spill Cost'!X19)*(1-$S$3)</f>
        <v>0</v>
      </c>
      <c r="W19" s="33">
        <f>('FY19 Spill Cost'!H19-'FY19 Spill Cost'!Y19)*(1-$S$3)</f>
        <v>0</v>
      </c>
      <c r="X19" s="33">
        <f>(('FY19 Spill Cost'!I19-'FY19 Spill Cost'!Z19)*15/30+('FY19 Spill Cost'!J19-'FY19 Spill Cost'!AA19)*15/30)*(1-$S$3)</f>
        <v>853.383089</v>
      </c>
      <c r="Y19" s="33">
        <f>('FY19 Spill Cost'!K19-'FY19 Spill Cost'!AB19)*(1-$S$3)</f>
        <v>1062.38275</v>
      </c>
      <c r="Z19" s="33">
        <f>('FY19 Spill Cost'!L19-'FY19 Spill Cost'!AC19)*(1-$S$3)</f>
        <v>602.6607600000001</v>
      </c>
      <c r="AA19" s="33">
        <f>('FY19 Spill Cost'!M19-'FY19 Spill Cost'!AD19)*(1-$S$3)</f>
        <v>-71.08306400000001</v>
      </c>
      <c r="AB19" s="33">
        <f>(('FY19 Spill Cost'!N19-'FY19 Spill Cost'!AE19)*15/31+('FY19 Spill Cost'!O19-'FY19 Spill Cost'!AF19)*16/31)*(1-$S$3)</f>
        <v>122.02758812903227</v>
      </c>
      <c r="AC19" s="33">
        <f>('FY19 Spill Cost'!P19-'FY19 Spill Cost'!AG19)*(1-$S$3)</f>
        <v>0</v>
      </c>
      <c r="AD19" s="34">
        <f t="shared" si="3"/>
        <v>214.23139991232878</v>
      </c>
      <c r="AF19" s="16">
        <v>1942</v>
      </c>
      <c r="AG19" s="33">
        <f t="shared" si="4"/>
        <v>13.736351916013922</v>
      </c>
      <c r="AH19" s="33">
        <f t="shared" si="5"/>
        <v>802.7464850821065</v>
      </c>
      <c r="AI19" s="33">
        <f t="shared" si="6"/>
        <v>918.7727530175819</v>
      </c>
      <c r="AJ19" s="33">
        <f t="shared" si="7"/>
        <v>1703.173743481663</v>
      </c>
      <c r="AK19" s="33">
        <f t="shared" si="8"/>
        <v>1197.2677965098283</v>
      </c>
      <c r="AL19" s="33">
        <f t="shared" si="9"/>
        <v>1440.1843626382222</v>
      </c>
      <c r="AM19" s="33">
        <f t="shared" si="10"/>
        <v>726.1504080258904</v>
      </c>
      <c r="AN19" s="33">
        <f t="shared" si="11"/>
        <v>1778.3899306331448</v>
      </c>
      <c r="AO19" s="33">
        <f t="shared" si="12"/>
        <v>2222.5088070473957</v>
      </c>
      <c r="AP19" s="33">
        <f t="shared" si="13"/>
        <v>2906.54946596099</v>
      </c>
      <c r="AQ19" s="33">
        <f t="shared" si="14"/>
        <v>1114.7258126693935</v>
      </c>
      <c r="AR19" s="33">
        <f t="shared" si="15"/>
        <v>859.2614644783887</v>
      </c>
      <c r="AS19" s="34">
        <f t="shared" si="16"/>
        <v>1309.4752283823318</v>
      </c>
      <c r="AT19" s="33"/>
      <c r="AU19" s="16">
        <v>1942</v>
      </c>
      <c r="AV19" s="23">
        <f>'FY19 Aurora Prices for SecR'!AR18-'FY19 Aurora Prices for SecR'!AD18</f>
        <v>0.01352836854998074</v>
      </c>
      <c r="AW19" s="23">
        <f>'FY19 Aurora Prices for SecR'!AS18-'FY19 Aurora Prices for SecR'!AE18</f>
        <v>0.015780109307630852</v>
      </c>
      <c r="AX19" s="23">
        <f>'FY19 Aurora Prices for SecR'!AT18-'FY19 Aurora Prices for SecR'!AF18</f>
        <v>-0.020855362184637016</v>
      </c>
      <c r="AY19" s="23">
        <f>'FY19 Aurora Prices for SecR'!AU18-'FY19 Aurora Prices for SecR'!AG18</f>
        <v>-0.039961981004335456</v>
      </c>
      <c r="AZ19" s="23">
        <f>'FY19 Aurora Prices for SecR'!AV18-'FY19 Aurora Prices for SecR'!AH18</f>
        <v>0.033329350607683494</v>
      </c>
      <c r="BA19" s="23">
        <f>'FY19 Aurora Prices for SecR'!AW18-'FY19 Aurora Prices for SecR'!AI18</f>
        <v>0.04858281782467344</v>
      </c>
      <c r="BB19" s="23">
        <f>'FY19 Aurora Prices for SecR'!AX18-'FY19 Aurora Prices for SecR'!AJ18</f>
        <v>0.9875204494264729</v>
      </c>
      <c r="BC19" s="23">
        <f>'FY19 Aurora Prices for SecR'!AY18-'FY19 Aurora Prices for SecR'!AK18</f>
        <v>0.8916765932113542</v>
      </c>
      <c r="BD19" s="23">
        <f>'FY19 Aurora Prices for SecR'!AZ18-'FY19 Aurora Prices for SecR'!AL18</f>
        <v>0.5436654064390183</v>
      </c>
      <c r="BE19" s="23">
        <f>'FY19 Aurora Prices for SecR'!BA18-'FY19 Aurora Prices for SecR'!AM18</f>
        <v>-0.14747594889775328</v>
      </c>
      <c r="BF19" s="23">
        <f>'FY19 Aurora Prices for SecR'!BB18-'FY19 Aurora Prices for SecR'!AN18</f>
        <v>0.1785152419921303</v>
      </c>
      <c r="BG19" s="24">
        <f>'FY19 Aurora Prices for SecR'!BC18-'FY19 Aurora Prices for SecR'!AO18</f>
        <v>0.0010806020101448155</v>
      </c>
      <c r="BI19" s="16">
        <v>1942</v>
      </c>
      <c r="BJ19" s="41">
        <f t="shared" si="17"/>
        <v>138.2578408515404</v>
      </c>
      <c r="BK19" s="41">
        <f t="shared" si="18"/>
        <v>9133.215069537624</v>
      </c>
      <c r="BL19" s="41">
        <f t="shared" si="19"/>
        <v>-14256.035865990943</v>
      </c>
      <c r="BM19" s="41">
        <f t="shared" si="20"/>
        <v>-50638.27440736826</v>
      </c>
      <c r="BN19" s="41">
        <f t="shared" si="21"/>
        <v>26815.594284302693</v>
      </c>
      <c r="BO19" s="41">
        <f t="shared" si="22"/>
        <v>51986.38339132916</v>
      </c>
      <c r="BP19" s="41">
        <f t="shared" si="29"/>
        <v>516303.6316451596</v>
      </c>
      <c r="BQ19" s="41">
        <f t="shared" si="23"/>
        <v>1179797.0140127642</v>
      </c>
      <c r="BR19" s="41">
        <f t="shared" si="24"/>
        <v>869976.8308063585</v>
      </c>
      <c r="BS19" s="41">
        <f t="shared" si="25"/>
        <v>-318912.7285400762</v>
      </c>
      <c r="BT19" s="41">
        <f t="shared" si="26"/>
        <v>148052.68786344185</v>
      </c>
      <c r="BU19" s="41">
        <f t="shared" si="27"/>
        <v>668.5341593438338</v>
      </c>
      <c r="BV19" s="42">
        <f t="shared" si="28"/>
        <v>2419065.1102596535</v>
      </c>
    </row>
    <row r="20" spans="2:74" ht="15">
      <c r="B20" s="16">
        <v>1943</v>
      </c>
      <c r="C20" s="33">
        <v>173.87582250626411</v>
      </c>
      <c r="D20" s="33">
        <v>-241.66967689933045</v>
      </c>
      <c r="E20" s="33">
        <v>-41.553284757633165</v>
      </c>
      <c r="F20" s="33">
        <v>2437.469338022335</v>
      </c>
      <c r="G20" s="33">
        <v>2085.9516667777643</v>
      </c>
      <c r="H20" s="33">
        <v>2725.7621900794857</v>
      </c>
      <c r="I20" s="33">
        <v>5641.031057332152</v>
      </c>
      <c r="J20" s="33">
        <v>4176.766916511115</v>
      </c>
      <c r="K20" s="33">
        <v>5776.990045432191</v>
      </c>
      <c r="L20" s="33">
        <v>4210.26028169726</v>
      </c>
      <c r="M20" s="33">
        <v>1533.856417596142</v>
      </c>
      <c r="N20" s="33">
        <v>89.45844196890705</v>
      </c>
      <c r="O20" s="34">
        <f t="shared" si="2"/>
        <v>2377.9914187442237</v>
      </c>
      <c r="Q20" s="16">
        <v>1943</v>
      </c>
      <c r="R20" s="33">
        <f>('FY19 Spill Cost'!C20-'FY19 Spill Cost'!T20)*(1-$S$3)</f>
        <v>0</v>
      </c>
      <c r="S20" s="33">
        <f>('FY19 Spill Cost'!D20-'FY19 Spill Cost'!U20)*(1-$S$3)</f>
        <v>0</v>
      </c>
      <c r="T20" s="33">
        <f>('FY19 Spill Cost'!E20-'FY19 Spill Cost'!V20)*(1-$S$3)</f>
        <v>0</v>
      </c>
      <c r="U20" s="33">
        <f>('FY19 Spill Cost'!F20-'FY19 Spill Cost'!W20)*(1-$S$3)</f>
        <v>0</v>
      </c>
      <c r="V20" s="33">
        <f>('FY19 Spill Cost'!G20-'FY19 Spill Cost'!X20)*(1-$S$3)</f>
        <v>0</v>
      </c>
      <c r="W20" s="33">
        <f>('FY19 Spill Cost'!H20-'FY19 Spill Cost'!Y20)*(1-$S$3)</f>
        <v>0</v>
      </c>
      <c r="X20" s="33">
        <f>(('FY19 Spill Cost'!I20-'FY19 Spill Cost'!Z20)*15/30+('FY19 Spill Cost'!J20-'FY19 Spill Cost'!AA20)*15/30)*(1-$S$3)</f>
        <v>188.524648</v>
      </c>
      <c r="Y20" s="33">
        <f>('FY19 Spill Cost'!K20-'FY19 Spill Cost'!AB20)*(1-$S$3)</f>
        <v>911.71756</v>
      </c>
      <c r="Z20" s="33">
        <f>('FY19 Spill Cost'!L20-'FY19 Spill Cost'!AC20)*(1-$S$3)</f>
        <v>268.879416</v>
      </c>
      <c r="AA20" s="33">
        <f>('FY19 Spill Cost'!M20-'FY19 Spill Cost'!AD20)*(1-$S$3)</f>
        <v>-70.310422</v>
      </c>
      <c r="AB20" s="33">
        <f>(('FY19 Spill Cost'!N20-'FY19 Spill Cost'!AE20)*15/31+('FY19 Spill Cost'!O20-'FY19 Spill Cost'!AF20)*16/31)*(1-$S$3)</f>
        <v>117.9649866451613</v>
      </c>
      <c r="AC20" s="33">
        <f>('FY19 Spill Cost'!P20-'FY19 Spill Cost'!AG20)*(1-$S$3)</f>
        <v>0</v>
      </c>
      <c r="AD20" s="34">
        <f t="shared" si="3"/>
        <v>119.07577475068493</v>
      </c>
      <c r="AF20" s="16">
        <v>1943</v>
      </c>
      <c r="AG20" s="33">
        <f t="shared" si="4"/>
        <v>173.87582250626411</v>
      </c>
      <c r="AH20" s="33">
        <f t="shared" si="5"/>
        <v>-241.66967689933045</v>
      </c>
      <c r="AI20" s="33">
        <f t="shared" si="6"/>
        <v>-41.553284757633165</v>
      </c>
      <c r="AJ20" s="33">
        <f t="shared" si="7"/>
        <v>2437.469338022335</v>
      </c>
      <c r="AK20" s="33">
        <f t="shared" si="8"/>
        <v>2085.9516667777643</v>
      </c>
      <c r="AL20" s="33">
        <f t="shared" si="9"/>
        <v>2725.7621900794857</v>
      </c>
      <c r="AM20" s="33">
        <f t="shared" si="10"/>
        <v>5452.5064093321525</v>
      </c>
      <c r="AN20" s="33">
        <f t="shared" si="11"/>
        <v>3265.0493565111146</v>
      </c>
      <c r="AO20" s="33">
        <f t="shared" si="12"/>
        <v>5508.110629432192</v>
      </c>
      <c r="AP20" s="33">
        <f t="shared" si="13"/>
        <v>4280.57070369726</v>
      </c>
      <c r="AQ20" s="33">
        <f t="shared" si="14"/>
        <v>1415.8914309509805</v>
      </c>
      <c r="AR20" s="33">
        <f t="shared" si="15"/>
        <v>89.45844196890705</v>
      </c>
      <c r="AS20" s="34">
        <f t="shared" si="16"/>
        <v>2258.9156439935387</v>
      </c>
      <c r="AT20" s="33"/>
      <c r="AU20" s="16">
        <v>1943</v>
      </c>
      <c r="AV20" s="23">
        <f>'FY19 Aurora Prices for SecR'!AR19-'FY19 Aurora Prices for SecR'!AD19</f>
        <v>0.014047341962022841</v>
      </c>
      <c r="AW20" s="23">
        <f>'FY19 Aurora Prices for SecR'!AS19-'FY19 Aurora Prices for SecR'!AE19</f>
        <v>-0.018766549093257368</v>
      </c>
      <c r="AX20" s="23">
        <f>'FY19 Aurora Prices for SecR'!AT19-'FY19 Aurora Prices for SecR'!AF19</f>
        <v>-0.015430970858481885</v>
      </c>
      <c r="AY20" s="23">
        <f>'FY19 Aurora Prices for SecR'!AU19-'FY19 Aurora Prices for SecR'!AG19</f>
        <v>-0.03068458495598847</v>
      </c>
      <c r="AZ20" s="23">
        <f>'FY19 Aurora Prices for SecR'!AV19-'FY19 Aurora Prices for SecR'!AH19</f>
        <v>-0.0007374150412431391</v>
      </c>
      <c r="BA20" s="23">
        <f>'FY19 Aurora Prices for SecR'!AW19-'FY19 Aurora Prices for SecR'!AI19</f>
        <v>0.012789096325260374</v>
      </c>
      <c r="BB20" s="23">
        <f>'FY19 Aurora Prices for SecR'!AX19-'FY19 Aurora Prices for SecR'!AJ19</f>
        <v>1.11983980642424</v>
      </c>
      <c r="BC20" s="23">
        <f>'FY19 Aurora Prices for SecR'!AY19-'FY19 Aurora Prices for SecR'!AK19</f>
        <v>1.6465692540650263</v>
      </c>
      <c r="BD20" s="23">
        <f>'FY19 Aurora Prices for SecR'!AZ19-'FY19 Aurora Prices for SecR'!AL19</f>
        <v>1.3359888947672287</v>
      </c>
      <c r="BE20" s="23">
        <f>'FY19 Aurora Prices for SecR'!BA19-'FY19 Aurora Prices for SecR'!AM19</f>
        <v>-0.6377811891376926</v>
      </c>
      <c r="BF20" s="23">
        <f>'FY19 Aurora Prices for SecR'!BB19-'FY19 Aurora Prices for SecR'!AN19</f>
        <v>0.06043155885508966</v>
      </c>
      <c r="BG20" s="24">
        <f>'FY19 Aurora Prices for SecR'!BC19-'FY19 Aurora Prices for SecR'!AO19</f>
        <v>-0.26709997495015614</v>
      </c>
      <c r="BI20" s="16">
        <v>1943</v>
      </c>
      <c r="BJ20" s="41">
        <f t="shared" si="17"/>
        <v>1817.2148944290686</v>
      </c>
      <c r="BK20" s="41">
        <f t="shared" si="18"/>
        <v>3269.955522091593</v>
      </c>
      <c r="BL20" s="41">
        <f t="shared" si="19"/>
        <v>477.0583994699122</v>
      </c>
      <c r="BM20" s="41">
        <f t="shared" si="20"/>
        <v>-55645.7948252415</v>
      </c>
      <c r="BN20" s="41">
        <f t="shared" si="21"/>
        <v>-1033.6785543088165</v>
      </c>
      <c r="BO20" s="41">
        <f t="shared" si="22"/>
        <v>25901.00616004866</v>
      </c>
      <c r="BP20" s="41">
        <f t="shared" si="29"/>
        <v>4396272.279806481</v>
      </c>
      <c r="BQ20" s="41">
        <f t="shared" si="23"/>
        <v>3999840.6332763843</v>
      </c>
      <c r="BR20" s="41">
        <f t="shared" si="24"/>
        <v>5298317.735090932</v>
      </c>
      <c r="BS20" s="41">
        <f t="shared" si="25"/>
        <v>-2031170.2003524539</v>
      </c>
      <c r="BT20" s="41">
        <f t="shared" si="26"/>
        <v>63660.007598396885</v>
      </c>
      <c r="BU20" s="41">
        <f t="shared" si="27"/>
        <v>-17203.930278462052</v>
      </c>
      <c r="BV20" s="42">
        <f t="shared" si="28"/>
        <v>11684502.286737766</v>
      </c>
    </row>
    <row r="21" spans="2:74" ht="15">
      <c r="B21" s="16">
        <v>1944</v>
      </c>
      <c r="C21" s="33">
        <v>94.53414419106794</v>
      </c>
      <c r="D21" s="33">
        <v>368.94476325396283</v>
      </c>
      <c r="E21" s="33">
        <v>-454.33396804655905</v>
      </c>
      <c r="F21" s="33">
        <v>-504.7608751245892</v>
      </c>
      <c r="G21" s="33">
        <v>-347.9414940616201</v>
      </c>
      <c r="H21" s="33">
        <v>-250.27388705242998</v>
      </c>
      <c r="I21" s="33">
        <v>274.85980011369577</v>
      </c>
      <c r="J21" s="33">
        <v>932.4244786856407</v>
      </c>
      <c r="K21" s="33">
        <v>-756.0276264055244</v>
      </c>
      <c r="L21" s="33">
        <v>112.49791874784418</v>
      </c>
      <c r="M21" s="33">
        <v>519.8474355724856</v>
      </c>
      <c r="N21" s="33">
        <v>142.8132175465043</v>
      </c>
      <c r="O21" s="34">
        <f t="shared" si="2"/>
        <v>14.107222561115513</v>
      </c>
      <c r="Q21" s="16">
        <v>1944</v>
      </c>
      <c r="R21" s="33">
        <f>('FY19 Spill Cost'!C21-'FY19 Spill Cost'!T21)*(1-$S$3)</f>
        <v>0</v>
      </c>
      <c r="S21" s="33">
        <f>('FY19 Spill Cost'!D21-'FY19 Spill Cost'!U21)*(1-$S$3)</f>
        <v>0</v>
      </c>
      <c r="T21" s="33">
        <f>('FY19 Spill Cost'!E21-'FY19 Spill Cost'!V21)*(1-$S$3)</f>
        <v>0</v>
      </c>
      <c r="U21" s="33">
        <f>('FY19 Spill Cost'!F21-'FY19 Spill Cost'!W21)*(1-$S$3)</f>
        <v>0</v>
      </c>
      <c r="V21" s="33">
        <f>('FY19 Spill Cost'!G21-'FY19 Spill Cost'!X21)*(1-$S$3)</f>
        <v>0</v>
      </c>
      <c r="W21" s="33">
        <f>('FY19 Spill Cost'!H21-'FY19 Spill Cost'!Y21)*(1-$S$3)</f>
        <v>0</v>
      </c>
      <c r="X21" s="33">
        <f>(('FY19 Spill Cost'!I21-'FY19 Spill Cost'!Z21)*15/30+('FY19 Spill Cost'!J21-'FY19 Spill Cost'!AA21)*15/30)*(1-$S$3)</f>
        <v>811.660421</v>
      </c>
      <c r="Y21" s="33">
        <f>('FY19 Spill Cost'!K21-'FY19 Spill Cost'!AB21)*(1-$S$3)</f>
        <v>1119.558258</v>
      </c>
      <c r="Z21" s="33">
        <f>('FY19 Spill Cost'!L21-'FY19 Spill Cost'!AC21)*(1-$S$3)</f>
        <v>628.157946</v>
      </c>
      <c r="AA21" s="33">
        <f>('FY19 Spill Cost'!M21-'FY19 Spill Cost'!AD21)*(1-$S$3)</f>
        <v>-38.6321</v>
      </c>
      <c r="AB21" s="33">
        <f>(('FY19 Spill Cost'!N21-'FY19 Spill Cost'!AE21)*15/31+('FY19 Spill Cost'!O21-'FY19 Spill Cost'!AF21)*16/31)*(1-$S$3)</f>
        <v>95.15958567741936</v>
      </c>
      <c r="AC21" s="33">
        <f>('FY19 Spill Cost'!P21-'FY19 Spill Cost'!AG21)*(1-$S$3)</f>
        <v>0</v>
      </c>
      <c r="AD21" s="34">
        <f t="shared" si="3"/>
        <v>218.22797003835618</v>
      </c>
      <c r="AF21" s="16">
        <v>1944</v>
      </c>
      <c r="AG21" s="33">
        <f t="shared" si="4"/>
        <v>94.53414419106794</v>
      </c>
      <c r="AH21" s="33">
        <f t="shared" si="5"/>
        <v>368.94476325396283</v>
      </c>
      <c r="AI21" s="33">
        <f t="shared" si="6"/>
        <v>-454.33396804655905</v>
      </c>
      <c r="AJ21" s="33">
        <f t="shared" si="7"/>
        <v>-504.7608751245892</v>
      </c>
      <c r="AK21" s="33">
        <f t="shared" si="8"/>
        <v>-347.9414940616201</v>
      </c>
      <c r="AL21" s="33">
        <f t="shared" si="9"/>
        <v>-250.27388705242998</v>
      </c>
      <c r="AM21" s="33">
        <f t="shared" si="10"/>
        <v>-536.8006208863043</v>
      </c>
      <c r="AN21" s="33">
        <f t="shared" si="11"/>
        <v>-187.13377931435934</v>
      </c>
      <c r="AO21" s="33">
        <f t="shared" si="12"/>
        <v>-1384.1855724055245</v>
      </c>
      <c r="AP21" s="33">
        <f t="shared" si="13"/>
        <v>151.1300187478442</v>
      </c>
      <c r="AQ21" s="33">
        <f t="shared" si="14"/>
        <v>424.68784989506617</v>
      </c>
      <c r="AR21" s="33">
        <f t="shared" si="15"/>
        <v>142.8132175465043</v>
      </c>
      <c r="AS21" s="34">
        <f t="shared" si="16"/>
        <v>-204.12074747724068</v>
      </c>
      <c r="AT21" s="33"/>
      <c r="AU21" s="16">
        <v>1944</v>
      </c>
      <c r="AV21" s="23">
        <f>'FY19 Aurora Prices for SecR'!AR20-'FY19 Aurora Prices for SecR'!AD20</f>
        <v>-0.17890929175965908</v>
      </c>
      <c r="AW21" s="23">
        <f>'FY19 Aurora Prices for SecR'!AS20-'FY19 Aurora Prices for SecR'!AE20</f>
        <v>-0.16917671853067517</v>
      </c>
      <c r="AX21" s="23">
        <f>'FY19 Aurora Prices for SecR'!AT20-'FY19 Aurora Prices for SecR'!AF20</f>
        <v>-0.1871206042586877</v>
      </c>
      <c r="AY21" s="23">
        <f>'FY19 Aurora Prices for SecR'!AU20-'FY19 Aurora Prices for SecR'!AG20</f>
        <v>-0.14851248341217982</v>
      </c>
      <c r="AZ21" s="23">
        <f>'FY19 Aurora Prices for SecR'!AV20-'FY19 Aurora Prices for SecR'!AH20</f>
        <v>-0.01385677882599623</v>
      </c>
      <c r="BA21" s="23">
        <f>'FY19 Aurora Prices for SecR'!AW20-'FY19 Aurora Prices for SecR'!AI20</f>
        <v>0.03648965272092752</v>
      </c>
      <c r="BB21" s="23">
        <f>'FY19 Aurora Prices for SecR'!AX20-'FY19 Aurora Prices for SecR'!AJ20</f>
        <v>1.5261802117030285</v>
      </c>
      <c r="BC21" s="23">
        <f>'FY19 Aurora Prices for SecR'!AY20-'FY19 Aurora Prices for SecR'!AK20</f>
        <v>1.641842763654676</v>
      </c>
      <c r="BD21" s="23">
        <f>'FY19 Aurora Prices for SecR'!AZ20-'FY19 Aurora Prices for SecR'!AL20</f>
        <v>1.2125897354549586</v>
      </c>
      <c r="BE21" s="23">
        <f>'FY19 Aurora Prices for SecR'!BA20-'FY19 Aurora Prices for SecR'!AM20</f>
        <v>-0.13463984945773433</v>
      </c>
      <c r="BF21" s="23">
        <f>'FY19 Aurora Prices for SecR'!BB20-'FY19 Aurora Prices for SecR'!AN20</f>
        <v>0.16090299852431045</v>
      </c>
      <c r="BG21" s="24">
        <f>'FY19 Aurora Prices for SecR'!BC20-'FY19 Aurora Prices for SecR'!AO20</f>
        <v>-0.026573322614080297</v>
      </c>
      <c r="BI21" s="16">
        <v>1944</v>
      </c>
      <c r="BJ21" s="41">
        <f t="shared" si="17"/>
        <v>-12583.299367541113</v>
      </c>
      <c r="BK21" s="41">
        <f t="shared" si="18"/>
        <v>-45002.55920816161</v>
      </c>
      <c r="BL21" s="41">
        <f t="shared" si="19"/>
        <v>63251.343497272865</v>
      </c>
      <c r="BM21" s="41">
        <f t="shared" si="20"/>
        <v>55772.688573979096</v>
      </c>
      <c r="BN21" s="41">
        <f t="shared" si="21"/>
        <v>3239.946076146226</v>
      </c>
      <c r="BO21" s="41">
        <f t="shared" si="22"/>
        <v>-6785.378567179238</v>
      </c>
      <c r="BP21" s="41">
        <f t="shared" si="29"/>
        <v>-589863.2293631355</v>
      </c>
      <c r="BQ21" s="41">
        <f t="shared" si="23"/>
        <v>-228589.71560355823</v>
      </c>
      <c r="BR21" s="41">
        <f t="shared" si="24"/>
        <v>-1208483.4362859253</v>
      </c>
      <c r="BS21" s="41">
        <f t="shared" si="25"/>
        <v>-15139.003491729207</v>
      </c>
      <c r="BT21" s="41">
        <f t="shared" si="26"/>
        <v>50840.160072809056</v>
      </c>
      <c r="BU21" s="41">
        <f t="shared" si="27"/>
        <v>-2732.415626461026</v>
      </c>
      <c r="BV21" s="42">
        <f t="shared" si="28"/>
        <v>-1936074.899293484</v>
      </c>
    </row>
    <row r="22" spans="2:74" ht="15">
      <c r="B22" s="16">
        <v>1945</v>
      </c>
      <c r="C22" s="33">
        <v>85.42302355179858</v>
      </c>
      <c r="D22" s="33">
        <v>327.5850063596748</v>
      </c>
      <c r="E22" s="33">
        <v>-294.92219135527125</v>
      </c>
      <c r="F22" s="33">
        <v>-1223.1654223958942</v>
      </c>
      <c r="G22" s="33">
        <v>-744.418735588277</v>
      </c>
      <c r="H22" s="33">
        <v>-248.09865060399596</v>
      </c>
      <c r="I22" s="33">
        <v>-628.6171683293046</v>
      </c>
      <c r="J22" s="33">
        <v>3764.72323800539</v>
      </c>
      <c r="K22" s="33">
        <v>3773.040919303171</v>
      </c>
      <c r="L22" s="33">
        <v>39.556915101819826</v>
      </c>
      <c r="M22" s="33">
        <v>412.13750276709754</v>
      </c>
      <c r="N22" s="33">
        <v>155.31912976472967</v>
      </c>
      <c r="O22" s="34">
        <f t="shared" si="2"/>
        <v>456.4531115142899</v>
      </c>
      <c r="Q22" s="16">
        <v>1945</v>
      </c>
      <c r="R22" s="33">
        <f>('FY19 Spill Cost'!C22-'FY19 Spill Cost'!T22)*(1-$S$3)</f>
        <v>0</v>
      </c>
      <c r="S22" s="33">
        <f>('FY19 Spill Cost'!D22-'FY19 Spill Cost'!U22)*(1-$S$3)</f>
        <v>0</v>
      </c>
      <c r="T22" s="33">
        <f>('FY19 Spill Cost'!E22-'FY19 Spill Cost'!V22)*(1-$S$3)</f>
        <v>0</v>
      </c>
      <c r="U22" s="33">
        <f>('FY19 Spill Cost'!F22-'FY19 Spill Cost'!W22)*(1-$S$3)</f>
        <v>0</v>
      </c>
      <c r="V22" s="33">
        <f>('FY19 Spill Cost'!G22-'FY19 Spill Cost'!X22)*(1-$S$3)</f>
        <v>0</v>
      </c>
      <c r="W22" s="33">
        <f>('FY19 Spill Cost'!H22-'FY19 Spill Cost'!Y22)*(1-$S$3)</f>
        <v>0</v>
      </c>
      <c r="X22" s="33">
        <f>(('FY19 Spill Cost'!I22-'FY19 Spill Cost'!Z22)*15/30+('FY19 Spill Cost'!J22-'FY19 Spill Cost'!AA22)*15/30)*(1-$S$3)</f>
        <v>510.33004100000005</v>
      </c>
      <c r="Y22" s="33">
        <f>('FY19 Spill Cost'!K22-'FY19 Spill Cost'!AB22)*(1-$S$3)</f>
        <v>1009.070452</v>
      </c>
      <c r="Z22" s="33">
        <f>('FY19 Spill Cost'!L22-'FY19 Spill Cost'!AC22)*(1-$S$3)</f>
        <v>551.666388</v>
      </c>
      <c r="AA22" s="33">
        <f>('FY19 Spill Cost'!M22-'FY19 Spill Cost'!AD22)*(1-$S$3)</f>
        <v>-71.855706</v>
      </c>
      <c r="AB22" s="33">
        <f>(('FY19 Spill Cost'!N22-'FY19 Spill Cost'!AE22)*15/31+('FY19 Spill Cost'!O22-'FY19 Spill Cost'!AF22)*16/31)*(1-$S$3)</f>
        <v>100.44346</v>
      </c>
      <c r="AC22" s="33">
        <f>('FY19 Spill Cost'!P22-'FY19 Spill Cost'!AG22)*(1-$S$3)</f>
        <v>0</v>
      </c>
      <c r="AD22" s="34">
        <f t="shared" si="3"/>
        <v>175.4172527561644</v>
      </c>
      <c r="AF22" s="16">
        <v>1945</v>
      </c>
      <c r="AG22" s="33">
        <f t="shared" si="4"/>
        <v>85.42302355179858</v>
      </c>
      <c r="AH22" s="33">
        <f t="shared" si="5"/>
        <v>327.5850063596748</v>
      </c>
      <c r="AI22" s="33">
        <f t="shared" si="6"/>
        <v>-294.92219135527125</v>
      </c>
      <c r="AJ22" s="33">
        <f t="shared" si="7"/>
        <v>-1223.1654223958942</v>
      </c>
      <c r="AK22" s="33">
        <f t="shared" si="8"/>
        <v>-744.418735588277</v>
      </c>
      <c r="AL22" s="33">
        <f t="shared" si="9"/>
        <v>-248.09865060399596</v>
      </c>
      <c r="AM22" s="33">
        <f t="shared" si="10"/>
        <v>-1138.9472093293048</v>
      </c>
      <c r="AN22" s="33">
        <f t="shared" si="11"/>
        <v>2755.65278600539</v>
      </c>
      <c r="AO22" s="33">
        <f t="shared" si="12"/>
        <v>3221.374531303171</v>
      </c>
      <c r="AP22" s="33">
        <f t="shared" si="13"/>
        <v>111.41262110181982</v>
      </c>
      <c r="AQ22" s="33">
        <f t="shared" si="14"/>
        <v>311.6940427670975</v>
      </c>
      <c r="AR22" s="33">
        <f t="shared" si="15"/>
        <v>155.31912976472967</v>
      </c>
      <c r="AS22" s="34">
        <f t="shared" si="16"/>
        <v>281.0358587581255</v>
      </c>
      <c r="AT22" s="33"/>
      <c r="AU22" s="16">
        <v>1945</v>
      </c>
      <c r="AV22" s="23">
        <f>'FY19 Aurora Prices for SecR'!AR21-'FY19 Aurora Prices for SecR'!AD21</f>
        <v>0.0493762154732984</v>
      </c>
      <c r="AW22" s="23">
        <f>'FY19 Aurora Prices for SecR'!AS21-'FY19 Aurora Prices for SecR'!AE21</f>
        <v>0.0400928269808567</v>
      </c>
      <c r="AX22" s="23">
        <f>'FY19 Aurora Prices for SecR'!AT21-'FY19 Aurora Prices for SecR'!AF21</f>
        <v>0.013311541465053978</v>
      </c>
      <c r="AY22" s="23">
        <f>'FY19 Aurora Prices for SecR'!AU21-'FY19 Aurora Prices for SecR'!AG21</f>
        <v>-0.016702618137482972</v>
      </c>
      <c r="AZ22" s="23">
        <f>'FY19 Aurora Prices for SecR'!AV21-'FY19 Aurora Prices for SecR'!AH21</f>
        <v>-0.01794071197512892</v>
      </c>
      <c r="BA22" s="23">
        <f>'FY19 Aurora Prices for SecR'!AW21-'FY19 Aurora Prices for SecR'!AI21</f>
        <v>0.006691002492768661</v>
      </c>
      <c r="BB22" s="23">
        <f>'FY19 Aurora Prices for SecR'!AX21-'FY19 Aurora Prices for SecR'!AJ21</f>
        <v>1.3029908227920117</v>
      </c>
      <c r="BC22" s="23">
        <f>'FY19 Aurora Prices for SecR'!AY21-'FY19 Aurora Prices for SecR'!AK21</f>
        <v>1.071585733147117</v>
      </c>
      <c r="BD22" s="23">
        <f>'FY19 Aurora Prices for SecR'!AZ21-'FY19 Aurora Prices for SecR'!AL21</f>
        <v>0.6690701113806448</v>
      </c>
      <c r="BE22" s="23">
        <f>'FY19 Aurora Prices for SecR'!BA21-'FY19 Aurora Prices for SecR'!AM21</f>
        <v>-0.0866938452567041</v>
      </c>
      <c r="BF22" s="23">
        <f>'FY19 Aurora Prices for SecR'!BB21-'FY19 Aurora Prices for SecR'!AN21</f>
        <v>0.17646476299535863</v>
      </c>
      <c r="BG22" s="24">
        <f>'FY19 Aurora Prices for SecR'!BC21-'FY19 Aurora Prices for SecR'!AO21</f>
        <v>0.009073713620509238</v>
      </c>
      <c r="BI22" s="16">
        <v>1945</v>
      </c>
      <c r="BJ22" s="41">
        <f t="shared" si="17"/>
        <v>3138.0920192520425</v>
      </c>
      <c r="BK22" s="41">
        <f t="shared" si="18"/>
        <v>9469.476275662426</v>
      </c>
      <c r="BL22" s="41">
        <f t="shared" si="19"/>
        <v>-2920.846520517566</v>
      </c>
      <c r="BM22" s="41">
        <f t="shared" si="20"/>
        <v>15199.968337123253</v>
      </c>
      <c r="BN22" s="41">
        <f t="shared" si="21"/>
        <v>8974.83022738104</v>
      </c>
      <c r="BO22" s="41">
        <f t="shared" si="22"/>
        <v>-1233.4013164054013</v>
      </c>
      <c r="BP22" s="41">
        <f t="shared" si="29"/>
        <v>-1068507.1882084727</v>
      </c>
      <c r="BQ22" s="41">
        <f t="shared" si="23"/>
        <v>2196971.1489769183</v>
      </c>
      <c r="BR22" s="41">
        <f t="shared" si="24"/>
        <v>1551834.2998496052</v>
      </c>
      <c r="BS22" s="41">
        <f t="shared" si="25"/>
        <v>-7186.13866888306</v>
      </c>
      <c r="BT22" s="41">
        <f t="shared" si="26"/>
        <v>40922.243445667016</v>
      </c>
      <c r="BU22" s="41">
        <f t="shared" si="27"/>
        <v>1014.711338355746</v>
      </c>
      <c r="BV22" s="42">
        <f t="shared" si="28"/>
        <v>2747677.195755686</v>
      </c>
    </row>
    <row r="23" spans="2:74" ht="15">
      <c r="B23" s="16">
        <v>1946</v>
      </c>
      <c r="C23" s="33">
        <v>107.18760843732703</v>
      </c>
      <c r="D23" s="33">
        <v>442.7599699416466</v>
      </c>
      <c r="E23" s="33">
        <v>280.48306195999885</v>
      </c>
      <c r="F23" s="33">
        <v>1230.4905185476857</v>
      </c>
      <c r="G23" s="33">
        <v>1242.510576153661</v>
      </c>
      <c r="H23" s="33">
        <v>2280.5260856012587</v>
      </c>
      <c r="I23" s="33">
        <v>4814.889198143575</v>
      </c>
      <c r="J23" s="33">
        <v>5137.126638243069</v>
      </c>
      <c r="K23" s="33">
        <v>3503.3276954355706</v>
      </c>
      <c r="L23" s="33">
        <v>3483.1597229058184</v>
      </c>
      <c r="M23" s="33">
        <v>1503.7345818143967</v>
      </c>
      <c r="N23" s="33">
        <v>594.0033971042487</v>
      </c>
      <c r="O23" s="34">
        <f t="shared" si="2"/>
        <v>2054.9783153580747</v>
      </c>
      <c r="Q23" s="16">
        <v>1946</v>
      </c>
      <c r="R23" s="33">
        <f>('FY19 Spill Cost'!C23-'FY19 Spill Cost'!T23)*(1-$S$3)</f>
        <v>0</v>
      </c>
      <c r="S23" s="33">
        <f>('FY19 Spill Cost'!D23-'FY19 Spill Cost'!U23)*(1-$S$3)</f>
        <v>0</v>
      </c>
      <c r="T23" s="33">
        <f>('FY19 Spill Cost'!E23-'FY19 Spill Cost'!V23)*(1-$S$3)</f>
        <v>0</v>
      </c>
      <c r="U23" s="33">
        <f>('FY19 Spill Cost'!F23-'FY19 Spill Cost'!W23)*(1-$S$3)</f>
        <v>0</v>
      </c>
      <c r="V23" s="33">
        <f>('FY19 Spill Cost'!G23-'FY19 Spill Cost'!X23)*(1-$S$3)</f>
        <v>0</v>
      </c>
      <c r="W23" s="33">
        <f>('FY19 Spill Cost'!H23-'FY19 Spill Cost'!Y23)*(1-$S$3)</f>
        <v>0</v>
      </c>
      <c r="X23" s="33">
        <f>(('FY19 Spill Cost'!I23-'FY19 Spill Cost'!Z23)*15/30+('FY19 Spill Cost'!J23-'FY19 Spill Cost'!AA23)*15/30)*(1-$S$3)</f>
        <v>527.7144860000001</v>
      </c>
      <c r="Y23" s="33">
        <f>('FY19 Spill Cost'!K23-'FY19 Spill Cost'!AB23)*(1-$S$3)</f>
        <v>650.564564</v>
      </c>
      <c r="Z23" s="33">
        <f>('FY19 Spill Cost'!L23-'FY19 Spill Cost'!AC23)*(1-$S$3)</f>
        <v>564.8013020000001</v>
      </c>
      <c r="AA23" s="33">
        <f>('FY19 Spill Cost'!M23-'FY19 Spill Cost'!AD23)*(1-$S$3)</f>
        <v>-38.6321</v>
      </c>
      <c r="AB23" s="33">
        <f>(('FY19 Spill Cost'!N23-'FY19 Spill Cost'!AE23)*15/31+('FY19 Spill Cost'!O23-'FY19 Spill Cost'!AF23)*16/31)*(1-$S$3)</f>
        <v>128.33334380645164</v>
      </c>
      <c r="AC23" s="33">
        <f>('FY19 Spill Cost'!P23-'FY19 Spill Cost'!AG23)*(1-$S$3)</f>
        <v>0</v>
      </c>
      <c r="AD23" s="34">
        <f t="shared" si="3"/>
        <v>152.66770871780824</v>
      </c>
      <c r="AF23" s="16">
        <v>1946</v>
      </c>
      <c r="AG23" s="33">
        <f t="shared" si="4"/>
        <v>107.18760843732703</v>
      </c>
      <c r="AH23" s="33">
        <f t="shared" si="5"/>
        <v>442.7599699416466</v>
      </c>
      <c r="AI23" s="33">
        <f t="shared" si="6"/>
        <v>280.48306195999885</v>
      </c>
      <c r="AJ23" s="33">
        <f t="shared" si="7"/>
        <v>1230.4905185476857</v>
      </c>
      <c r="AK23" s="33">
        <f t="shared" si="8"/>
        <v>1242.510576153661</v>
      </c>
      <c r="AL23" s="33">
        <f t="shared" si="9"/>
        <v>2280.5260856012587</v>
      </c>
      <c r="AM23" s="33">
        <f t="shared" si="10"/>
        <v>4287.174712143576</v>
      </c>
      <c r="AN23" s="33">
        <f t="shared" si="11"/>
        <v>4486.562074243068</v>
      </c>
      <c r="AO23" s="33">
        <f t="shared" si="12"/>
        <v>2938.5263934355708</v>
      </c>
      <c r="AP23" s="33">
        <f t="shared" si="13"/>
        <v>3521.791822905818</v>
      </c>
      <c r="AQ23" s="33">
        <f t="shared" si="14"/>
        <v>1375.401238007945</v>
      </c>
      <c r="AR23" s="33">
        <f t="shared" si="15"/>
        <v>594.0033971042487</v>
      </c>
      <c r="AS23" s="34">
        <f t="shared" si="16"/>
        <v>1902.3106066402668</v>
      </c>
      <c r="AT23" s="33"/>
      <c r="AU23" s="16">
        <v>1946</v>
      </c>
      <c r="AV23" s="23">
        <f>'FY19 Aurora Prices for SecR'!AR22-'FY19 Aurora Prices for SecR'!AD22</f>
        <v>-0.01887824381553216</v>
      </c>
      <c r="AW23" s="23">
        <f>'FY19 Aurora Prices for SecR'!AS22-'FY19 Aurora Prices for SecR'!AE22</f>
        <v>0.009040431473685828</v>
      </c>
      <c r="AX23" s="23">
        <f>'FY19 Aurora Prices for SecR'!AT22-'FY19 Aurora Prices for SecR'!AF22</f>
        <v>0.024222072478302437</v>
      </c>
      <c r="AY23" s="23">
        <f>'FY19 Aurora Prices for SecR'!AU22-'FY19 Aurora Prices for SecR'!AG22</f>
        <v>0.002486508892467043</v>
      </c>
      <c r="AZ23" s="23">
        <f>'FY19 Aurora Prices for SecR'!AV22-'FY19 Aurora Prices for SecR'!AH22</f>
        <v>0.04656498091562611</v>
      </c>
      <c r="BA23" s="23">
        <f>'FY19 Aurora Prices for SecR'!AW22-'FY19 Aurora Prices for SecR'!AI22</f>
        <v>0.024803770791834268</v>
      </c>
      <c r="BB23" s="23">
        <f>'FY19 Aurora Prices for SecR'!AX22-'FY19 Aurora Prices for SecR'!AJ22</f>
        <v>0.996144825658849</v>
      </c>
      <c r="BC23" s="23">
        <f>'FY19 Aurora Prices for SecR'!AY22-'FY19 Aurora Prices for SecR'!AK22</f>
        <v>2.0983404056359625</v>
      </c>
      <c r="BD23" s="23">
        <f>'FY19 Aurora Prices for SecR'!AZ22-'FY19 Aurora Prices for SecR'!AL22</f>
        <v>0.9362787087758129</v>
      </c>
      <c r="BE23" s="23">
        <f>'FY19 Aurora Prices for SecR'!BA22-'FY19 Aurora Prices for SecR'!AM22</f>
        <v>0.02080218779139642</v>
      </c>
      <c r="BF23" s="23">
        <f>'FY19 Aurora Prices for SecR'!BB22-'FY19 Aurora Prices for SecR'!AN22</f>
        <v>0.2169978434039841</v>
      </c>
      <c r="BG23" s="24">
        <f>'FY19 Aurora Prices for SecR'!BC22-'FY19 Aurora Prices for SecR'!AO22</f>
        <v>0.025093971888193067</v>
      </c>
      <c r="BI23" s="16">
        <v>1946</v>
      </c>
      <c r="BJ23" s="41">
        <f t="shared" si="17"/>
        <v>-1505.4942717262368</v>
      </c>
      <c r="BK23" s="41">
        <f t="shared" si="18"/>
        <v>2885.976381802579</v>
      </c>
      <c r="BL23" s="41">
        <f t="shared" si="19"/>
        <v>5054.647505464076</v>
      </c>
      <c r="BM23" s="41">
        <f t="shared" si="20"/>
        <v>2276.3614586501117</v>
      </c>
      <c r="BN23" s="41">
        <f t="shared" si="21"/>
        <v>38880.22741079153</v>
      </c>
      <c r="BO23" s="41">
        <f t="shared" si="22"/>
        <v>42028.27520985511</v>
      </c>
      <c r="BP23" s="41">
        <f t="shared" si="29"/>
        <v>3074865.7724620476</v>
      </c>
      <c r="BQ23" s="41">
        <f t="shared" si="23"/>
        <v>7004264.855186925</v>
      </c>
      <c r="BR23" s="41">
        <f t="shared" si="24"/>
        <v>1980921.382091642</v>
      </c>
      <c r="BS23" s="41">
        <f t="shared" si="25"/>
        <v>54506.16529754462</v>
      </c>
      <c r="BT23" s="41">
        <f t="shared" si="26"/>
        <v>222053.57223239308</v>
      </c>
      <c r="BU23" s="41">
        <f t="shared" si="27"/>
        <v>10732.251274866145</v>
      </c>
      <c r="BV23" s="42">
        <f t="shared" si="28"/>
        <v>12436963.992240258</v>
      </c>
    </row>
    <row r="24" spans="2:74" ht="15">
      <c r="B24" s="16">
        <v>1947</v>
      </c>
      <c r="C24" s="33">
        <v>96.82040273383107</v>
      </c>
      <c r="D24" s="33">
        <v>520.1021977825501</v>
      </c>
      <c r="E24" s="33">
        <v>3114.5406618516517</v>
      </c>
      <c r="F24" s="33">
        <v>3505.243396461027</v>
      </c>
      <c r="G24" s="33">
        <v>3162.62739122361</v>
      </c>
      <c r="H24" s="33">
        <v>3366.5288433962364</v>
      </c>
      <c r="I24" s="33">
        <v>2948.5326515313996</v>
      </c>
      <c r="J24" s="33">
        <v>4983.210805412038</v>
      </c>
      <c r="K24" s="33">
        <v>3728.9251546107566</v>
      </c>
      <c r="L24" s="33">
        <v>2934.304603545253</v>
      </c>
      <c r="M24" s="33">
        <v>1119.9337576622577</v>
      </c>
      <c r="N24" s="33">
        <v>331.307339963116</v>
      </c>
      <c r="O24" s="34">
        <f t="shared" si="2"/>
        <v>2485.0384733249125</v>
      </c>
      <c r="Q24" s="16">
        <v>1947</v>
      </c>
      <c r="R24" s="33">
        <f>('FY19 Spill Cost'!C24-'FY19 Spill Cost'!T24)*(1-$S$3)</f>
        <v>0</v>
      </c>
      <c r="S24" s="33">
        <f>('FY19 Spill Cost'!D24-'FY19 Spill Cost'!U24)*(1-$S$3)</f>
        <v>0</v>
      </c>
      <c r="T24" s="33">
        <f>('FY19 Spill Cost'!E24-'FY19 Spill Cost'!V24)*(1-$S$3)</f>
        <v>0</v>
      </c>
      <c r="U24" s="33">
        <f>('FY19 Spill Cost'!F24-'FY19 Spill Cost'!W24)*(1-$S$3)</f>
        <v>0</v>
      </c>
      <c r="V24" s="33">
        <f>('FY19 Spill Cost'!G24-'FY19 Spill Cost'!X24)*(1-$S$3)</f>
        <v>0</v>
      </c>
      <c r="W24" s="33">
        <f>('FY19 Spill Cost'!H24-'FY19 Spill Cost'!Y24)*(1-$S$3)</f>
        <v>0</v>
      </c>
      <c r="X24" s="33">
        <f>(('FY19 Spill Cost'!I24-'FY19 Spill Cost'!Z24)*15/30+('FY19 Spill Cost'!J24-'FY19 Spill Cost'!AA24)*15/30)*(1-$S$3)</f>
        <v>798.5255070000001</v>
      </c>
      <c r="Y24" s="33">
        <f>('FY19 Spill Cost'!K24-'FY19 Spill Cost'!AB24)*(1-$S$3)</f>
        <v>713.9212080000001</v>
      </c>
      <c r="Z24" s="33">
        <f>('FY19 Spill Cost'!L24-'FY19 Spill Cost'!AC24)*(1-$S$3)</f>
        <v>543.939968</v>
      </c>
      <c r="AA24" s="33">
        <f>('FY19 Spill Cost'!M24-'FY19 Spill Cost'!AD24)*(1-$S$3)</f>
        <v>-45.585878</v>
      </c>
      <c r="AB24" s="33">
        <f>(('FY19 Spill Cost'!N24-'FY19 Spill Cost'!AE24)*15/31+('FY19 Spill Cost'!O24-'FY19 Spill Cost'!AF24)*16/31)*(1-$S$3)</f>
        <v>125.69140664516131</v>
      </c>
      <c r="AC24" s="33">
        <f>('FY19 Spill Cost'!P24-'FY19 Spill Cost'!AG24)*(1-$S$3)</f>
        <v>0</v>
      </c>
      <c r="AD24" s="34">
        <f t="shared" si="3"/>
        <v>177.77751530410958</v>
      </c>
      <c r="AF24" s="16">
        <v>1947</v>
      </c>
      <c r="AG24" s="33">
        <f t="shared" si="4"/>
        <v>96.82040273383107</v>
      </c>
      <c r="AH24" s="33">
        <f t="shared" si="5"/>
        <v>520.1021977825501</v>
      </c>
      <c r="AI24" s="33">
        <f t="shared" si="6"/>
        <v>3114.5406618516517</v>
      </c>
      <c r="AJ24" s="33">
        <f t="shared" si="7"/>
        <v>3505.243396461027</v>
      </c>
      <c r="AK24" s="33">
        <f t="shared" si="8"/>
        <v>3162.62739122361</v>
      </c>
      <c r="AL24" s="33">
        <f t="shared" si="9"/>
        <v>3366.5288433962364</v>
      </c>
      <c r="AM24" s="33">
        <f t="shared" si="10"/>
        <v>2150.0071445313997</v>
      </c>
      <c r="AN24" s="33">
        <f t="shared" si="11"/>
        <v>4269.289597412038</v>
      </c>
      <c r="AO24" s="33">
        <f t="shared" si="12"/>
        <v>3184.9851866107565</v>
      </c>
      <c r="AP24" s="33">
        <f t="shared" si="13"/>
        <v>2979.890481545253</v>
      </c>
      <c r="AQ24" s="33">
        <f t="shared" si="14"/>
        <v>994.2423510170963</v>
      </c>
      <c r="AR24" s="33">
        <f t="shared" si="15"/>
        <v>331.307339963116</v>
      </c>
      <c r="AS24" s="34">
        <f t="shared" si="16"/>
        <v>2307.2609580208027</v>
      </c>
      <c r="AT24" s="33"/>
      <c r="AU24" s="16">
        <v>1947</v>
      </c>
      <c r="AV24" s="23">
        <f>'FY19 Aurora Prices for SecR'!AR23-'FY19 Aurora Prices for SecR'!AD23</f>
        <v>-0.02786072607967327</v>
      </c>
      <c r="AW24" s="23">
        <f>'FY19 Aurora Prices for SecR'!AS23-'FY19 Aurora Prices for SecR'!AE23</f>
        <v>-0.0018529767302730704</v>
      </c>
      <c r="AX24" s="23">
        <f>'FY19 Aurora Prices for SecR'!AT23-'FY19 Aurora Prices for SecR'!AF23</f>
        <v>0.003037084046269456</v>
      </c>
      <c r="AY24" s="23">
        <f>'FY19 Aurora Prices for SecR'!AU23-'FY19 Aurora Prices for SecR'!AG23</f>
        <v>-0.006196561936445022</v>
      </c>
      <c r="AZ24" s="23">
        <f>'FY19 Aurora Prices for SecR'!AV23-'FY19 Aurora Prices for SecR'!AH23</f>
        <v>-0.007331265721997937</v>
      </c>
      <c r="BA24" s="23">
        <f>'FY19 Aurora Prices for SecR'!AW23-'FY19 Aurora Prices for SecR'!AI23</f>
        <v>0.010053495812019975</v>
      </c>
      <c r="BB24" s="23">
        <f>'FY19 Aurora Prices for SecR'!AX23-'FY19 Aurora Prices for SecR'!AJ23</f>
        <v>0.9064270059268189</v>
      </c>
      <c r="BC24" s="23">
        <f>'FY19 Aurora Prices for SecR'!AY23-'FY19 Aurora Prices for SecR'!AK23</f>
        <v>1.492264565472949</v>
      </c>
      <c r="BD24" s="23">
        <f>'FY19 Aurora Prices for SecR'!AZ23-'FY19 Aurora Prices for SecR'!AL23</f>
        <v>0.9198164542516203</v>
      </c>
      <c r="BE24" s="23">
        <f>'FY19 Aurora Prices for SecR'!BA23-'FY19 Aurora Prices for SecR'!AM23</f>
        <v>-0.04913074765152814</v>
      </c>
      <c r="BF24" s="23">
        <f>'FY19 Aurora Prices for SecR'!BB23-'FY19 Aurora Prices for SecR'!AN23</f>
        <v>0.21619565794544116</v>
      </c>
      <c r="BG24" s="24">
        <f>'FY19 Aurora Prices for SecR'!BC23-'FY19 Aurora Prices for SecR'!AO23</f>
        <v>-0.05380965709688823</v>
      </c>
      <c r="BI24" s="16">
        <v>1947</v>
      </c>
      <c r="BJ24" s="41">
        <f t="shared" si="17"/>
        <v>-2006.930119301242</v>
      </c>
      <c r="BK24" s="41">
        <f t="shared" si="18"/>
        <v>-694.8545715654171</v>
      </c>
      <c r="BL24" s="41">
        <f t="shared" si="19"/>
        <v>7037.586586141971</v>
      </c>
      <c r="BM24" s="41">
        <f t="shared" si="20"/>
        <v>-16160.020609513336</v>
      </c>
      <c r="BN24" s="41">
        <f t="shared" si="21"/>
        <v>-15581.033519338165</v>
      </c>
      <c r="BO24" s="41">
        <f t="shared" si="22"/>
        <v>25147.12003569948</v>
      </c>
      <c r="BP24" s="41">
        <f t="shared" si="29"/>
        <v>1403153.6678919836</v>
      </c>
      <c r="BQ24" s="41">
        <f t="shared" si="23"/>
        <v>4739956.73195443</v>
      </c>
      <c r="BR24" s="41">
        <f t="shared" si="24"/>
        <v>2109313.2824584134</v>
      </c>
      <c r="BS24" s="41">
        <f t="shared" si="25"/>
        <v>-108924.75997482493</v>
      </c>
      <c r="BT24" s="41">
        <f t="shared" si="26"/>
        <v>159923.45415111037</v>
      </c>
      <c r="BU24" s="41">
        <f t="shared" si="27"/>
        <v>-12835.824737110162</v>
      </c>
      <c r="BV24" s="42">
        <f t="shared" si="28"/>
        <v>8288328.419546125</v>
      </c>
    </row>
    <row r="25" spans="2:74" ht="15">
      <c r="B25" s="16">
        <v>1948</v>
      </c>
      <c r="C25" s="33">
        <v>2492.882843442166</v>
      </c>
      <c r="D25" s="33">
        <v>1664.7365035387988</v>
      </c>
      <c r="E25" s="33">
        <v>1629.710430064919</v>
      </c>
      <c r="F25" s="33">
        <v>3330.534466343283</v>
      </c>
      <c r="G25" s="33">
        <v>2104.172833499216</v>
      </c>
      <c r="H25" s="33">
        <v>2306.8950786218074</v>
      </c>
      <c r="I25" s="33">
        <v>3256.3998435442036</v>
      </c>
      <c r="J25" s="33">
        <v>6048.4612371959975</v>
      </c>
      <c r="K25" s="33">
        <v>5817.887881996765</v>
      </c>
      <c r="L25" s="33">
        <v>3832.1717727862642</v>
      </c>
      <c r="M25" s="33">
        <v>2859.1149658558375</v>
      </c>
      <c r="N25" s="33">
        <v>879.8661663179184</v>
      </c>
      <c r="O25" s="34">
        <f t="shared" si="2"/>
        <v>3027.2594225102243</v>
      </c>
      <c r="Q25" s="16">
        <v>1948</v>
      </c>
      <c r="R25" s="33">
        <f>('FY19 Spill Cost'!C25-'FY19 Spill Cost'!T25)*(1-$S$3)</f>
        <v>0</v>
      </c>
      <c r="S25" s="33">
        <f>('FY19 Spill Cost'!D25-'FY19 Spill Cost'!U25)*(1-$S$3)</f>
        <v>0</v>
      </c>
      <c r="T25" s="33">
        <f>('FY19 Spill Cost'!E25-'FY19 Spill Cost'!V25)*(1-$S$3)</f>
        <v>0</v>
      </c>
      <c r="U25" s="33">
        <f>('FY19 Spill Cost'!F25-'FY19 Spill Cost'!W25)*(1-$S$3)</f>
        <v>0</v>
      </c>
      <c r="V25" s="33">
        <f>('FY19 Spill Cost'!G25-'FY19 Spill Cost'!X25)*(1-$S$3)</f>
        <v>0</v>
      </c>
      <c r="W25" s="33">
        <f>('FY19 Spill Cost'!H25-'FY19 Spill Cost'!Y25)*(1-$S$3)</f>
        <v>0</v>
      </c>
      <c r="X25" s="33">
        <f>(('FY19 Spill Cost'!I25-'FY19 Spill Cost'!Z25)*15/30+('FY19 Spill Cost'!J25-'FY19 Spill Cost'!AA25)*15/30)*(1-$S$3)</f>
        <v>764.9155800000001</v>
      </c>
      <c r="Y25" s="33">
        <f>('FY19 Spill Cost'!K25-'FY19 Spill Cost'!AB25)*(1-$S$3)</f>
        <v>66.44721200000001</v>
      </c>
      <c r="Z25" s="33">
        <f>('FY19 Spill Cost'!L25-'FY19 Spill Cost'!AC25)*(1-$S$3)</f>
        <v>20.088692</v>
      </c>
      <c r="AA25" s="33">
        <f>('FY19 Spill Cost'!M25-'FY19 Spill Cost'!AD25)*(1-$S$3)</f>
        <v>-64.12928600000001</v>
      </c>
      <c r="AB25" s="33">
        <f>(('FY19 Spill Cost'!N25-'FY19 Spill Cost'!AE25)*15/31+('FY19 Spill Cost'!O25-'FY19 Spill Cost'!AF25)*16/31)*(1-$S$3)</f>
        <v>145.8050225806452</v>
      </c>
      <c r="AC25" s="33">
        <f>('FY19 Spill Cost'!P25-'FY19 Spill Cost'!AG25)*(1-$S$3)</f>
        <v>0</v>
      </c>
      <c r="AD25" s="34">
        <f t="shared" si="3"/>
        <v>77.10120429041098</v>
      </c>
      <c r="AF25" s="16">
        <v>1948</v>
      </c>
      <c r="AG25" s="33">
        <f t="shared" si="4"/>
        <v>2492.882843442166</v>
      </c>
      <c r="AH25" s="33">
        <f t="shared" si="5"/>
        <v>1664.7365035387988</v>
      </c>
      <c r="AI25" s="33">
        <f t="shared" si="6"/>
        <v>1629.710430064919</v>
      </c>
      <c r="AJ25" s="33">
        <f t="shared" si="7"/>
        <v>3330.534466343283</v>
      </c>
      <c r="AK25" s="33">
        <f t="shared" si="8"/>
        <v>2104.172833499216</v>
      </c>
      <c r="AL25" s="33">
        <f t="shared" si="9"/>
        <v>2306.8950786218074</v>
      </c>
      <c r="AM25" s="33">
        <f t="shared" si="10"/>
        <v>2491.4842635442037</v>
      </c>
      <c r="AN25" s="33">
        <f t="shared" si="11"/>
        <v>5982.014025195997</v>
      </c>
      <c r="AO25" s="33">
        <f t="shared" si="12"/>
        <v>5797.799189996765</v>
      </c>
      <c r="AP25" s="33">
        <f t="shared" si="13"/>
        <v>3896.301058786264</v>
      </c>
      <c r="AQ25" s="33">
        <f t="shared" si="14"/>
        <v>2713.3099432751924</v>
      </c>
      <c r="AR25" s="33">
        <f t="shared" si="15"/>
        <v>879.8661663179184</v>
      </c>
      <c r="AS25" s="34">
        <f t="shared" si="16"/>
        <v>2950.158218219814</v>
      </c>
      <c r="AT25" s="33"/>
      <c r="AU25" s="16">
        <v>1948</v>
      </c>
      <c r="AV25" s="23">
        <f>'FY19 Aurora Prices for SecR'!AR24-'FY19 Aurora Prices for SecR'!AD24</f>
        <v>0.017096387955444214</v>
      </c>
      <c r="AW25" s="23">
        <f>'FY19 Aurora Prices for SecR'!AS24-'FY19 Aurora Prices for SecR'!AE24</f>
        <v>-0.015477379218218346</v>
      </c>
      <c r="AX25" s="23">
        <f>'FY19 Aurora Prices for SecR'!AT24-'FY19 Aurora Prices for SecR'!AF24</f>
        <v>-0.022249020812349585</v>
      </c>
      <c r="AY25" s="23">
        <f>'FY19 Aurora Prices for SecR'!AU24-'FY19 Aurora Prices for SecR'!AG24</f>
        <v>0.00461855883234108</v>
      </c>
      <c r="AZ25" s="23">
        <f>'FY19 Aurora Prices for SecR'!AV24-'FY19 Aurora Prices for SecR'!AH24</f>
        <v>-0.014036607742305307</v>
      </c>
      <c r="BA25" s="23">
        <f>'FY19 Aurora Prices for SecR'!AW24-'FY19 Aurora Prices for SecR'!AI24</f>
        <v>-0.03573931871160951</v>
      </c>
      <c r="BB25" s="23">
        <f>'FY19 Aurora Prices for SecR'!AX24-'FY19 Aurora Prices for SecR'!AJ24</f>
        <v>0.8480106682247133</v>
      </c>
      <c r="BC25" s="23">
        <f>'FY19 Aurora Prices for SecR'!AY24-'FY19 Aurora Prices for SecR'!AK24</f>
        <v>0.3963541104588497</v>
      </c>
      <c r="BD25" s="23">
        <f>'FY19 Aurora Prices for SecR'!AZ24-'FY19 Aurora Prices for SecR'!AL24</f>
        <v>0.09365118675761064</v>
      </c>
      <c r="BE25" s="23">
        <f>'FY19 Aurora Prices for SecR'!BA24-'FY19 Aurora Prices for SecR'!AM24</f>
        <v>-0.2760696176559847</v>
      </c>
      <c r="BF25" s="23">
        <f>'FY19 Aurora Prices for SecR'!BB24-'FY19 Aurora Prices for SecR'!AN24</f>
        <v>0.19419304940012339</v>
      </c>
      <c r="BG25" s="24">
        <f>'FY19 Aurora Prices for SecR'!BC24-'FY19 Aurora Prices for SecR'!AO24</f>
        <v>-0.13304105917610087</v>
      </c>
      <c r="BI25" s="16">
        <v>1948</v>
      </c>
      <c r="BJ25" s="41">
        <f t="shared" si="17"/>
        <v>31708.75341090488</v>
      </c>
      <c r="BK25" s="41">
        <f t="shared" si="18"/>
        <v>-18577.111636013913</v>
      </c>
      <c r="BL25" s="41">
        <f t="shared" si="19"/>
        <v>-26977.039189803476</v>
      </c>
      <c r="BM25" s="41">
        <f t="shared" si="20"/>
        <v>11444.408415703938</v>
      </c>
      <c r="BN25" s="41">
        <f t="shared" si="21"/>
        <v>-19847.821516886892</v>
      </c>
      <c r="BO25" s="41">
        <f t="shared" si="22"/>
        <v>-61258.01582768744</v>
      </c>
      <c r="BP25" s="41">
        <f t="shared" si="29"/>
        <v>1521219.7693436241</v>
      </c>
      <c r="BQ25" s="41">
        <f t="shared" si="23"/>
        <v>1764020.9106954385</v>
      </c>
      <c r="BR25" s="41">
        <f t="shared" si="24"/>
        <v>390938.9578023677</v>
      </c>
      <c r="BS25" s="41">
        <f t="shared" si="25"/>
        <v>-800283.8556173688</v>
      </c>
      <c r="BT25" s="41">
        <f t="shared" si="26"/>
        <v>392018.0132981003</v>
      </c>
      <c r="BU25" s="41">
        <f t="shared" si="27"/>
        <v>-84281.99522410886</v>
      </c>
      <c r="BV25" s="42">
        <f t="shared" si="28"/>
        <v>3100124.97395427</v>
      </c>
    </row>
    <row r="26" spans="2:74" ht="15">
      <c r="B26" s="16">
        <v>1949</v>
      </c>
      <c r="C26" s="33">
        <v>501.534797743773</v>
      </c>
      <c r="D26" s="33">
        <v>155.9463701189066</v>
      </c>
      <c r="E26" s="33">
        <v>443.1345852366776</v>
      </c>
      <c r="F26" s="33">
        <v>1200.41556413754</v>
      </c>
      <c r="G26" s="33">
        <v>870.0004318799911</v>
      </c>
      <c r="H26" s="33">
        <v>3178.5123652822613</v>
      </c>
      <c r="I26" s="33">
        <v>3977.4910369503377</v>
      </c>
      <c r="J26" s="33">
        <v>5530.900714176556</v>
      </c>
      <c r="K26" s="33">
        <v>3648.1618106208216</v>
      </c>
      <c r="L26" s="33">
        <v>482.9023954529398</v>
      </c>
      <c r="M26" s="33">
        <v>-16.446343619281013</v>
      </c>
      <c r="N26" s="33">
        <v>120.43674089780043</v>
      </c>
      <c r="O26" s="34">
        <f t="shared" si="2"/>
        <v>1677.3828137841142</v>
      </c>
      <c r="Q26" s="16">
        <v>1949</v>
      </c>
      <c r="R26" s="33">
        <f>('FY19 Spill Cost'!C26-'FY19 Spill Cost'!T26)*(1-$S$3)</f>
        <v>0</v>
      </c>
      <c r="S26" s="33">
        <f>('FY19 Spill Cost'!D26-'FY19 Spill Cost'!U26)*(1-$S$3)</f>
        <v>0</v>
      </c>
      <c r="T26" s="33">
        <f>('FY19 Spill Cost'!E26-'FY19 Spill Cost'!V26)*(1-$S$3)</f>
        <v>0</v>
      </c>
      <c r="U26" s="33">
        <f>('FY19 Spill Cost'!F26-'FY19 Spill Cost'!W26)*(1-$S$3)</f>
        <v>0</v>
      </c>
      <c r="V26" s="33">
        <f>('FY19 Spill Cost'!G26-'FY19 Spill Cost'!X26)*(1-$S$3)</f>
        <v>0</v>
      </c>
      <c r="W26" s="33">
        <f>('FY19 Spill Cost'!H26-'FY19 Spill Cost'!Y26)*(1-$S$3)</f>
        <v>0</v>
      </c>
      <c r="X26" s="33">
        <f>(('FY19 Spill Cost'!I26-'FY19 Spill Cost'!Z26)*15/30+('FY19 Spill Cost'!J26-'FY19 Spill Cost'!AA26)*15/30)*(1-$S$3)</f>
        <v>669.880614</v>
      </c>
      <c r="Y26" s="33">
        <f>('FY19 Spill Cost'!K26-'FY19 Spill Cost'!AB26)*(1-$S$3)</f>
        <v>344.598332</v>
      </c>
      <c r="Z26" s="33">
        <f>('FY19 Spill Cost'!L26-'FY19 Spill Cost'!AC26)*(1-$S$3)</f>
        <v>533.895622</v>
      </c>
      <c r="AA26" s="33">
        <f>('FY19 Spill Cost'!M26-'FY19 Spill Cost'!AD26)*(1-$S$3)</f>
        <v>-37.859458000000004</v>
      </c>
      <c r="AB26" s="33">
        <f>(('FY19 Spill Cost'!N26-'FY19 Spill Cost'!AE26)*15/31+('FY19 Spill Cost'!O26-'FY19 Spill Cost'!AF26)*16/31)*(1-$S$3)</f>
        <v>84.61676096774193</v>
      </c>
      <c r="AC26" s="33">
        <f>('FY19 Spill Cost'!P26-'FY19 Spill Cost'!AG26)*(1-$S$3)</f>
        <v>0</v>
      </c>
      <c r="AD26" s="34">
        <f t="shared" si="3"/>
        <v>132.17893633972602</v>
      </c>
      <c r="AF26" s="16">
        <v>1949</v>
      </c>
      <c r="AG26" s="33">
        <f t="shared" si="4"/>
        <v>501.534797743773</v>
      </c>
      <c r="AH26" s="33">
        <f t="shared" si="5"/>
        <v>155.9463701189066</v>
      </c>
      <c r="AI26" s="33">
        <f t="shared" si="6"/>
        <v>443.1345852366776</v>
      </c>
      <c r="AJ26" s="33">
        <f t="shared" si="7"/>
        <v>1200.41556413754</v>
      </c>
      <c r="AK26" s="33">
        <f t="shared" si="8"/>
        <v>870.0004318799911</v>
      </c>
      <c r="AL26" s="33">
        <f t="shared" si="9"/>
        <v>3178.5123652822613</v>
      </c>
      <c r="AM26" s="33">
        <f t="shared" si="10"/>
        <v>3307.6104229503376</v>
      </c>
      <c r="AN26" s="33">
        <f t="shared" si="11"/>
        <v>5186.302382176556</v>
      </c>
      <c r="AO26" s="33">
        <f t="shared" si="12"/>
        <v>3114.2661886208216</v>
      </c>
      <c r="AP26" s="33">
        <f t="shared" si="13"/>
        <v>520.7618534529398</v>
      </c>
      <c r="AQ26" s="33">
        <f t="shared" si="14"/>
        <v>-101.06310458702293</v>
      </c>
      <c r="AR26" s="33">
        <f t="shared" si="15"/>
        <v>120.43674089780043</v>
      </c>
      <c r="AS26" s="34">
        <f t="shared" si="16"/>
        <v>1545.2038774443881</v>
      </c>
      <c r="AT26" s="33"/>
      <c r="AU26" s="16">
        <v>1949</v>
      </c>
      <c r="AV26" s="23">
        <f>'FY19 Aurora Prices for SecR'!AR25-'FY19 Aurora Prices for SecR'!AD25</f>
        <v>-0.0807466199321496</v>
      </c>
      <c r="AW26" s="23">
        <f>'FY19 Aurora Prices for SecR'!AS25-'FY19 Aurora Prices for SecR'!AE25</f>
        <v>-0.019817633304747062</v>
      </c>
      <c r="AX26" s="23">
        <f>'FY19 Aurora Prices for SecR'!AT25-'FY19 Aurora Prices for SecR'!AF25</f>
        <v>-0.10819686305140408</v>
      </c>
      <c r="AY26" s="23">
        <f>'FY19 Aurora Prices for SecR'!AU25-'FY19 Aurora Prices for SecR'!AG25</f>
        <v>0.021893622285595882</v>
      </c>
      <c r="AZ26" s="23">
        <f>'FY19 Aurora Prices for SecR'!AV25-'FY19 Aurora Prices for SecR'!AH25</f>
        <v>0.03819565773007483</v>
      </c>
      <c r="BA26" s="23">
        <f>'FY19 Aurora Prices for SecR'!AW25-'FY19 Aurora Prices for SecR'!AI25</f>
        <v>0.06471413359510692</v>
      </c>
      <c r="BB26" s="23">
        <f>'FY19 Aurora Prices for SecR'!AX25-'FY19 Aurora Prices for SecR'!AJ25</f>
        <v>0.8516781271828204</v>
      </c>
      <c r="BC26" s="23">
        <f>'FY19 Aurora Prices for SecR'!AY25-'FY19 Aurora Prices for SecR'!AK25</f>
        <v>1.428846718957196</v>
      </c>
      <c r="BD26" s="23">
        <f>'FY19 Aurora Prices for SecR'!AZ25-'FY19 Aurora Prices for SecR'!AL25</f>
        <v>0.886488112476103</v>
      </c>
      <c r="BE26" s="23">
        <f>'FY19 Aurora Prices for SecR'!BA25-'FY19 Aurora Prices for SecR'!AM25</f>
        <v>-0.2936726888020331</v>
      </c>
      <c r="BF26" s="23">
        <f>'FY19 Aurora Prices for SecR'!BB25-'FY19 Aurora Prices for SecR'!AN25</f>
        <v>0.09844212070586877</v>
      </c>
      <c r="BG26" s="24">
        <f>'FY19 Aurora Prices for SecR'!BC25-'FY19 Aurora Prices for SecR'!AO25</f>
        <v>0.009730321566291167</v>
      </c>
      <c r="BI26" s="16">
        <v>1949</v>
      </c>
      <c r="BJ26" s="41">
        <f t="shared" si="17"/>
        <v>-30129.946333945987</v>
      </c>
      <c r="BK26" s="41">
        <f t="shared" si="18"/>
        <v>-2228.2418322986787</v>
      </c>
      <c r="BL26" s="41">
        <f t="shared" si="19"/>
        <v>-35671.654391952005</v>
      </c>
      <c r="BM26" s="41">
        <f t="shared" si="20"/>
        <v>19553.395040551484</v>
      </c>
      <c r="BN26" s="41">
        <f t="shared" si="21"/>
        <v>22330.720420582842</v>
      </c>
      <c r="BO26" s="41">
        <f t="shared" si="22"/>
        <v>152831.14266354762</v>
      </c>
      <c r="BP26" s="41">
        <f t="shared" si="29"/>
        <v>2028254.0043374784</v>
      </c>
      <c r="BQ26" s="41">
        <f t="shared" si="23"/>
        <v>5513360.76986589</v>
      </c>
      <c r="BR26" s="41">
        <f t="shared" si="24"/>
        <v>1987747.1678150063</v>
      </c>
      <c r="BS26" s="41">
        <f t="shared" si="25"/>
        <v>-113782.54909441705</v>
      </c>
      <c r="BT26" s="41">
        <f t="shared" si="26"/>
        <v>-7401.956557455171</v>
      </c>
      <c r="BU26" s="41">
        <f t="shared" si="27"/>
        <v>843.7595164788161</v>
      </c>
      <c r="BV26" s="42">
        <f t="shared" si="28"/>
        <v>9535706.611449469</v>
      </c>
    </row>
    <row r="27" spans="2:74" ht="15">
      <c r="B27" s="16">
        <v>1950</v>
      </c>
      <c r="C27" s="33">
        <v>37.73202696313652</v>
      </c>
      <c r="D27" s="33">
        <v>139.83622107526244</v>
      </c>
      <c r="E27" s="33">
        <v>-17.41140719425471</v>
      </c>
      <c r="F27" s="33">
        <v>3000.3823104608764</v>
      </c>
      <c r="G27" s="33">
        <v>3673.5302486242094</v>
      </c>
      <c r="H27" s="33">
        <v>3429.361597442547</v>
      </c>
      <c r="I27" s="33">
        <v>4099.964580530103</v>
      </c>
      <c r="J27" s="33">
        <v>4194.717542445063</v>
      </c>
      <c r="K27" s="33">
        <v>5848.696612046608</v>
      </c>
      <c r="L27" s="33">
        <v>5030.830888716127</v>
      </c>
      <c r="M27" s="33">
        <v>2742.0907219091523</v>
      </c>
      <c r="N27" s="33">
        <v>687.0076733193549</v>
      </c>
      <c r="O27" s="34">
        <f t="shared" si="2"/>
        <v>2731.330822236414</v>
      </c>
      <c r="Q27" s="16">
        <v>1950</v>
      </c>
      <c r="R27" s="33">
        <f>('FY19 Spill Cost'!C27-'FY19 Spill Cost'!T27)*(1-$S$3)</f>
        <v>0</v>
      </c>
      <c r="S27" s="33">
        <f>('FY19 Spill Cost'!D27-'FY19 Spill Cost'!U27)*(1-$S$3)</f>
        <v>0</v>
      </c>
      <c r="T27" s="33">
        <f>('FY19 Spill Cost'!E27-'FY19 Spill Cost'!V27)*(1-$S$3)</f>
        <v>0</v>
      </c>
      <c r="U27" s="33">
        <f>('FY19 Spill Cost'!F27-'FY19 Spill Cost'!W27)*(1-$S$3)</f>
        <v>0</v>
      </c>
      <c r="V27" s="33">
        <f>('FY19 Spill Cost'!G27-'FY19 Spill Cost'!X27)*(1-$S$3)</f>
        <v>0</v>
      </c>
      <c r="W27" s="33">
        <f>('FY19 Spill Cost'!H27-'FY19 Spill Cost'!Y27)*(1-$S$3)</f>
        <v>0</v>
      </c>
      <c r="X27" s="33">
        <f>(('FY19 Spill Cost'!I27-'FY19 Spill Cost'!Z27)*15/30+('FY19 Spill Cost'!J27-'FY19 Spill Cost'!AA27)*15/30)*(1-$S$3)</f>
        <v>620.817847</v>
      </c>
      <c r="Y27" s="33">
        <f>('FY19 Spill Cost'!K27-'FY19 Spill Cost'!AB27)*(1-$S$3)</f>
        <v>861.4958300000001</v>
      </c>
      <c r="Z27" s="33">
        <f>('FY19 Spill Cost'!L27-'FY19 Spill Cost'!AC27)*(1-$S$3)</f>
        <v>262.69828</v>
      </c>
      <c r="AA27" s="33">
        <f>('FY19 Spill Cost'!M27-'FY19 Spill Cost'!AD27)*(1-$S$3)</f>
        <v>59.493434</v>
      </c>
      <c r="AB27" s="33">
        <f>(('FY19 Spill Cost'!N27-'FY19 Spill Cost'!AE27)*15/31+('FY19 Spill Cost'!O27-'FY19 Spill Cost'!AF27)*16/31)*(1-$S$3)</f>
        <v>133.94122929032258</v>
      </c>
      <c r="AC27" s="33">
        <f>('FY19 Spill Cost'!P27-'FY19 Spill Cost'!AG27)*(1-$S$3)</f>
        <v>0</v>
      </c>
      <c r="AD27" s="34">
        <f t="shared" si="3"/>
        <v>162.21460027945204</v>
      </c>
      <c r="AF27" s="16">
        <v>1950</v>
      </c>
      <c r="AG27" s="33">
        <f t="shared" si="4"/>
        <v>37.73202696313652</v>
      </c>
      <c r="AH27" s="33">
        <f t="shared" si="5"/>
        <v>139.83622107526244</v>
      </c>
      <c r="AI27" s="33">
        <f t="shared" si="6"/>
        <v>-17.41140719425471</v>
      </c>
      <c r="AJ27" s="33">
        <f t="shared" si="7"/>
        <v>3000.3823104608764</v>
      </c>
      <c r="AK27" s="33">
        <f t="shared" si="8"/>
        <v>3673.5302486242094</v>
      </c>
      <c r="AL27" s="33">
        <f t="shared" si="9"/>
        <v>3429.361597442547</v>
      </c>
      <c r="AM27" s="33">
        <f t="shared" si="10"/>
        <v>3479.146733530103</v>
      </c>
      <c r="AN27" s="33">
        <f t="shared" si="11"/>
        <v>3333.2217124450635</v>
      </c>
      <c r="AO27" s="33">
        <f t="shared" si="12"/>
        <v>5585.998332046608</v>
      </c>
      <c r="AP27" s="33">
        <f t="shared" si="13"/>
        <v>4971.3374547161275</v>
      </c>
      <c r="AQ27" s="33">
        <f t="shared" si="14"/>
        <v>2608.1494926188298</v>
      </c>
      <c r="AR27" s="33">
        <f t="shared" si="15"/>
        <v>687.0076733193549</v>
      </c>
      <c r="AS27" s="34">
        <f t="shared" si="16"/>
        <v>2569.1162219569624</v>
      </c>
      <c r="AT27" s="33"/>
      <c r="AU27" s="16">
        <v>1950</v>
      </c>
      <c r="AV27" s="23">
        <f>'FY19 Aurora Prices for SecR'!AR26-'FY19 Aurora Prices for SecR'!AD26</f>
        <v>0.00580894562504497</v>
      </c>
      <c r="AW27" s="23">
        <f>'FY19 Aurora Prices for SecR'!AS26-'FY19 Aurora Prices for SecR'!AE26</f>
        <v>0.015124656224841715</v>
      </c>
      <c r="AX27" s="23">
        <f>'FY19 Aurora Prices for SecR'!AT26-'FY19 Aurora Prices for SecR'!AF26</f>
        <v>0.10352945225213617</v>
      </c>
      <c r="AY27" s="23">
        <f>'FY19 Aurora Prices for SecR'!AU26-'FY19 Aurora Prices for SecR'!AG26</f>
        <v>0.013079131803177546</v>
      </c>
      <c r="AZ27" s="23">
        <f>'FY19 Aurora Prices for SecR'!AV26-'FY19 Aurora Prices for SecR'!AH26</f>
        <v>0.011933391434837404</v>
      </c>
      <c r="BA27" s="23">
        <f>'FY19 Aurora Prices for SecR'!AW26-'FY19 Aurora Prices for SecR'!AI26</f>
        <v>-0.008547845759551365</v>
      </c>
      <c r="BB27" s="23">
        <f>'FY19 Aurora Prices for SecR'!AX26-'FY19 Aurora Prices for SecR'!AJ26</f>
        <v>1.0655675339698298</v>
      </c>
      <c r="BC27" s="23">
        <f>'FY19 Aurora Prices for SecR'!AY26-'FY19 Aurora Prices for SecR'!AK26</f>
        <v>1.5559683790130308</v>
      </c>
      <c r="BD27" s="23">
        <f>'FY19 Aurora Prices for SecR'!AZ26-'FY19 Aurora Prices for SecR'!AL26</f>
        <v>0.9750704526073424</v>
      </c>
      <c r="BE27" s="23">
        <f>'FY19 Aurora Prices for SecR'!BA26-'FY19 Aurora Prices for SecR'!AM26</f>
        <v>0.0835161207214199</v>
      </c>
      <c r="BF27" s="23">
        <f>'FY19 Aurora Prices for SecR'!BB26-'FY19 Aurora Prices for SecR'!AN26</f>
        <v>-0.13152255550507874</v>
      </c>
      <c r="BG27" s="24">
        <f>'FY19 Aurora Prices for SecR'!BC26-'FY19 Aurora Prices for SecR'!AO26</f>
        <v>-0.32737720012662663</v>
      </c>
      <c r="BI27" s="16">
        <v>1950</v>
      </c>
      <c r="BJ27" s="41">
        <f t="shared" si="17"/>
        <v>163.0723699559835</v>
      </c>
      <c r="BK27" s="41">
        <f t="shared" si="18"/>
        <v>1524.8968102834478</v>
      </c>
      <c r="BL27" s="41">
        <f t="shared" si="19"/>
        <v>-1341.1295266215093</v>
      </c>
      <c r="BM27" s="41">
        <f t="shared" si="20"/>
        <v>29196.34239963949</v>
      </c>
      <c r="BN27" s="41">
        <f t="shared" si="21"/>
        <v>29458.91719985643</v>
      </c>
      <c r="BO27" s="41">
        <f t="shared" si="22"/>
        <v>-21780.044913580005</v>
      </c>
      <c r="BP27" s="41">
        <f t="shared" si="29"/>
        <v>2669231.37972014</v>
      </c>
      <c r="BQ27" s="41">
        <f t="shared" si="23"/>
        <v>3858672.363094313</v>
      </c>
      <c r="BR27" s="41">
        <f t="shared" si="24"/>
        <v>3921654.183762633</v>
      </c>
      <c r="BS27" s="41">
        <f t="shared" si="25"/>
        <v>308898.9933471514</v>
      </c>
      <c r="BT27" s="41">
        <f t="shared" si="26"/>
        <v>-255214.6818879262</v>
      </c>
      <c r="BU27" s="41">
        <f t="shared" si="27"/>
        <v>-161935.666960895</v>
      </c>
      <c r="BV27" s="42">
        <f t="shared" si="28"/>
        <v>10378528.625414949</v>
      </c>
    </row>
    <row r="28" spans="2:74" ht="15">
      <c r="B28" s="16">
        <v>1951</v>
      </c>
      <c r="C28" s="33">
        <v>1172.720599026284</v>
      </c>
      <c r="D28" s="33">
        <v>2016.4714265369917</v>
      </c>
      <c r="E28" s="33">
        <v>3231.6489246246174</v>
      </c>
      <c r="F28" s="33">
        <v>4563.07201215438</v>
      </c>
      <c r="G28" s="33">
        <v>4856.6770417539</v>
      </c>
      <c r="H28" s="33">
        <v>5319.200567731112</v>
      </c>
      <c r="I28" s="33">
        <v>4625.937999993783</v>
      </c>
      <c r="J28" s="33">
        <v>5150.503800387684</v>
      </c>
      <c r="K28" s="33">
        <v>3644.2490181730695</v>
      </c>
      <c r="L28" s="33">
        <v>3960.0516230465305</v>
      </c>
      <c r="M28" s="33">
        <v>1376.7150036898722</v>
      </c>
      <c r="N28" s="33">
        <v>396.1170751798147</v>
      </c>
      <c r="O28" s="34">
        <f t="shared" si="2"/>
        <v>3354.3120479503486</v>
      </c>
      <c r="Q28" s="16">
        <v>1951</v>
      </c>
      <c r="R28" s="33">
        <f>('FY19 Spill Cost'!C28-'FY19 Spill Cost'!T28)*(1-$S$3)</f>
        <v>0</v>
      </c>
      <c r="S28" s="33">
        <f>('FY19 Spill Cost'!D28-'FY19 Spill Cost'!U28)*(1-$S$3)</f>
        <v>0</v>
      </c>
      <c r="T28" s="33">
        <f>('FY19 Spill Cost'!E28-'FY19 Spill Cost'!V28)*(1-$S$3)</f>
        <v>0</v>
      </c>
      <c r="U28" s="33">
        <f>('FY19 Spill Cost'!F28-'FY19 Spill Cost'!W28)*(1-$S$3)</f>
        <v>0</v>
      </c>
      <c r="V28" s="33">
        <f>('FY19 Spill Cost'!G28-'FY19 Spill Cost'!X28)*(1-$S$3)</f>
        <v>0</v>
      </c>
      <c r="W28" s="33">
        <f>('FY19 Spill Cost'!H28-'FY19 Spill Cost'!Y28)*(1-$S$3)</f>
        <v>0</v>
      </c>
      <c r="X28" s="33">
        <f>(('FY19 Spill Cost'!I28-'FY19 Spill Cost'!Z28)*15/30+('FY19 Spill Cost'!J28-'FY19 Spill Cost'!AA28)*15/30)*(1-$S$3)</f>
        <v>519.601745</v>
      </c>
      <c r="Y28" s="33">
        <f>('FY19 Spill Cost'!K28-'FY19 Spill Cost'!AB28)*(1-$S$3)</f>
        <v>687.65138</v>
      </c>
      <c r="Z28" s="33">
        <f>('FY19 Spill Cost'!L28-'FY19 Spill Cost'!AC28)*(1-$S$3)</f>
        <v>531.5776960000001</v>
      </c>
      <c r="AA28" s="33">
        <f>('FY19 Spill Cost'!M28-'FY19 Spill Cost'!AD28)*(1-$S$3)</f>
        <v>-51.767014</v>
      </c>
      <c r="AB28" s="33">
        <f>(('FY19 Spill Cost'!N28-'FY19 Spill Cost'!AE28)*15/31+('FY19 Spill Cost'!O28-'FY19 Spill Cost'!AF28)*16/31)*(1-$S$3)</f>
        <v>125.36739548387096</v>
      </c>
      <c r="AC28" s="33">
        <f>('FY19 Spill Cost'!P28-'FY19 Spill Cost'!AG28)*(1-$S$3)</f>
        <v>0</v>
      </c>
      <c r="AD28" s="34">
        <f t="shared" si="3"/>
        <v>151.05256941369862</v>
      </c>
      <c r="AF28" s="16">
        <v>1951</v>
      </c>
      <c r="AG28" s="33">
        <f t="shared" si="4"/>
        <v>1172.720599026284</v>
      </c>
      <c r="AH28" s="33">
        <f t="shared" si="5"/>
        <v>2016.4714265369917</v>
      </c>
      <c r="AI28" s="33">
        <f t="shared" si="6"/>
        <v>3231.6489246246174</v>
      </c>
      <c r="AJ28" s="33">
        <f t="shared" si="7"/>
        <v>4563.07201215438</v>
      </c>
      <c r="AK28" s="33">
        <f t="shared" si="8"/>
        <v>4856.6770417539</v>
      </c>
      <c r="AL28" s="33">
        <f t="shared" si="9"/>
        <v>5319.200567731112</v>
      </c>
      <c r="AM28" s="33">
        <f t="shared" si="10"/>
        <v>4106.336254993783</v>
      </c>
      <c r="AN28" s="33">
        <f t="shared" si="11"/>
        <v>4462.852420387684</v>
      </c>
      <c r="AO28" s="33">
        <f t="shared" si="12"/>
        <v>3112.6713221730697</v>
      </c>
      <c r="AP28" s="33">
        <f t="shared" si="13"/>
        <v>4011.8186370465305</v>
      </c>
      <c r="AQ28" s="33">
        <f t="shared" si="14"/>
        <v>1251.3476082060013</v>
      </c>
      <c r="AR28" s="33">
        <f t="shared" si="15"/>
        <v>396.1170751798147</v>
      </c>
      <c r="AS28" s="34">
        <f t="shared" si="16"/>
        <v>3203.259478536651</v>
      </c>
      <c r="AT28" s="33"/>
      <c r="AU28" s="16">
        <v>1951</v>
      </c>
      <c r="AV28" s="23">
        <f>'FY19 Aurora Prices for SecR'!AR27-'FY19 Aurora Prices for SecR'!AD27</f>
        <v>-0.04164526616374076</v>
      </c>
      <c r="AW28" s="23">
        <f>'FY19 Aurora Prices for SecR'!AS27-'FY19 Aurora Prices for SecR'!AE27</f>
        <v>-0.005472522172073724</v>
      </c>
      <c r="AX28" s="23">
        <f>'FY19 Aurora Prices for SecR'!AT27-'FY19 Aurora Prices for SecR'!AF27</f>
        <v>-0.006215115772800317</v>
      </c>
      <c r="AY28" s="23">
        <f>'FY19 Aurora Prices for SecR'!AU27-'FY19 Aurora Prices for SecR'!AG27</f>
        <v>0.12775437613970908</v>
      </c>
      <c r="AZ28" s="23">
        <f>'FY19 Aurora Prices for SecR'!AV27-'FY19 Aurora Prices for SecR'!AH27</f>
        <v>0.09148036347972877</v>
      </c>
      <c r="BA28" s="23">
        <f>'FY19 Aurora Prices for SecR'!AW27-'FY19 Aurora Prices for SecR'!AI27</f>
        <v>0.09580093891299413</v>
      </c>
      <c r="BB28" s="23">
        <f>'FY19 Aurora Prices for SecR'!AX27-'FY19 Aurora Prices for SecR'!AJ27</f>
        <v>0.9986304651366762</v>
      </c>
      <c r="BC28" s="23">
        <f>'FY19 Aurora Prices for SecR'!AY27-'FY19 Aurora Prices for SecR'!AK27</f>
        <v>2.236185100290074</v>
      </c>
      <c r="BD28" s="23">
        <f>'FY19 Aurora Prices for SecR'!AZ27-'FY19 Aurora Prices for SecR'!AL27</f>
        <v>0.8878768152660292</v>
      </c>
      <c r="BE28" s="23">
        <f>'FY19 Aurora Prices for SecR'!BA27-'FY19 Aurora Prices for SecR'!AM27</f>
        <v>-0.04208077025666768</v>
      </c>
      <c r="BF28" s="23">
        <f>'FY19 Aurora Prices for SecR'!BB27-'FY19 Aurora Prices for SecR'!AN27</f>
        <v>0.2898939148072017</v>
      </c>
      <c r="BG28" s="24">
        <f>'FY19 Aurora Prices for SecR'!BC27-'FY19 Aurora Prices for SecR'!AO27</f>
        <v>-0.006198738416014038</v>
      </c>
      <c r="BI28" s="16">
        <v>1951</v>
      </c>
      <c r="BJ28" s="41">
        <f t="shared" si="17"/>
        <v>-36335.66654272041</v>
      </c>
      <c r="BK28" s="41">
        <f t="shared" si="18"/>
        <v>-7956.3680901663865</v>
      </c>
      <c r="BL28" s="41">
        <f t="shared" si="19"/>
        <v>-14943.293719469206</v>
      </c>
      <c r="BM28" s="41">
        <f t="shared" si="20"/>
        <v>433716.59913585224</v>
      </c>
      <c r="BN28" s="41">
        <f t="shared" si="21"/>
        <v>298563.270487978</v>
      </c>
      <c r="BO28" s="41">
        <f t="shared" si="22"/>
        <v>378621.2156307927</v>
      </c>
      <c r="BP28" s="41">
        <f t="shared" si="29"/>
        <v>2952512.9887190675</v>
      </c>
      <c r="BQ28" s="41">
        <f t="shared" si="23"/>
        <v>7424944.480924738</v>
      </c>
      <c r="BR28" s="41">
        <f t="shared" si="24"/>
        <v>1989841.4643606665</v>
      </c>
      <c r="BS28" s="41">
        <f t="shared" si="25"/>
        <v>-125602.39127246769</v>
      </c>
      <c r="BT28" s="41">
        <f t="shared" si="26"/>
        <v>269891.99435403483</v>
      </c>
      <c r="BU28" s="41">
        <f t="shared" si="27"/>
        <v>-1767.9068144324915</v>
      </c>
      <c r="BV28" s="42">
        <f t="shared" si="28"/>
        <v>13561486.387173872</v>
      </c>
    </row>
    <row r="29" spans="2:74" ht="15">
      <c r="B29" s="16">
        <v>1952</v>
      </c>
      <c r="C29" s="33">
        <v>1985.5145351262404</v>
      </c>
      <c r="D29" s="33">
        <v>989.6619159192026</v>
      </c>
      <c r="E29" s="33">
        <v>1763.7228861138883</v>
      </c>
      <c r="F29" s="33">
        <v>2991.8064549753817</v>
      </c>
      <c r="G29" s="33">
        <v>2576.495651668277</v>
      </c>
      <c r="H29" s="33">
        <v>2417.439553044981</v>
      </c>
      <c r="I29" s="33">
        <v>5245.731088620838</v>
      </c>
      <c r="J29" s="33">
        <v>6248.819935389789</v>
      </c>
      <c r="K29" s="33">
        <v>4139.43929643167</v>
      </c>
      <c r="L29" s="33">
        <v>2718.6382455592493</v>
      </c>
      <c r="M29" s="33">
        <v>950.0213649878091</v>
      </c>
      <c r="N29" s="33">
        <v>-155.62711105455486</v>
      </c>
      <c r="O29" s="34">
        <f t="shared" si="2"/>
        <v>2657.570946412229</v>
      </c>
      <c r="Q29" s="16">
        <v>1952</v>
      </c>
      <c r="R29" s="33">
        <f>('FY19 Spill Cost'!C29-'FY19 Spill Cost'!T29)*(1-$S$3)</f>
        <v>0</v>
      </c>
      <c r="S29" s="33">
        <f>('FY19 Spill Cost'!D29-'FY19 Spill Cost'!U29)*(1-$S$3)</f>
        <v>0</v>
      </c>
      <c r="T29" s="33">
        <f>('FY19 Spill Cost'!E29-'FY19 Spill Cost'!V29)*(1-$S$3)</f>
        <v>0</v>
      </c>
      <c r="U29" s="33">
        <f>('FY19 Spill Cost'!F29-'FY19 Spill Cost'!W29)*(1-$S$3)</f>
        <v>0</v>
      </c>
      <c r="V29" s="33">
        <f>('FY19 Spill Cost'!G29-'FY19 Spill Cost'!X29)*(1-$S$3)</f>
        <v>0</v>
      </c>
      <c r="W29" s="33">
        <f>('FY19 Spill Cost'!H29-'FY19 Spill Cost'!Y29)*(1-$S$3)</f>
        <v>0</v>
      </c>
      <c r="X29" s="33">
        <f>(('FY19 Spill Cost'!I29-'FY19 Spill Cost'!Z29)*15/30+('FY19 Spill Cost'!J29-'FY19 Spill Cost'!AA29)*15/30)*(1-$S$3)</f>
        <v>304.034627</v>
      </c>
      <c r="Y29" s="33">
        <f>('FY19 Spill Cost'!K29-'FY19 Spill Cost'!AB29)*(1-$S$3)</f>
        <v>248.790724</v>
      </c>
      <c r="Z29" s="33">
        <f>('FY19 Spill Cost'!L29-'FY19 Spill Cost'!AC29)*(1-$S$3)</f>
        <v>549.348462</v>
      </c>
      <c r="AA29" s="33">
        <f>('FY19 Spill Cost'!M29-'FY19 Spill Cost'!AD29)*(1-$S$3)</f>
        <v>-70.310422</v>
      </c>
      <c r="AB29" s="33">
        <f>(('FY19 Spill Cost'!N29-'FY19 Spill Cost'!AE29)*15/31+('FY19 Spill Cost'!O29-'FY19 Spill Cost'!AF29)*16/31)*(1-$S$3)</f>
        <v>129.52969270967745</v>
      </c>
      <c r="AC29" s="33">
        <f>('FY19 Spill Cost'!P29-'FY19 Spill Cost'!AG29)*(1-$S$3)</f>
        <v>0</v>
      </c>
      <c r="AD29" s="34">
        <f t="shared" si="3"/>
        <v>96.30082878356164</v>
      </c>
      <c r="AF29" s="16">
        <v>1952</v>
      </c>
      <c r="AG29" s="33">
        <f t="shared" si="4"/>
        <v>1985.5145351262404</v>
      </c>
      <c r="AH29" s="33">
        <f t="shared" si="5"/>
        <v>989.6619159192026</v>
      </c>
      <c r="AI29" s="33">
        <f t="shared" si="6"/>
        <v>1763.7228861138883</v>
      </c>
      <c r="AJ29" s="33">
        <f t="shared" si="7"/>
        <v>2991.8064549753817</v>
      </c>
      <c r="AK29" s="33">
        <f t="shared" si="8"/>
        <v>2576.495651668277</v>
      </c>
      <c r="AL29" s="33">
        <f t="shared" si="9"/>
        <v>2417.439553044981</v>
      </c>
      <c r="AM29" s="33">
        <f t="shared" si="10"/>
        <v>4941.696461620838</v>
      </c>
      <c r="AN29" s="33">
        <f t="shared" si="11"/>
        <v>6000.0292113897885</v>
      </c>
      <c r="AO29" s="33">
        <f t="shared" si="12"/>
        <v>3590.0908344316704</v>
      </c>
      <c r="AP29" s="33">
        <f t="shared" si="13"/>
        <v>2788.9486675592493</v>
      </c>
      <c r="AQ29" s="33">
        <f t="shared" si="14"/>
        <v>820.4916722781317</v>
      </c>
      <c r="AR29" s="33">
        <f t="shared" si="15"/>
        <v>-155.62711105455486</v>
      </c>
      <c r="AS29" s="34">
        <f t="shared" si="16"/>
        <v>2561.2701176286673</v>
      </c>
      <c r="AT29" s="33"/>
      <c r="AU29" s="16">
        <v>1952</v>
      </c>
      <c r="AV29" s="23">
        <f>'FY19 Aurora Prices for SecR'!AR28-'FY19 Aurora Prices for SecR'!AD28</f>
        <v>0.010824426527960895</v>
      </c>
      <c r="AW29" s="23">
        <f>'FY19 Aurora Prices for SecR'!AS28-'FY19 Aurora Prices for SecR'!AE28</f>
        <v>0.018896093480943676</v>
      </c>
      <c r="AX29" s="23">
        <f>'FY19 Aurora Prices for SecR'!AT28-'FY19 Aurora Prices for SecR'!AF28</f>
        <v>0.008484200508412698</v>
      </c>
      <c r="AY29" s="23">
        <f>'FY19 Aurora Prices for SecR'!AU28-'FY19 Aurora Prices for SecR'!AG28</f>
        <v>-0.003096244924826408</v>
      </c>
      <c r="AZ29" s="23">
        <f>'FY19 Aurora Prices for SecR'!AV28-'FY19 Aurora Prices for SecR'!AH28</f>
        <v>0.019471028872942497</v>
      </c>
      <c r="BA29" s="23">
        <f>'FY19 Aurora Prices for SecR'!AW28-'FY19 Aurora Prices for SecR'!AI28</f>
        <v>0.017687029729430037</v>
      </c>
      <c r="BB29" s="23">
        <f>'FY19 Aurora Prices for SecR'!AX28-'FY19 Aurora Prices for SecR'!AJ28</f>
        <v>0.7716375156906192</v>
      </c>
      <c r="BC29" s="23">
        <f>'FY19 Aurora Prices for SecR'!AY28-'FY19 Aurora Prices for SecR'!AK28</f>
        <v>1.0305985513233384</v>
      </c>
      <c r="BD29" s="23">
        <f>'FY19 Aurora Prices for SecR'!AZ28-'FY19 Aurora Prices for SecR'!AL28</f>
        <v>0.9769434213638029</v>
      </c>
      <c r="BE29" s="23">
        <f>'FY19 Aurora Prices for SecR'!BA28-'FY19 Aurora Prices for SecR'!AM28</f>
        <v>-0.17785373374982072</v>
      </c>
      <c r="BF29" s="23">
        <f>'FY19 Aurora Prices for SecR'!BB28-'FY19 Aurora Prices for SecR'!AN28</f>
        <v>0.18242460835365648</v>
      </c>
      <c r="BG29" s="24">
        <f>'FY19 Aurora Prices for SecR'!BC28-'FY19 Aurora Prices for SecR'!AO28</f>
        <v>-0.07594549338026368</v>
      </c>
      <c r="BI29" s="16">
        <v>1952</v>
      </c>
      <c r="BJ29" s="41">
        <f t="shared" si="17"/>
        <v>15990.089817020282</v>
      </c>
      <c r="BK29" s="41">
        <f t="shared" si="18"/>
        <v>13483.23648004987</v>
      </c>
      <c r="BL29" s="41">
        <f t="shared" si="19"/>
        <v>11133.051283657524</v>
      </c>
      <c r="BM29" s="41">
        <f t="shared" si="20"/>
        <v>-6891.9439708966265</v>
      </c>
      <c r="BN29" s="41">
        <f t="shared" si="21"/>
        <v>33712.23826296064</v>
      </c>
      <c r="BO29" s="41">
        <f t="shared" si="22"/>
        <v>31768.692656148334</v>
      </c>
      <c r="BP29" s="41">
        <f t="shared" si="29"/>
        <v>2745502.8342784033</v>
      </c>
      <c r="BQ29" s="41">
        <f t="shared" si="23"/>
        <v>4600614.331388085</v>
      </c>
      <c r="BR29" s="41">
        <f t="shared" si="24"/>
        <v>2525267.248413484</v>
      </c>
      <c r="BS29" s="41">
        <f t="shared" si="25"/>
        <v>-369042.550718928</v>
      </c>
      <c r="BT29" s="41">
        <f t="shared" si="26"/>
        <v>111360.33674774448</v>
      </c>
      <c r="BU29" s="41">
        <f t="shared" si="27"/>
        <v>8509.807967315945</v>
      </c>
      <c r="BV29" s="42">
        <f t="shared" si="28"/>
        <v>9721407.372605046</v>
      </c>
    </row>
    <row r="30" spans="2:74" ht="15">
      <c r="B30" s="16">
        <v>1953</v>
      </c>
      <c r="C30" s="33">
        <v>129.83940949087622</v>
      </c>
      <c r="D30" s="33">
        <v>25.990716114371576</v>
      </c>
      <c r="E30" s="33">
        <v>-695.1918207372363</v>
      </c>
      <c r="F30" s="33">
        <v>644.6589419072</v>
      </c>
      <c r="G30" s="33">
        <v>1935.1291095651518</v>
      </c>
      <c r="H30" s="33">
        <v>1572.7378549799284</v>
      </c>
      <c r="I30" s="33">
        <v>1388.511408297001</v>
      </c>
      <c r="J30" s="33">
        <v>3679.1427078972324</v>
      </c>
      <c r="K30" s="33">
        <v>6221.587380030515</v>
      </c>
      <c r="L30" s="33">
        <v>4540.260954573892</v>
      </c>
      <c r="M30" s="33">
        <v>1617.7650304043475</v>
      </c>
      <c r="N30" s="33">
        <v>507.7281682522104</v>
      </c>
      <c r="O30" s="34">
        <f t="shared" si="2"/>
        <v>1793.4227476306796</v>
      </c>
      <c r="Q30" s="16">
        <v>1953</v>
      </c>
      <c r="R30" s="33">
        <f>('FY19 Spill Cost'!C30-'FY19 Spill Cost'!T30)*(1-$S$3)</f>
        <v>0</v>
      </c>
      <c r="S30" s="33">
        <f>('FY19 Spill Cost'!D30-'FY19 Spill Cost'!U30)*(1-$S$3)</f>
        <v>0</v>
      </c>
      <c r="T30" s="33">
        <f>('FY19 Spill Cost'!E30-'FY19 Spill Cost'!V30)*(1-$S$3)</f>
        <v>0</v>
      </c>
      <c r="U30" s="33">
        <f>('FY19 Spill Cost'!F30-'FY19 Spill Cost'!W30)*(1-$S$3)</f>
        <v>0</v>
      </c>
      <c r="V30" s="33">
        <f>('FY19 Spill Cost'!G30-'FY19 Spill Cost'!X30)*(1-$S$3)</f>
        <v>0</v>
      </c>
      <c r="W30" s="33">
        <f>('FY19 Spill Cost'!H30-'FY19 Spill Cost'!Y30)*(1-$S$3)</f>
        <v>0</v>
      </c>
      <c r="X30" s="33">
        <f>(('FY19 Spill Cost'!I30-'FY19 Spill Cost'!Z30)*15/30+('FY19 Spill Cost'!J30-'FY19 Spill Cost'!AA30)*15/30)*(1-$S$3)</f>
        <v>895.8783990000001</v>
      </c>
      <c r="Y30" s="33">
        <f>('FY19 Spill Cost'!K30-'FY19 Spill Cost'!AB30)*(1-$S$3)</f>
        <v>960.3940060000001</v>
      </c>
      <c r="Z30" s="33">
        <f>('FY19 Spill Cost'!L30-'FY19 Spill Cost'!AC30)*(1-$S$3)</f>
        <v>192.38785800000002</v>
      </c>
      <c r="AA30" s="33">
        <f>('FY19 Spill Cost'!M30-'FY19 Spill Cost'!AD30)*(1-$S$3)</f>
        <v>-92.71704000000001</v>
      </c>
      <c r="AB30" s="33">
        <f>(('FY19 Spill Cost'!N30-'FY19 Spill Cost'!AE30)*15/31+('FY19 Spill Cost'!O30-'FY19 Spill Cost'!AF30)*16/31)*(1-$S$3)</f>
        <v>129.55461664516127</v>
      </c>
      <c r="AC30" s="33">
        <f>('FY19 Spill Cost'!P30-'FY19 Spill Cost'!AG30)*(1-$S$3)</f>
        <v>0</v>
      </c>
      <c r="AD30" s="34">
        <f t="shared" si="3"/>
        <v>174.1429226630137</v>
      </c>
      <c r="AF30" s="16">
        <v>1953</v>
      </c>
      <c r="AG30" s="33">
        <f t="shared" si="4"/>
        <v>129.83940949087622</v>
      </c>
      <c r="AH30" s="33">
        <f t="shared" si="5"/>
        <v>25.990716114371576</v>
      </c>
      <c r="AI30" s="33">
        <f t="shared" si="6"/>
        <v>-695.1918207372363</v>
      </c>
      <c r="AJ30" s="33">
        <f t="shared" si="7"/>
        <v>644.6589419072</v>
      </c>
      <c r="AK30" s="33">
        <f t="shared" si="8"/>
        <v>1935.1291095651518</v>
      </c>
      <c r="AL30" s="33">
        <f t="shared" si="9"/>
        <v>1572.7378549799284</v>
      </c>
      <c r="AM30" s="33">
        <f t="shared" si="10"/>
        <v>492.63300929700097</v>
      </c>
      <c r="AN30" s="33">
        <f t="shared" si="11"/>
        <v>2718.7487018972324</v>
      </c>
      <c r="AO30" s="33">
        <f t="shared" si="12"/>
        <v>6029.199522030515</v>
      </c>
      <c r="AP30" s="33">
        <f t="shared" si="13"/>
        <v>4632.977994573893</v>
      </c>
      <c r="AQ30" s="33">
        <f t="shared" si="14"/>
        <v>1488.2104137591862</v>
      </c>
      <c r="AR30" s="33">
        <f t="shared" si="15"/>
        <v>507.7281682522104</v>
      </c>
      <c r="AS30" s="34">
        <f t="shared" si="16"/>
        <v>1619.2798249676657</v>
      </c>
      <c r="AT30" s="33"/>
      <c r="AU30" s="16">
        <v>1953</v>
      </c>
      <c r="AV30" s="23">
        <f>'FY19 Aurora Prices for SecR'!AR29-'FY19 Aurora Prices for SecR'!AD29</f>
        <v>-0.12342728030296968</v>
      </c>
      <c r="AW30" s="23">
        <f>'FY19 Aurora Prices for SecR'!AS29-'FY19 Aurora Prices for SecR'!AE29</f>
        <v>-0.06103463113392493</v>
      </c>
      <c r="AX30" s="23">
        <f>'FY19 Aurora Prices for SecR'!AT29-'FY19 Aurora Prices for SecR'!AF29</f>
        <v>-0.11824658968110668</v>
      </c>
      <c r="AY30" s="23">
        <f>'FY19 Aurora Prices for SecR'!AU29-'FY19 Aurora Prices for SecR'!AG29</f>
        <v>-0.02665947329610674</v>
      </c>
      <c r="AZ30" s="23">
        <f>'FY19 Aurora Prices for SecR'!AV29-'FY19 Aurora Prices for SecR'!AH29</f>
        <v>-0.0029919624328798022</v>
      </c>
      <c r="BA30" s="23">
        <f>'FY19 Aurora Prices for SecR'!AW29-'FY19 Aurora Prices for SecR'!AI29</f>
        <v>0.04921901700953413</v>
      </c>
      <c r="BB30" s="23">
        <f>'FY19 Aurora Prices for SecR'!AX29-'FY19 Aurora Prices for SecR'!AJ29</f>
        <v>1.3916024192174632</v>
      </c>
      <c r="BC30" s="23">
        <f>'FY19 Aurora Prices for SecR'!AY29-'FY19 Aurora Prices for SecR'!AK29</f>
        <v>1.1564028225918879</v>
      </c>
      <c r="BD30" s="23">
        <f>'FY19 Aurora Prices for SecR'!AZ29-'FY19 Aurora Prices for SecR'!AL29</f>
        <v>0.6473508324888009</v>
      </c>
      <c r="BE30" s="23">
        <f>'FY19 Aurora Prices for SecR'!BA29-'FY19 Aurora Prices for SecR'!AM29</f>
        <v>-0.5781634504756319</v>
      </c>
      <c r="BF30" s="23">
        <f>'FY19 Aurora Prices for SecR'!BB29-'FY19 Aurora Prices for SecR'!AN29</f>
        <v>0.059064824350404166</v>
      </c>
      <c r="BG30" s="24">
        <f>'FY19 Aurora Prices for SecR'!BC29-'FY19 Aurora Prices for SecR'!AO29</f>
        <v>-0.11208036899565954</v>
      </c>
      <c r="BI30" s="16">
        <v>1953</v>
      </c>
      <c r="BJ30" s="41">
        <f t="shared" si="17"/>
        <v>-11923.139541064216</v>
      </c>
      <c r="BK30" s="41">
        <f t="shared" si="18"/>
        <v>-1143.7466488529512</v>
      </c>
      <c r="BL30" s="41">
        <f t="shared" si="19"/>
        <v>61159.82211042483</v>
      </c>
      <c r="BM30" s="41">
        <f t="shared" si="20"/>
        <v>-12786.58327807234</v>
      </c>
      <c r="BN30" s="41">
        <f t="shared" si="21"/>
        <v>-3890.7681782532036</v>
      </c>
      <c r="BO30" s="41">
        <f t="shared" si="22"/>
        <v>57514.598148195924</v>
      </c>
      <c r="BP30" s="41">
        <f t="shared" si="29"/>
        <v>493595.4870173416</v>
      </c>
      <c r="BQ30" s="41">
        <f t="shared" si="23"/>
        <v>2339112.692557241</v>
      </c>
      <c r="BR30" s="41">
        <f t="shared" si="24"/>
        <v>2810165.2774758246</v>
      </c>
      <c r="BS30" s="41">
        <f t="shared" si="25"/>
        <v>-1992892.1962304632</v>
      </c>
      <c r="BT30" s="41">
        <f t="shared" si="26"/>
        <v>65398.25969373571</v>
      </c>
      <c r="BU30" s="41">
        <f t="shared" si="27"/>
        <v>-40972.579521982596</v>
      </c>
      <c r="BV30" s="42">
        <f t="shared" si="28"/>
        <v>3763337.1236040755</v>
      </c>
    </row>
    <row r="31" spans="2:74" ht="15">
      <c r="B31" s="16">
        <v>1954</v>
      </c>
      <c r="C31" s="33">
        <v>395.41812944348493</v>
      </c>
      <c r="D31" s="33">
        <v>483.8698715102544</v>
      </c>
      <c r="E31" s="33">
        <v>1145.298623809497</v>
      </c>
      <c r="F31" s="33">
        <v>2854.813296368634</v>
      </c>
      <c r="G31" s="33">
        <v>2958.181094726854</v>
      </c>
      <c r="H31" s="33">
        <v>3366.2185154708714</v>
      </c>
      <c r="I31" s="33">
        <v>2756.4728161538906</v>
      </c>
      <c r="J31" s="33">
        <v>4945.265854281565</v>
      </c>
      <c r="K31" s="33">
        <v>4957.08929770003</v>
      </c>
      <c r="L31" s="33">
        <v>5036.38397064978</v>
      </c>
      <c r="M31" s="33">
        <v>3503.3820916615755</v>
      </c>
      <c r="N31" s="33">
        <v>2481.6223513271234</v>
      </c>
      <c r="O31" s="34">
        <f t="shared" si="2"/>
        <v>2908.851500890886</v>
      </c>
      <c r="Q31" s="16">
        <v>1954</v>
      </c>
      <c r="R31" s="33">
        <f>('FY19 Spill Cost'!C31-'FY19 Spill Cost'!T31)*(1-$S$3)</f>
        <v>0</v>
      </c>
      <c r="S31" s="33">
        <f>('FY19 Spill Cost'!D31-'FY19 Spill Cost'!U31)*(1-$S$3)</f>
        <v>0</v>
      </c>
      <c r="T31" s="33">
        <f>('FY19 Spill Cost'!E31-'FY19 Spill Cost'!V31)*(1-$S$3)</f>
        <v>0</v>
      </c>
      <c r="U31" s="33">
        <f>('FY19 Spill Cost'!F31-'FY19 Spill Cost'!W31)*(1-$S$3)</f>
        <v>0</v>
      </c>
      <c r="V31" s="33">
        <f>('FY19 Spill Cost'!G31-'FY19 Spill Cost'!X31)*(1-$S$3)</f>
        <v>0</v>
      </c>
      <c r="W31" s="33">
        <f>('FY19 Spill Cost'!H31-'FY19 Spill Cost'!Y31)*(1-$S$3)</f>
        <v>0</v>
      </c>
      <c r="X31" s="33">
        <f>(('FY19 Spill Cost'!I31-'FY19 Spill Cost'!Z31)*15/30+('FY19 Spill Cost'!J31-'FY19 Spill Cost'!AA31)*15/30)*(1-$S$3)</f>
        <v>799.2981490000001</v>
      </c>
      <c r="Y31" s="33">
        <f>('FY19 Spill Cost'!K31-'FY19 Spill Cost'!AB31)*(1-$S$3)</f>
        <v>818.227878</v>
      </c>
      <c r="Z31" s="33">
        <f>('FY19 Spill Cost'!L31-'FY19 Spill Cost'!AC31)*(1-$S$3)</f>
        <v>459.72199</v>
      </c>
      <c r="AA31" s="33">
        <f>('FY19 Spill Cost'!M31-'FY19 Spill Cost'!AD31)*(1-$S$3)</f>
        <v>63.356644</v>
      </c>
      <c r="AB31" s="33">
        <f>(('FY19 Spill Cost'!N31-'FY19 Spill Cost'!AE31)*15/31+('FY19 Spill Cost'!O31-'FY19 Spill Cost'!AF31)*16/31)*(1-$S$3)</f>
        <v>154.60317180645163</v>
      </c>
      <c r="AC31" s="33">
        <f>('FY19 Spill Cost'!P31-'FY19 Spill Cost'!AG31)*(1-$S$3)</f>
        <v>0</v>
      </c>
      <c r="AD31" s="34">
        <f t="shared" si="3"/>
        <v>191.48608952876714</v>
      </c>
      <c r="AF31" s="16">
        <v>1954</v>
      </c>
      <c r="AG31" s="33">
        <f t="shared" si="4"/>
        <v>395.41812944348493</v>
      </c>
      <c r="AH31" s="33">
        <f t="shared" si="5"/>
        <v>483.8698715102544</v>
      </c>
      <c r="AI31" s="33">
        <f t="shared" si="6"/>
        <v>1145.298623809497</v>
      </c>
      <c r="AJ31" s="33">
        <f t="shared" si="7"/>
        <v>2854.813296368634</v>
      </c>
      <c r="AK31" s="33">
        <f t="shared" si="8"/>
        <v>2958.181094726854</v>
      </c>
      <c r="AL31" s="33">
        <f t="shared" si="9"/>
        <v>3366.2185154708714</v>
      </c>
      <c r="AM31" s="33">
        <f t="shared" si="10"/>
        <v>1957.1746671538904</v>
      </c>
      <c r="AN31" s="33">
        <f t="shared" si="11"/>
        <v>4127.0379762815655</v>
      </c>
      <c r="AO31" s="33">
        <f t="shared" si="12"/>
        <v>4497.36730770003</v>
      </c>
      <c r="AP31" s="33">
        <f t="shared" si="13"/>
        <v>4973.02732664978</v>
      </c>
      <c r="AQ31" s="33">
        <f t="shared" si="14"/>
        <v>3348.778919855124</v>
      </c>
      <c r="AR31" s="33">
        <f t="shared" si="15"/>
        <v>2481.6223513271234</v>
      </c>
      <c r="AS31" s="34">
        <f t="shared" si="16"/>
        <v>2717.365411362119</v>
      </c>
      <c r="AT31" s="33"/>
      <c r="AU31" s="16">
        <v>1954</v>
      </c>
      <c r="AV31" s="23">
        <f>'FY19 Aurora Prices for SecR'!AR30-'FY19 Aurora Prices for SecR'!AD30</f>
        <v>0.01832249241485684</v>
      </c>
      <c r="AW31" s="23">
        <f>'FY19 Aurora Prices for SecR'!AS30-'FY19 Aurora Prices for SecR'!AE30</f>
        <v>0.0001040412715163086</v>
      </c>
      <c r="AX31" s="23">
        <f>'FY19 Aurora Prices for SecR'!AT30-'FY19 Aurora Prices for SecR'!AF30</f>
        <v>-0.008795099873708523</v>
      </c>
      <c r="AY31" s="23">
        <f>'FY19 Aurora Prices for SecR'!AU30-'FY19 Aurora Prices for SecR'!AG30</f>
        <v>0.015281658531545617</v>
      </c>
      <c r="AZ31" s="23">
        <f>'FY19 Aurora Prices for SecR'!AV30-'FY19 Aurora Prices for SecR'!AH30</f>
        <v>-0.0009318283625532331</v>
      </c>
      <c r="BA31" s="23">
        <f>'FY19 Aurora Prices for SecR'!AW30-'FY19 Aurora Prices for SecR'!AI30</f>
        <v>0.025811870133381376</v>
      </c>
      <c r="BB31" s="23">
        <f>'FY19 Aurora Prices for SecR'!AX30-'FY19 Aurora Prices for SecR'!AJ30</f>
        <v>0.8743510296609607</v>
      </c>
      <c r="BC31" s="23">
        <f>'FY19 Aurora Prices for SecR'!AY30-'FY19 Aurora Prices for SecR'!AK30</f>
        <v>1.4627119157223092</v>
      </c>
      <c r="BD31" s="23">
        <f>'FY19 Aurora Prices for SecR'!AZ30-'FY19 Aurora Prices for SecR'!AL30</f>
        <v>1.5035292367140958</v>
      </c>
      <c r="BE31" s="23">
        <f>'FY19 Aurora Prices for SecR'!BA30-'FY19 Aurora Prices for SecR'!AM30</f>
        <v>0.3727325113390094</v>
      </c>
      <c r="BF31" s="23">
        <f>'FY19 Aurora Prices for SecR'!BB30-'FY19 Aurora Prices for SecR'!AN30</f>
        <v>0.32185935281935585</v>
      </c>
      <c r="BG31" s="24">
        <f>'FY19 Aurora Prices for SecR'!BC30-'FY19 Aurora Prices for SecR'!AO30</f>
        <v>-0.01633005619049399</v>
      </c>
      <c r="BI31" s="16">
        <v>1954</v>
      </c>
      <c r="BJ31" s="41">
        <f t="shared" si="17"/>
        <v>5390.313984004299</v>
      </c>
      <c r="BK31" s="41">
        <f t="shared" si="18"/>
        <v>36.29689684653937</v>
      </c>
      <c r="BL31" s="41">
        <f t="shared" si="19"/>
        <v>-7494.323741529337</v>
      </c>
      <c r="BM31" s="41">
        <f t="shared" si="20"/>
        <v>32457.953783017674</v>
      </c>
      <c r="BN31" s="41">
        <f t="shared" si="21"/>
        <v>-1852.3794546668914</v>
      </c>
      <c r="BO31" s="41">
        <f t="shared" si="22"/>
        <v>64558.07760530506</v>
      </c>
      <c r="BP31" s="41">
        <f t="shared" si="29"/>
        <v>1232105.5335256935</v>
      </c>
      <c r="BQ31" s="41">
        <f t="shared" si="23"/>
        <v>4491280.7126618745</v>
      </c>
      <c r="BR31" s="41">
        <f t="shared" si="24"/>
        <v>4868584.729465791</v>
      </c>
      <c r="BS31" s="41">
        <f t="shared" si="25"/>
        <v>1379085.0695282514</v>
      </c>
      <c r="BT31" s="41">
        <f t="shared" si="26"/>
        <v>801909.8470144757</v>
      </c>
      <c r="BU31" s="41">
        <f t="shared" si="27"/>
        <v>-29178.023357345577</v>
      </c>
      <c r="BV31" s="42">
        <f t="shared" si="28"/>
        <v>12836883.807911718</v>
      </c>
    </row>
    <row r="32" spans="2:74" ht="15">
      <c r="B32" s="16">
        <v>1955</v>
      </c>
      <c r="C32" s="33">
        <v>563.418831403084</v>
      </c>
      <c r="D32" s="33">
        <v>1059.819991201674</v>
      </c>
      <c r="E32" s="33">
        <v>1083.9507434069942</v>
      </c>
      <c r="F32" s="33">
        <v>236.93321790053534</v>
      </c>
      <c r="G32" s="33">
        <v>368.29262593396436</v>
      </c>
      <c r="H32" s="33">
        <v>-147.71300342096112</v>
      </c>
      <c r="I32" s="33">
        <v>981.0646752018699</v>
      </c>
      <c r="J32" s="33">
        <v>3184.970677263802</v>
      </c>
      <c r="K32" s="33">
        <v>5949.490016492032</v>
      </c>
      <c r="L32" s="33">
        <v>4835.41124317816</v>
      </c>
      <c r="M32" s="33">
        <v>2186.868599836681</v>
      </c>
      <c r="N32" s="33">
        <v>254.85193075130866</v>
      </c>
      <c r="O32" s="34">
        <f t="shared" si="2"/>
        <v>1720.4886449505495</v>
      </c>
      <c r="Q32" s="16">
        <v>1955</v>
      </c>
      <c r="R32" s="33">
        <f>('FY19 Spill Cost'!C32-'FY19 Spill Cost'!T32)*(1-$S$3)</f>
        <v>0</v>
      </c>
      <c r="S32" s="33">
        <f>('FY19 Spill Cost'!D32-'FY19 Spill Cost'!U32)*(1-$S$3)</f>
        <v>0</v>
      </c>
      <c r="T32" s="33">
        <f>('FY19 Spill Cost'!E32-'FY19 Spill Cost'!V32)*(1-$S$3)</f>
        <v>0</v>
      </c>
      <c r="U32" s="33">
        <f>('FY19 Spill Cost'!F32-'FY19 Spill Cost'!W32)*(1-$S$3)</f>
        <v>0</v>
      </c>
      <c r="V32" s="33">
        <f>('FY19 Spill Cost'!G32-'FY19 Spill Cost'!X32)*(1-$S$3)</f>
        <v>0</v>
      </c>
      <c r="W32" s="33">
        <f>('FY19 Spill Cost'!H32-'FY19 Spill Cost'!Y32)*(1-$S$3)</f>
        <v>0</v>
      </c>
      <c r="X32" s="33">
        <f>(('FY19 Spill Cost'!I32-'FY19 Spill Cost'!Z32)*15/30+('FY19 Spill Cost'!J32-'FY19 Spill Cost'!AA32)*15/30)*(1-$S$3)</f>
        <v>915.58077</v>
      </c>
      <c r="Y32" s="33">
        <f>('FY19 Spill Cost'!K32-'FY19 Spill Cost'!AB32)*(1-$S$3)</f>
        <v>1070.881812</v>
      </c>
      <c r="Z32" s="33">
        <f>('FY19 Spill Cost'!L32-'FY19 Spill Cost'!AC32)*(1-$S$3)</f>
        <v>438.08801400000004</v>
      </c>
      <c r="AA32" s="33">
        <f>('FY19 Spill Cost'!M32-'FY19 Spill Cost'!AD32)*(1-$S$3)</f>
        <v>5.408494</v>
      </c>
      <c r="AB32" s="33">
        <f>(('FY19 Spill Cost'!N32-'FY19 Spill Cost'!AE32)*15/31+('FY19 Spill Cost'!O32-'FY19 Spill Cost'!AF32)*16/31)*(1-$S$3)</f>
        <v>145.13207632258064</v>
      </c>
      <c r="AC32" s="33">
        <f>('FY19 Spill Cost'!P32-'FY19 Spill Cost'!AG32)*(1-$S$3)</f>
        <v>0</v>
      </c>
      <c r="AD32" s="34">
        <f t="shared" si="3"/>
        <v>214.99769143013694</v>
      </c>
      <c r="AF32" s="16">
        <v>1955</v>
      </c>
      <c r="AG32" s="33">
        <f t="shared" si="4"/>
        <v>563.418831403084</v>
      </c>
      <c r="AH32" s="33">
        <f t="shared" si="5"/>
        <v>1059.819991201674</v>
      </c>
      <c r="AI32" s="33">
        <f t="shared" si="6"/>
        <v>1083.9507434069942</v>
      </c>
      <c r="AJ32" s="33">
        <f t="shared" si="7"/>
        <v>236.93321790053534</v>
      </c>
      <c r="AK32" s="33">
        <f t="shared" si="8"/>
        <v>368.29262593396436</v>
      </c>
      <c r="AL32" s="33">
        <f t="shared" si="9"/>
        <v>-147.71300342096112</v>
      </c>
      <c r="AM32" s="33">
        <f t="shared" si="10"/>
        <v>65.4839052018699</v>
      </c>
      <c r="AN32" s="33">
        <f t="shared" si="11"/>
        <v>2114.088865263802</v>
      </c>
      <c r="AO32" s="33">
        <f t="shared" si="12"/>
        <v>5511.402002492032</v>
      </c>
      <c r="AP32" s="33">
        <f t="shared" si="13"/>
        <v>4830.002749178159</v>
      </c>
      <c r="AQ32" s="33">
        <f t="shared" si="14"/>
        <v>2041.7365235141003</v>
      </c>
      <c r="AR32" s="33">
        <f t="shared" si="15"/>
        <v>254.85193075130866</v>
      </c>
      <c r="AS32" s="34">
        <f t="shared" si="16"/>
        <v>1505.4909535204124</v>
      </c>
      <c r="AT32" s="33"/>
      <c r="AU32" s="16">
        <v>1955</v>
      </c>
      <c r="AV32" s="23">
        <f>'FY19 Aurora Prices for SecR'!AR31-'FY19 Aurora Prices for SecR'!AD31</f>
        <v>-0.02948374594409131</v>
      </c>
      <c r="AW32" s="23">
        <f>'FY19 Aurora Prices for SecR'!AS31-'FY19 Aurora Prices for SecR'!AE31</f>
        <v>0.013058990512856639</v>
      </c>
      <c r="AX32" s="23">
        <f>'FY19 Aurora Prices for SecR'!AT31-'FY19 Aurora Prices for SecR'!AF31</f>
        <v>-0.01299020654413141</v>
      </c>
      <c r="AY32" s="23">
        <f>'FY19 Aurora Prices for SecR'!AU31-'FY19 Aurora Prices for SecR'!AG31</f>
        <v>-0.06180054808170965</v>
      </c>
      <c r="AZ32" s="23">
        <f>'FY19 Aurora Prices for SecR'!AV31-'FY19 Aurora Prices for SecR'!AH31</f>
        <v>-0.007489715303698574</v>
      </c>
      <c r="BA32" s="23">
        <f>'FY19 Aurora Prices for SecR'!AW31-'FY19 Aurora Prices for SecR'!AI31</f>
        <v>-0.06323303550601622</v>
      </c>
      <c r="BB32" s="23">
        <f>'FY19 Aurora Prices for SecR'!AX31-'FY19 Aurora Prices for SecR'!AJ31</f>
        <v>1.2798430289162113</v>
      </c>
      <c r="BC32" s="23">
        <f>'FY19 Aurora Prices for SecR'!AY31-'FY19 Aurora Prices for SecR'!AK31</f>
        <v>0.9545810194425215</v>
      </c>
      <c r="BD32" s="23">
        <f>'FY19 Aurora Prices for SecR'!AZ31-'FY19 Aurora Prices for SecR'!AL31</f>
        <v>1.6213765958944997</v>
      </c>
      <c r="BE32" s="23">
        <f>'FY19 Aurora Prices for SecR'!BA31-'FY19 Aurora Prices for SecR'!AM31</f>
        <v>-0.3534945011779662</v>
      </c>
      <c r="BF32" s="23">
        <f>'FY19 Aurora Prices for SecR'!BB31-'FY19 Aurora Prices for SecR'!AN31</f>
        <v>0.043016860562001824</v>
      </c>
      <c r="BG32" s="24">
        <f>'FY19 Aurora Prices for SecR'!BC31-'FY19 Aurora Prices for SecR'!AO31</f>
        <v>-0.37434353828426836</v>
      </c>
      <c r="BI32" s="16">
        <v>1955</v>
      </c>
      <c r="BJ32" s="41">
        <f t="shared" si="17"/>
        <v>-12359.103077792775</v>
      </c>
      <c r="BK32" s="41">
        <f t="shared" si="18"/>
        <v>9978.769210726134</v>
      </c>
      <c r="BL32" s="41">
        <f t="shared" si="19"/>
        <v>-10476.073566148103</v>
      </c>
      <c r="BM32" s="41">
        <f t="shared" si="20"/>
        <v>-10894.09642741207</v>
      </c>
      <c r="BN32" s="41">
        <f t="shared" si="21"/>
        <v>-1853.6494480203485</v>
      </c>
      <c r="BO32" s="41">
        <f t="shared" si="22"/>
        <v>6939.873801383322</v>
      </c>
      <c r="BP32" s="41">
        <f t="shared" si="29"/>
        <v>60342.566096752715</v>
      </c>
      <c r="BQ32" s="41">
        <f t="shared" si="23"/>
        <v>1501443.413521529</v>
      </c>
      <c r="BR32" s="41">
        <f t="shared" si="24"/>
        <v>6433961.916532795</v>
      </c>
      <c r="BS32" s="41">
        <f t="shared" si="25"/>
        <v>-1270290.2829066506</v>
      </c>
      <c r="BT32" s="41">
        <f t="shared" si="26"/>
        <v>65344.846930246196</v>
      </c>
      <c r="BU32" s="41">
        <f t="shared" si="27"/>
        <v>-68689.564917136</v>
      </c>
      <c r="BV32" s="42">
        <f t="shared" si="28"/>
        <v>6703448.615750272</v>
      </c>
    </row>
    <row r="33" spans="2:74" ht="15">
      <c r="B33" s="16">
        <v>1956</v>
      </c>
      <c r="C33" s="33">
        <v>714.8518012601202</v>
      </c>
      <c r="D33" s="33">
        <v>1604.6071718143671</v>
      </c>
      <c r="E33" s="33">
        <v>3055.563439659461</v>
      </c>
      <c r="F33" s="33">
        <v>4459.08633573917</v>
      </c>
      <c r="G33" s="33">
        <v>4662.193822892807</v>
      </c>
      <c r="H33" s="33">
        <v>4567.892222797558</v>
      </c>
      <c r="I33" s="33">
        <v>4894.522627339416</v>
      </c>
      <c r="J33" s="33">
        <v>6095.01927847472</v>
      </c>
      <c r="K33" s="33">
        <v>5664.250815524428</v>
      </c>
      <c r="L33" s="33">
        <v>4148.235948179992</v>
      </c>
      <c r="M33" s="33">
        <v>2266.664517912833</v>
      </c>
      <c r="N33" s="33">
        <v>503.42134990202555</v>
      </c>
      <c r="O33" s="34">
        <f t="shared" si="2"/>
        <v>3547.8047551580485</v>
      </c>
      <c r="Q33" s="16">
        <v>1956</v>
      </c>
      <c r="R33" s="33">
        <f>('FY19 Spill Cost'!C33-'FY19 Spill Cost'!T33)*(1-$S$3)</f>
        <v>0</v>
      </c>
      <c r="S33" s="33">
        <f>('FY19 Spill Cost'!D33-'FY19 Spill Cost'!U33)*(1-$S$3)</f>
        <v>0</v>
      </c>
      <c r="T33" s="33">
        <f>('FY19 Spill Cost'!E33-'FY19 Spill Cost'!V33)*(1-$S$3)</f>
        <v>0</v>
      </c>
      <c r="U33" s="33">
        <f>('FY19 Spill Cost'!F33-'FY19 Spill Cost'!W33)*(1-$S$3)</f>
        <v>0</v>
      </c>
      <c r="V33" s="33">
        <f>('FY19 Spill Cost'!G33-'FY19 Spill Cost'!X33)*(1-$S$3)</f>
        <v>0</v>
      </c>
      <c r="W33" s="33">
        <f>('FY19 Spill Cost'!H33-'FY19 Spill Cost'!Y33)*(1-$S$3)</f>
        <v>0</v>
      </c>
      <c r="X33" s="33">
        <f>(('FY19 Spill Cost'!I33-'FY19 Spill Cost'!Z33)*15/30+('FY19 Spill Cost'!J33-'FY19 Spill Cost'!AA33)*15/30)*(1-$S$3)</f>
        <v>244.54119300000002</v>
      </c>
      <c r="Y33" s="33">
        <f>('FY19 Spill Cost'!K33-'FY19 Spill Cost'!AB33)*(1-$S$3)</f>
        <v>67.992496</v>
      </c>
      <c r="Z33" s="33">
        <f>('FY19 Spill Cost'!L33-'FY19 Spill Cost'!AC33)*(1-$S$3)</f>
        <v>268.10677400000003</v>
      </c>
      <c r="AA33" s="33">
        <f>('FY19 Spill Cost'!M33-'FY19 Spill Cost'!AD33)*(1-$S$3)</f>
        <v>-40.177384</v>
      </c>
      <c r="AB33" s="33">
        <f>(('FY19 Spill Cost'!N33-'FY19 Spill Cost'!AE33)*15/31+('FY19 Spill Cost'!O33-'FY19 Spill Cost'!AF33)*16/31)*(1-$S$3)</f>
        <v>138.02875470967743</v>
      </c>
      <c r="AC33" s="33">
        <f>('FY19 Spill Cost'!P33-'FY19 Spill Cost'!AG33)*(1-$S$3)</f>
        <v>0</v>
      </c>
      <c r="AD33" s="34">
        <f t="shared" si="3"/>
        <v>56.220818843835616</v>
      </c>
      <c r="AF33" s="16">
        <v>1956</v>
      </c>
      <c r="AG33" s="33">
        <f t="shared" si="4"/>
        <v>714.8518012601202</v>
      </c>
      <c r="AH33" s="33">
        <f t="shared" si="5"/>
        <v>1604.6071718143671</v>
      </c>
      <c r="AI33" s="33">
        <f t="shared" si="6"/>
        <v>3055.563439659461</v>
      </c>
      <c r="AJ33" s="33">
        <f t="shared" si="7"/>
        <v>4459.08633573917</v>
      </c>
      <c r="AK33" s="33">
        <f t="shared" si="8"/>
        <v>4662.193822892807</v>
      </c>
      <c r="AL33" s="33">
        <f t="shared" si="9"/>
        <v>4567.892222797558</v>
      </c>
      <c r="AM33" s="33">
        <f t="shared" si="10"/>
        <v>4649.981434339416</v>
      </c>
      <c r="AN33" s="33">
        <f t="shared" si="11"/>
        <v>6027.02678247472</v>
      </c>
      <c r="AO33" s="33">
        <f t="shared" si="12"/>
        <v>5396.144041524428</v>
      </c>
      <c r="AP33" s="33">
        <f t="shared" si="13"/>
        <v>4188.413332179992</v>
      </c>
      <c r="AQ33" s="33">
        <f t="shared" si="14"/>
        <v>2128.635763203156</v>
      </c>
      <c r="AR33" s="33">
        <f t="shared" si="15"/>
        <v>503.42134990202555</v>
      </c>
      <c r="AS33" s="34">
        <f t="shared" si="16"/>
        <v>3491.5839363142127</v>
      </c>
      <c r="AT33" s="33"/>
      <c r="AU33" s="16">
        <v>1956</v>
      </c>
      <c r="AV33" s="23">
        <f>'FY19 Aurora Prices for SecR'!AR32-'FY19 Aurora Prices for SecR'!AD32</f>
        <v>-0.0185658947114149</v>
      </c>
      <c r="AW33" s="23">
        <f>'FY19 Aurora Prices for SecR'!AS32-'FY19 Aurora Prices for SecR'!AE32</f>
        <v>-0.05488502800716333</v>
      </c>
      <c r="AX33" s="23">
        <f>'FY19 Aurora Prices for SecR'!AT32-'FY19 Aurora Prices for SecR'!AF32</f>
        <v>0.03651635057180158</v>
      </c>
      <c r="AY33" s="23">
        <f>'FY19 Aurora Prices for SecR'!AU32-'FY19 Aurora Prices for SecR'!AG32</f>
        <v>0.12118730365591546</v>
      </c>
      <c r="AZ33" s="23">
        <f>'FY19 Aurora Prices for SecR'!AV32-'FY19 Aurora Prices for SecR'!AH32</f>
        <v>0.06257134675982101</v>
      </c>
      <c r="BA33" s="23">
        <f>'FY19 Aurora Prices for SecR'!AW32-'FY19 Aurora Prices for SecR'!AI32</f>
        <v>0.03984436964763205</v>
      </c>
      <c r="BB33" s="23">
        <f>'FY19 Aurora Prices for SecR'!AX32-'FY19 Aurora Prices for SecR'!AJ32</f>
        <v>0.6820887600051382</v>
      </c>
      <c r="BC33" s="23">
        <f>'FY19 Aurora Prices for SecR'!AY32-'FY19 Aurora Prices for SecR'!AK32</f>
        <v>0.39074235275709146</v>
      </c>
      <c r="BD33" s="23">
        <f>'FY19 Aurora Prices for SecR'!AZ32-'FY19 Aurora Prices for SecR'!AL32</f>
        <v>1.033311953136896</v>
      </c>
      <c r="BE33" s="23">
        <f>'FY19 Aurora Prices for SecR'!BA32-'FY19 Aurora Prices for SecR'!AM32</f>
        <v>-0.5832953016604492</v>
      </c>
      <c r="BF33" s="23">
        <f>'FY19 Aurora Prices for SecR'!BB32-'FY19 Aurora Prices for SecR'!AN32</f>
        <v>0.12141556124533537</v>
      </c>
      <c r="BG33" s="24">
        <f>'FY19 Aurora Prices for SecR'!BC32-'FY19 Aurora Prices for SecR'!AO32</f>
        <v>-0.18954384326939433</v>
      </c>
      <c r="BI33" s="16">
        <v>1956</v>
      </c>
      <c r="BJ33" s="41">
        <f t="shared" si="17"/>
        <v>-9874.266277686746</v>
      </c>
      <c r="BK33" s="41">
        <f t="shared" si="18"/>
        <v>-63497.683796744735</v>
      </c>
      <c r="BL33" s="41">
        <f t="shared" si="19"/>
        <v>83014.05116319665</v>
      </c>
      <c r="BM33" s="41">
        <f t="shared" si="20"/>
        <v>402046.1794490916</v>
      </c>
      <c r="BN33" s="41">
        <f t="shared" si="21"/>
        <v>196035.66954970075</v>
      </c>
      <c r="BO33" s="41">
        <f t="shared" si="22"/>
        <v>135229.5561731173</v>
      </c>
      <c r="BP33" s="41">
        <f t="shared" si="29"/>
        <v>2283624.0508287502</v>
      </c>
      <c r="BQ33" s="41">
        <f t="shared" si="23"/>
        <v>1752130.881084946</v>
      </c>
      <c r="BR33" s="41">
        <f t="shared" si="24"/>
        <v>4014648.1000480535</v>
      </c>
      <c r="BS33" s="41">
        <f t="shared" si="25"/>
        <v>-1817652.872645996</v>
      </c>
      <c r="BT33" s="41">
        <f t="shared" si="26"/>
        <v>192286.43237189576</v>
      </c>
      <c r="BU33" s="41">
        <f t="shared" si="27"/>
        <v>-68702.70055989345</v>
      </c>
      <c r="BV33" s="42">
        <f t="shared" si="28"/>
        <v>7099287.39738843</v>
      </c>
    </row>
    <row r="34" spans="2:74" ht="15">
      <c r="B34" s="16">
        <v>1957</v>
      </c>
      <c r="C34" s="33">
        <v>662.6455821977277</v>
      </c>
      <c r="D34" s="33">
        <v>143.61175405358185</v>
      </c>
      <c r="E34" s="33">
        <v>1334.2355786339986</v>
      </c>
      <c r="F34" s="33">
        <v>1422.0942762825177</v>
      </c>
      <c r="G34" s="33">
        <v>819.8154521417412</v>
      </c>
      <c r="H34" s="33">
        <v>2148.1203075986336</v>
      </c>
      <c r="I34" s="33">
        <v>3310.0780766354706</v>
      </c>
      <c r="J34" s="33">
        <v>6400.677155603276</v>
      </c>
      <c r="K34" s="33">
        <v>5897.547683279089</v>
      </c>
      <c r="L34" s="33">
        <v>2095.559367283304</v>
      </c>
      <c r="M34" s="33">
        <v>797.4784180174083</v>
      </c>
      <c r="N34" s="33">
        <v>380.8452442345359</v>
      </c>
      <c r="O34" s="34">
        <f t="shared" si="2"/>
        <v>2124.7093848505233</v>
      </c>
      <c r="Q34" s="16">
        <v>1957</v>
      </c>
      <c r="R34" s="33">
        <f>('FY19 Spill Cost'!C34-'FY19 Spill Cost'!T34)*(1-$S$3)</f>
        <v>0</v>
      </c>
      <c r="S34" s="33">
        <f>('FY19 Spill Cost'!D34-'FY19 Spill Cost'!U34)*(1-$S$3)</f>
        <v>0</v>
      </c>
      <c r="T34" s="33">
        <f>('FY19 Spill Cost'!E34-'FY19 Spill Cost'!V34)*(1-$S$3)</f>
        <v>0</v>
      </c>
      <c r="U34" s="33">
        <f>('FY19 Spill Cost'!F34-'FY19 Spill Cost'!W34)*(1-$S$3)</f>
        <v>0</v>
      </c>
      <c r="V34" s="33">
        <f>('FY19 Spill Cost'!G34-'FY19 Spill Cost'!X34)*(1-$S$3)</f>
        <v>0</v>
      </c>
      <c r="W34" s="33">
        <f>('FY19 Spill Cost'!H34-'FY19 Spill Cost'!Y34)*(1-$S$3)</f>
        <v>0</v>
      </c>
      <c r="X34" s="33">
        <f>(('FY19 Spill Cost'!I34-'FY19 Spill Cost'!Z34)*15/30+('FY19 Spill Cost'!J34-'FY19 Spill Cost'!AA34)*15/30)*(1-$S$3)</f>
        <v>756.030197</v>
      </c>
      <c r="Y34" s="33">
        <f>('FY19 Spill Cost'!K34-'FY19 Spill Cost'!AB34)*(1-$S$3)</f>
        <v>140.620844</v>
      </c>
      <c r="Z34" s="33">
        <f>('FY19 Spill Cost'!L34-'FY19 Spill Cost'!AC34)*(1-$S$3)</f>
        <v>367.00495</v>
      </c>
      <c r="AA34" s="33">
        <f>('FY19 Spill Cost'!M34-'FY19 Spill Cost'!AD34)*(1-$S$3)</f>
        <v>-48.676446000000006</v>
      </c>
      <c r="AB34" s="33">
        <f>(('FY19 Spill Cost'!N34-'FY19 Spill Cost'!AE34)*15/31+('FY19 Spill Cost'!O34-'FY19 Spill Cost'!AF34)*16/31)*(1-$S$3)</f>
        <v>123.59779606451613</v>
      </c>
      <c r="AC34" s="33">
        <f>('FY19 Spill Cost'!P34-'FY19 Spill Cost'!AG34)*(1-$S$3)</f>
        <v>0</v>
      </c>
      <c r="AD34" s="34">
        <f t="shared" si="3"/>
        <v>110.61058198904111</v>
      </c>
      <c r="AF34" s="16">
        <v>1957</v>
      </c>
      <c r="AG34" s="33">
        <f t="shared" si="4"/>
        <v>662.6455821977277</v>
      </c>
      <c r="AH34" s="33">
        <f t="shared" si="5"/>
        <v>143.61175405358185</v>
      </c>
      <c r="AI34" s="33">
        <f t="shared" si="6"/>
        <v>1334.2355786339986</v>
      </c>
      <c r="AJ34" s="33">
        <f t="shared" si="7"/>
        <v>1422.0942762825177</v>
      </c>
      <c r="AK34" s="33">
        <f t="shared" si="8"/>
        <v>819.8154521417412</v>
      </c>
      <c r="AL34" s="33">
        <f t="shared" si="9"/>
        <v>2148.1203075986336</v>
      </c>
      <c r="AM34" s="33">
        <f t="shared" si="10"/>
        <v>2554.0478796354705</v>
      </c>
      <c r="AN34" s="33">
        <f t="shared" si="11"/>
        <v>6260.056311603276</v>
      </c>
      <c r="AO34" s="33">
        <f t="shared" si="12"/>
        <v>5530.54273327909</v>
      </c>
      <c r="AP34" s="33">
        <f t="shared" si="13"/>
        <v>2144.2358132833037</v>
      </c>
      <c r="AQ34" s="33">
        <f t="shared" si="14"/>
        <v>673.8806219528922</v>
      </c>
      <c r="AR34" s="33">
        <f t="shared" si="15"/>
        <v>380.8452442345359</v>
      </c>
      <c r="AS34" s="34">
        <f t="shared" si="16"/>
        <v>2014.098802861482</v>
      </c>
      <c r="AT34" s="33"/>
      <c r="AU34" s="16">
        <v>1957</v>
      </c>
      <c r="AV34" s="23">
        <f>'FY19 Aurora Prices for SecR'!AR33-'FY19 Aurora Prices for SecR'!AD33</f>
        <v>-0.22086106654135307</v>
      </c>
      <c r="AW34" s="23">
        <f>'FY19 Aurora Prices for SecR'!AS33-'FY19 Aurora Prices for SecR'!AE33</f>
        <v>-0.19315087004934384</v>
      </c>
      <c r="AX34" s="23">
        <f>'FY19 Aurora Prices for SecR'!AT33-'FY19 Aurora Prices for SecR'!AF33</f>
        <v>-0.07383228732694747</v>
      </c>
      <c r="AY34" s="23">
        <f>'FY19 Aurora Prices for SecR'!AU33-'FY19 Aurora Prices for SecR'!AG33</f>
        <v>-0.10819878732009158</v>
      </c>
      <c r="AZ34" s="23">
        <f>'FY19 Aurora Prices for SecR'!AV33-'FY19 Aurora Prices for SecR'!AH33</f>
        <v>-0.02514872550962366</v>
      </c>
      <c r="BA34" s="23">
        <f>'FY19 Aurora Prices for SecR'!AW33-'FY19 Aurora Prices for SecR'!AI33</f>
        <v>0.031649804019075134</v>
      </c>
      <c r="BB34" s="23">
        <f>'FY19 Aurora Prices for SecR'!AX33-'FY19 Aurora Prices for SecR'!AJ33</f>
        <v>0.831164797147121</v>
      </c>
      <c r="BC34" s="23">
        <f>'FY19 Aurora Prices for SecR'!AY33-'FY19 Aurora Prices for SecR'!AK33</f>
        <v>0.5170628961936687</v>
      </c>
      <c r="BD34" s="23">
        <f>'FY19 Aurora Prices for SecR'!AZ33-'FY19 Aurora Prices for SecR'!AL33</f>
        <v>1.4960059326556365</v>
      </c>
      <c r="BE34" s="23">
        <f>'FY19 Aurora Prices for SecR'!BA33-'FY19 Aurora Prices for SecR'!AM33</f>
        <v>-0.7879946811225231</v>
      </c>
      <c r="BF34" s="23">
        <f>'FY19 Aurora Prices for SecR'!BB33-'FY19 Aurora Prices for SecR'!AN33</f>
        <v>-0.20290180636989774</v>
      </c>
      <c r="BG34" s="24">
        <f>'FY19 Aurora Prices for SecR'!BC33-'FY19 Aurora Prices for SecR'!AO33</f>
        <v>-0.3983022181193583</v>
      </c>
      <c r="BI34" s="16">
        <v>1957</v>
      </c>
      <c r="BJ34" s="41">
        <f t="shared" si="17"/>
        <v>-108886.34185719084</v>
      </c>
      <c r="BK34" s="41">
        <f t="shared" si="18"/>
        <v>-19999.628111473197</v>
      </c>
      <c r="BL34" s="41">
        <f t="shared" si="19"/>
        <v>-73291.19046503479</v>
      </c>
      <c r="BM34" s="41">
        <f t="shared" si="20"/>
        <v>-114478.44385456709</v>
      </c>
      <c r="BN34" s="41">
        <f t="shared" si="21"/>
        <v>-13854.834856437563</v>
      </c>
      <c r="BO34" s="41">
        <f t="shared" si="22"/>
        <v>50514.77695145487</v>
      </c>
      <c r="BP34" s="41">
        <f t="shared" si="29"/>
        <v>1528440.9752025004</v>
      </c>
      <c r="BQ34" s="41">
        <f t="shared" si="23"/>
        <v>2408211.078028906</v>
      </c>
      <c r="BR34" s="41">
        <f t="shared" si="24"/>
        <v>5957081.812649547</v>
      </c>
      <c r="BS34" s="41">
        <f t="shared" si="25"/>
        <v>-1257096.9334591152</v>
      </c>
      <c r="BT34" s="41">
        <f t="shared" si="26"/>
        <v>-101728.30703110252</v>
      </c>
      <c r="BU34" s="41">
        <f t="shared" si="27"/>
        <v>-109217.88398795357</v>
      </c>
      <c r="BV34" s="42">
        <f t="shared" si="28"/>
        <v>8145695.0792095335</v>
      </c>
    </row>
    <row r="35" spans="2:74" ht="15">
      <c r="B35" s="16">
        <v>1958</v>
      </c>
      <c r="C35" s="33">
        <v>54.15301215625343</v>
      </c>
      <c r="D35" s="33">
        <v>323.00263663613435</v>
      </c>
      <c r="E35" s="33">
        <v>-329.11056462230925</v>
      </c>
      <c r="F35" s="33">
        <v>1854.259750083166</v>
      </c>
      <c r="G35" s="33">
        <v>1720.9592070263268</v>
      </c>
      <c r="H35" s="33">
        <v>2164.9841995307074</v>
      </c>
      <c r="I35" s="33">
        <v>2790.677163110871</v>
      </c>
      <c r="J35" s="33">
        <v>5514.263295039042</v>
      </c>
      <c r="K35" s="33">
        <v>5111.9335586732805</v>
      </c>
      <c r="L35" s="33">
        <v>1630.4951288081002</v>
      </c>
      <c r="M35" s="33">
        <v>841.2636161117096</v>
      </c>
      <c r="N35" s="33">
        <v>119.96340794508808</v>
      </c>
      <c r="O35" s="34">
        <f t="shared" si="2"/>
        <v>1814.0191044005967</v>
      </c>
      <c r="Q35" s="16">
        <v>1958</v>
      </c>
      <c r="R35" s="33">
        <f>('FY19 Spill Cost'!C35-'FY19 Spill Cost'!T35)*(1-$S$3)</f>
        <v>0</v>
      </c>
      <c r="S35" s="33">
        <f>('FY19 Spill Cost'!D35-'FY19 Spill Cost'!U35)*(1-$S$3)</f>
        <v>0</v>
      </c>
      <c r="T35" s="33">
        <f>('FY19 Spill Cost'!E35-'FY19 Spill Cost'!V35)*(1-$S$3)</f>
        <v>0</v>
      </c>
      <c r="U35" s="33">
        <f>('FY19 Spill Cost'!F35-'FY19 Spill Cost'!W35)*(1-$S$3)</f>
        <v>0</v>
      </c>
      <c r="V35" s="33">
        <f>('FY19 Spill Cost'!G35-'FY19 Spill Cost'!X35)*(1-$S$3)</f>
        <v>0</v>
      </c>
      <c r="W35" s="33">
        <f>('FY19 Spill Cost'!H35-'FY19 Spill Cost'!Y35)*(1-$S$3)</f>
        <v>0</v>
      </c>
      <c r="X35" s="33">
        <f>(('FY19 Spill Cost'!I35-'FY19 Spill Cost'!Z35)*15/30+('FY19 Spill Cost'!J35-'FY19 Spill Cost'!AA35)*15/30)*(1-$S$3)</f>
        <v>773.028321</v>
      </c>
      <c r="Y35" s="33">
        <f>('FY19 Spill Cost'!K35-'FY19 Spill Cost'!AB35)*(1-$S$3)</f>
        <v>397.137988</v>
      </c>
      <c r="Z35" s="33">
        <f>('FY19 Spill Cost'!L35-'FY19 Spill Cost'!AC35)*(1-$S$3)</f>
        <v>479.03804</v>
      </c>
      <c r="AA35" s="33">
        <f>('FY19 Spill Cost'!M35-'FY19 Spill Cost'!AD35)*(1-$S$3)</f>
        <v>-40.177384</v>
      </c>
      <c r="AB35" s="33">
        <f>(('FY19 Spill Cost'!N35-'FY19 Spill Cost'!AE35)*15/31+('FY19 Spill Cost'!O35-'FY19 Spill Cost'!AF35)*16/31)*(1-$S$3)</f>
        <v>116.29508296774195</v>
      </c>
      <c r="AC35" s="33">
        <f>('FY19 Spill Cost'!P35-'FY19 Spill Cost'!AG35)*(1-$S$3)</f>
        <v>0</v>
      </c>
      <c r="AD35" s="34">
        <f t="shared" si="3"/>
        <v>143.1038825369863</v>
      </c>
      <c r="AF35" s="16">
        <v>1958</v>
      </c>
      <c r="AG35" s="33">
        <f t="shared" si="4"/>
        <v>54.15301215625343</v>
      </c>
      <c r="AH35" s="33">
        <f t="shared" si="5"/>
        <v>323.00263663613435</v>
      </c>
      <c r="AI35" s="33">
        <f t="shared" si="6"/>
        <v>-329.11056462230925</v>
      </c>
      <c r="AJ35" s="33">
        <f t="shared" si="7"/>
        <v>1854.259750083166</v>
      </c>
      <c r="AK35" s="33">
        <f t="shared" si="8"/>
        <v>1720.9592070263268</v>
      </c>
      <c r="AL35" s="33">
        <f t="shared" si="9"/>
        <v>2164.9841995307074</v>
      </c>
      <c r="AM35" s="33">
        <f t="shared" si="10"/>
        <v>2017.6488421108709</v>
      </c>
      <c r="AN35" s="33">
        <f t="shared" si="11"/>
        <v>5117.125307039041</v>
      </c>
      <c r="AO35" s="33">
        <f t="shared" si="12"/>
        <v>4632.89551867328</v>
      </c>
      <c r="AP35" s="33">
        <f t="shared" si="13"/>
        <v>1670.6725128081002</v>
      </c>
      <c r="AQ35" s="33">
        <f t="shared" si="14"/>
        <v>724.9685331439676</v>
      </c>
      <c r="AR35" s="33">
        <f t="shared" si="15"/>
        <v>119.96340794508808</v>
      </c>
      <c r="AS35" s="34">
        <f t="shared" si="16"/>
        <v>1670.91522186361</v>
      </c>
      <c r="AT35" s="33"/>
      <c r="AU35" s="16">
        <v>1958</v>
      </c>
      <c r="AV35" s="23">
        <f>'FY19 Aurora Prices for SecR'!AR34-'FY19 Aurora Prices for SecR'!AD34</f>
        <v>-0.5810170858136878</v>
      </c>
      <c r="AW35" s="23">
        <f>'FY19 Aurora Prices for SecR'!AS34-'FY19 Aurora Prices for SecR'!AE34</f>
        <v>-0.6240454024316016</v>
      </c>
      <c r="AX35" s="23">
        <f>'FY19 Aurora Prices for SecR'!AT34-'FY19 Aurora Prices for SecR'!AF34</f>
        <v>-0.7332461685262857</v>
      </c>
      <c r="AY35" s="23">
        <f>'FY19 Aurora Prices for SecR'!AU34-'FY19 Aurora Prices for SecR'!AG34</f>
        <v>-0.12473704020183618</v>
      </c>
      <c r="AZ35" s="23">
        <f>'FY19 Aurora Prices for SecR'!AV34-'FY19 Aurora Prices for SecR'!AH34</f>
        <v>-0.01123230457307045</v>
      </c>
      <c r="BA35" s="23">
        <f>'FY19 Aurora Prices for SecR'!AW34-'FY19 Aurora Prices for SecR'!AI34</f>
        <v>0.06534437645488111</v>
      </c>
      <c r="BB35" s="23">
        <f>'FY19 Aurora Prices for SecR'!AX34-'FY19 Aurora Prices for SecR'!AJ34</f>
        <v>0.8940104908413637</v>
      </c>
      <c r="BC35" s="23">
        <f>'FY19 Aurora Prices for SecR'!AY34-'FY19 Aurora Prices for SecR'!AK34</f>
        <v>1.4648701169478393</v>
      </c>
      <c r="BD35" s="23">
        <f>'FY19 Aurora Prices for SecR'!AZ34-'FY19 Aurora Prices for SecR'!AL34</f>
        <v>1.8441095565755958</v>
      </c>
      <c r="BE35" s="23">
        <f>'FY19 Aurora Prices for SecR'!BA34-'FY19 Aurora Prices for SecR'!AM34</f>
        <v>-0.47669922946597154</v>
      </c>
      <c r="BF35" s="23">
        <f>'FY19 Aurora Prices for SecR'!BB34-'FY19 Aurora Prices for SecR'!AN34</f>
        <v>-0.020162846965202874</v>
      </c>
      <c r="BG35" s="24">
        <f>'FY19 Aurora Prices for SecR'!BC34-'FY19 Aurora Prices for SecR'!AO34</f>
        <v>-0.18468626340228056</v>
      </c>
      <c r="BI35" s="16">
        <v>1958</v>
      </c>
      <c r="BJ35" s="41">
        <f t="shared" si="17"/>
        <v>-23409.08603142833</v>
      </c>
      <c r="BK35" s="41">
        <f t="shared" si="18"/>
        <v>-145330.75177393274</v>
      </c>
      <c r="BL35" s="41">
        <f t="shared" si="19"/>
        <v>179541.3810349381</v>
      </c>
      <c r="BM35" s="41">
        <f t="shared" si="20"/>
        <v>-172083.3855051333</v>
      </c>
      <c r="BN35" s="41">
        <f t="shared" si="21"/>
        <v>-12989.987116612469</v>
      </c>
      <c r="BO35" s="41">
        <f t="shared" si="22"/>
        <v>105111.87011688197</v>
      </c>
      <c r="BP35" s="41">
        <f t="shared" si="29"/>
        <v>1298735.4468103552</v>
      </c>
      <c r="BQ35" s="41">
        <f t="shared" si="23"/>
        <v>5576967.416537517</v>
      </c>
      <c r="BR35" s="41">
        <f t="shared" si="24"/>
        <v>6151368.168433186</v>
      </c>
      <c r="BS35" s="41">
        <f t="shared" si="25"/>
        <v>-592527.7748619263</v>
      </c>
      <c r="BT35" s="41">
        <f t="shared" si="26"/>
        <v>-10875.367613746854</v>
      </c>
      <c r="BU35" s="41">
        <f t="shared" si="27"/>
        <v>-15952.027362034878</v>
      </c>
      <c r="BV35" s="42">
        <f t="shared" si="28"/>
        <v>12338555.90266806</v>
      </c>
    </row>
    <row r="36" spans="2:74" ht="15">
      <c r="B36" s="16">
        <v>1959</v>
      </c>
      <c r="C36" s="33">
        <v>324.11285415976823</v>
      </c>
      <c r="D36" s="33">
        <v>1061.4403320398935</v>
      </c>
      <c r="E36" s="33">
        <v>2590.656391320044</v>
      </c>
      <c r="F36" s="33">
        <v>4015.585938538078</v>
      </c>
      <c r="G36" s="33">
        <v>3823.7514862944763</v>
      </c>
      <c r="H36" s="33">
        <v>3828.812589499606</v>
      </c>
      <c r="I36" s="33">
        <v>3127.1201808967407</v>
      </c>
      <c r="J36" s="33">
        <v>4179.507304881329</v>
      </c>
      <c r="K36" s="33">
        <v>5240.395000439655</v>
      </c>
      <c r="L36" s="33">
        <v>4409.174078985692</v>
      </c>
      <c r="M36" s="33">
        <v>2753.6612474365243</v>
      </c>
      <c r="N36" s="33">
        <v>2831.738582615727</v>
      </c>
      <c r="O36" s="34">
        <f t="shared" si="2"/>
        <v>3177.8558352549694</v>
      </c>
      <c r="Q36" s="16">
        <v>1959</v>
      </c>
      <c r="R36" s="33">
        <f>('FY19 Spill Cost'!C36-'FY19 Spill Cost'!T36)*(1-$S$3)</f>
        <v>0</v>
      </c>
      <c r="S36" s="33">
        <f>('FY19 Spill Cost'!D36-'FY19 Spill Cost'!U36)*(1-$S$3)</f>
        <v>0</v>
      </c>
      <c r="T36" s="33">
        <f>('FY19 Spill Cost'!E36-'FY19 Spill Cost'!V36)*(1-$S$3)</f>
        <v>0</v>
      </c>
      <c r="U36" s="33">
        <f>('FY19 Spill Cost'!F36-'FY19 Spill Cost'!W36)*(1-$S$3)</f>
        <v>0</v>
      </c>
      <c r="V36" s="33">
        <f>('FY19 Spill Cost'!G36-'FY19 Spill Cost'!X36)*(1-$S$3)</f>
        <v>0</v>
      </c>
      <c r="W36" s="33">
        <f>('FY19 Spill Cost'!H36-'FY19 Spill Cost'!Y36)*(1-$S$3)</f>
        <v>0</v>
      </c>
      <c r="X36" s="33">
        <f>(('FY19 Spill Cost'!I36-'FY19 Spill Cost'!Z36)*15/30+('FY19 Spill Cost'!J36-'FY19 Spill Cost'!AA36)*15/30)*(1-$S$3)</f>
        <v>784.6179510000001</v>
      </c>
      <c r="Y36" s="33">
        <f>('FY19 Spill Cost'!K36-'FY19 Spill Cost'!AB36)*(1-$S$3)</f>
        <v>849.9062</v>
      </c>
      <c r="Z36" s="33">
        <f>('FY19 Spill Cost'!L36-'FY19 Spill Cost'!AC36)*(1-$S$3)</f>
        <v>489.855028</v>
      </c>
      <c r="AA36" s="33">
        <f>('FY19 Spill Cost'!M36-'FY19 Spill Cost'!AD36)*(1-$S$3)</f>
        <v>-28.587754</v>
      </c>
      <c r="AB36" s="33">
        <f>(('FY19 Spill Cost'!N36-'FY19 Spill Cost'!AE36)*15/31+('FY19 Spill Cost'!O36-'FY19 Spill Cost'!AF36)*16/31)*(1-$S$3)</f>
        <v>149.54361290322583</v>
      </c>
      <c r="AC36" s="33">
        <f>('FY19 Spill Cost'!P36-'FY19 Spill Cost'!AG36)*(1-$S$3)</f>
        <v>0</v>
      </c>
      <c r="AD36" s="34">
        <f t="shared" si="3"/>
        <v>187.2079813589041</v>
      </c>
      <c r="AF36" s="16">
        <v>1959</v>
      </c>
      <c r="AG36" s="33">
        <f t="shared" si="4"/>
        <v>324.11285415976823</v>
      </c>
      <c r="AH36" s="33">
        <f t="shared" si="5"/>
        <v>1061.4403320398935</v>
      </c>
      <c r="AI36" s="33">
        <f t="shared" si="6"/>
        <v>2590.656391320044</v>
      </c>
      <c r="AJ36" s="33">
        <f t="shared" si="7"/>
        <v>4015.585938538078</v>
      </c>
      <c r="AK36" s="33">
        <f t="shared" si="8"/>
        <v>3823.7514862944763</v>
      </c>
      <c r="AL36" s="33">
        <f t="shared" si="9"/>
        <v>3828.812589499606</v>
      </c>
      <c r="AM36" s="33">
        <f t="shared" si="10"/>
        <v>2342.5022298967406</v>
      </c>
      <c r="AN36" s="33">
        <f t="shared" si="11"/>
        <v>3329.6011048813293</v>
      </c>
      <c r="AO36" s="33">
        <f t="shared" si="12"/>
        <v>4750.539972439655</v>
      </c>
      <c r="AP36" s="33">
        <f t="shared" si="13"/>
        <v>4437.761832985692</v>
      </c>
      <c r="AQ36" s="33">
        <f t="shared" si="14"/>
        <v>2604.1176345332983</v>
      </c>
      <c r="AR36" s="33">
        <f t="shared" si="15"/>
        <v>2831.738582615727</v>
      </c>
      <c r="AS36" s="34">
        <f t="shared" si="16"/>
        <v>2990.647853896065</v>
      </c>
      <c r="AT36" s="33"/>
      <c r="AU36" s="16">
        <v>1959</v>
      </c>
      <c r="AV36" s="23">
        <f>'FY19 Aurora Prices for SecR'!AR35-'FY19 Aurora Prices for SecR'!AD35</f>
        <v>-0.3121312918201191</v>
      </c>
      <c r="AW36" s="23">
        <f>'FY19 Aurora Prices for SecR'!AS35-'FY19 Aurora Prices for SecR'!AE35</f>
        <v>-0.12831068452286587</v>
      </c>
      <c r="AX36" s="23">
        <f>'FY19 Aurora Prices for SecR'!AT35-'FY19 Aurora Prices for SecR'!AF35</f>
        <v>0.051324531339822954</v>
      </c>
      <c r="AY36" s="23">
        <f>'FY19 Aurora Prices for SecR'!AU35-'FY19 Aurora Prices for SecR'!AG35</f>
        <v>0.1165151906270161</v>
      </c>
      <c r="AZ36" s="23">
        <f>'FY19 Aurora Prices for SecR'!AV35-'FY19 Aurora Prices for SecR'!AH35</f>
        <v>0.02341575622553904</v>
      </c>
      <c r="BA36" s="23">
        <f>'FY19 Aurora Prices for SecR'!AW35-'FY19 Aurora Prices for SecR'!AI35</f>
        <v>0.032525078926241235</v>
      </c>
      <c r="BB36" s="23">
        <f>'FY19 Aurora Prices for SecR'!AX35-'FY19 Aurora Prices for SecR'!AJ35</f>
        <v>0.9243680530123903</v>
      </c>
      <c r="BC36" s="23">
        <f>'FY19 Aurora Prices for SecR'!AY35-'FY19 Aurora Prices for SecR'!AK35</f>
        <v>1.5344668753685848</v>
      </c>
      <c r="BD36" s="23">
        <f>'FY19 Aurora Prices for SecR'!AZ35-'FY19 Aurora Prices for SecR'!AL35</f>
        <v>1.821187415056757</v>
      </c>
      <c r="BE36" s="23">
        <f>'FY19 Aurora Prices for SecR'!BA35-'FY19 Aurora Prices for SecR'!AM35</f>
        <v>-0.021372021270082087</v>
      </c>
      <c r="BF36" s="23">
        <f>'FY19 Aurora Prices for SecR'!BB35-'FY19 Aurora Prices for SecR'!AN35</f>
        <v>0.26382646483762073</v>
      </c>
      <c r="BG36" s="24">
        <f>'FY19 Aurora Prices for SecR'!BC35-'FY19 Aurora Prices for SecR'!AO35</f>
        <v>0.026790671348610573</v>
      </c>
      <c r="BI36" s="16">
        <v>1959</v>
      </c>
      <c r="BJ36" s="41">
        <f t="shared" si="17"/>
        <v>-75267.32831510938</v>
      </c>
      <c r="BK36" s="41">
        <f t="shared" si="18"/>
        <v>-98195.97175622029</v>
      </c>
      <c r="BL36" s="41">
        <f t="shared" si="19"/>
        <v>98925.38350938156</v>
      </c>
      <c r="BM36" s="41">
        <f t="shared" si="20"/>
        <v>348100.31026429957</v>
      </c>
      <c r="BN36" s="41">
        <f t="shared" si="21"/>
        <v>60168.213954316634</v>
      </c>
      <c r="BO36" s="41">
        <f t="shared" si="22"/>
        <v>92527.59672877476</v>
      </c>
      <c r="BP36" s="41">
        <f t="shared" si="29"/>
        <v>1559040.6423073197</v>
      </c>
      <c r="BQ36" s="41">
        <f t="shared" si="23"/>
        <v>3801216.977101494</v>
      </c>
      <c r="BR36" s="41">
        <f t="shared" si="24"/>
        <v>6229169.001022444</v>
      </c>
      <c r="BS36" s="41">
        <f t="shared" si="25"/>
        <v>-70563.89157287974</v>
      </c>
      <c r="BT36" s="41">
        <f t="shared" si="26"/>
        <v>511154.1512579291</v>
      </c>
      <c r="BU36" s="41">
        <f t="shared" si="27"/>
        <v>54622.20795266756</v>
      </c>
      <c r="BV36" s="42">
        <f t="shared" si="28"/>
        <v>12510897.292454416</v>
      </c>
    </row>
    <row r="37" spans="2:74" ht="15">
      <c r="B37" s="16">
        <v>1960</v>
      </c>
      <c r="C37" s="33">
        <v>3195.7793746714815</v>
      </c>
      <c r="D37" s="33">
        <v>2657.522494684717</v>
      </c>
      <c r="E37" s="33">
        <v>2409.288154604995</v>
      </c>
      <c r="F37" s="33">
        <v>2239.419373190192</v>
      </c>
      <c r="G37" s="33">
        <v>1798.6201802935236</v>
      </c>
      <c r="H37" s="33">
        <v>2341.3000001614537</v>
      </c>
      <c r="I37" s="33">
        <v>5017.820959797184</v>
      </c>
      <c r="J37" s="33">
        <v>3065.068213479692</v>
      </c>
      <c r="K37" s="33">
        <v>4425.7705764917455</v>
      </c>
      <c r="L37" s="33">
        <v>2919.4210697710428</v>
      </c>
      <c r="M37" s="33">
        <v>1073.75661689219</v>
      </c>
      <c r="N37" s="33">
        <v>77.65973996634153</v>
      </c>
      <c r="O37" s="34">
        <f t="shared" si="2"/>
        <v>2603.5692356153218</v>
      </c>
      <c r="Q37" s="16">
        <v>1960</v>
      </c>
      <c r="R37" s="33">
        <f>('FY19 Spill Cost'!C37-'FY19 Spill Cost'!T37)*(1-$S$3)</f>
        <v>0</v>
      </c>
      <c r="S37" s="33">
        <f>('FY19 Spill Cost'!D37-'FY19 Spill Cost'!U37)*(1-$S$3)</f>
        <v>0</v>
      </c>
      <c r="T37" s="33">
        <f>('FY19 Spill Cost'!E37-'FY19 Spill Cost'!V37)*(1-$S$3)</f>
        <v>0</v>
      </c>
      <c r="U37" s="33">
        <f>('FY19 Spill Cost'!F37-'FY19 Spill Cost'!W37)*(1-$S$3)</f>
        <v>0</v>
      </c>
      <c r="V37" s="33">
        <f>('FY19 Spill Cost'!G37-'FY19 Spill Cost'!X37)*(1-$S$3)</f>
        <v>0</v>
      </c>
      <c r="W37" s="33">
        <f>('FY19 Spill Cost'!H37-'FY19 Spill Cost'!Y37)*(1-$S$3)</f>
        <v>0</v>
      </c>
      <c r="X37" s="33">
        <f>(('FY19 Spill Cost'!I37-'FY19 Spill Cost'!Z37)*15/30+('FY19 Spill Cost'!J37-'FY19 Spill Cost'!AA37)*15/30)*(1-$S$3)</f>
        <v>577.9362160000001</v>
      </c>
      <c r="Y37" s="33">
        <f>('FY19 Spill Cost'!K37-'FY19 Spill Cost'!AB37)*(1-$S$3)</f>
        <v>1061.610108</v>
      </c>
      <c r="Z37" s="33">
        <f>('FY19 Spill Cost'!L37-'FY19 Spill Cost'!AC37)*(1-$S$3)</f>
        <v>508.39843600000006</v>
      </c>
      <c r="AA37" s="33">
        <f>('FY19 Spill Cost'!M37-'FY19 Spill Cost'!AD37)*(1-$S$3)</f>
        <v>-8.499062</v>
      </c>
      <c r="AB37" s="33">
        <f>(('FY19 Spill Cost'!N37-'FY19 Spill Cost'!AE37)*15/31+('FY19 Spill Cost'!O37-'FY19 Spill Cost'!AF37)*16/31)*(1-$S$3)</f>
        <v>127.11207096774196</v>
      </c>
      <c r="AC37" s="33">
        <f>('FY19 Spill Cost'!P37-'FY19 Spill Cost'!AG37)*(1-$S$3)</f>
        <v>0</v>
      </c>
      <c r="AD37" s="34">
        <f t="shared" si="3"/>
        <v>189.52590735890416</v>
      </c>
      <c r="AF37" s="16">
        <v>1960</v>
      </c>
      <c r="AG37" s="33">
        <f t="shared" si="4"/>
        <v>3195.7793746714815</v>
      </c>
      <c r="AH37" s="33">
        <f t="shared" si="5"/>
        <v>2657.522494684717</v>
      </c>
      <c r="AI37" s="33">
        <f t="shared" si="6"/>
        <v>2409.288154604995</v>
      </c>
      <c r="AJ37" s="33">
        <f t="shared" si="7"/>
        <v>2239.419373190192</v>
      </c>
      <c r="AK37" s="33">
        <f t="shared" si="8"/>
        <v>1798.6201802935236</v>
      </c>
      <c r="AL37" s="33">
        <f t="shared" si="9"/>
        <v>2341.3000001614537</v>
      </c>
      <c r="AM37" s="33">
        <f t="shared" si="10"/>
        <v>4439.884743797184</v>
      </c>
      <c r="AN37" s="33">
        <f t="shared" si="11"/>
        <v>2003.458105479692</v>
      </c>
      <c r="AO37" s="33">
        <f t="shared" si="12"/>
        <v>3917.3721404917455</v>
      </c>
      <c r="AP37" s="33">
        <f t="shared" si="13"/>
        <v>2927.9201317710426</v>
      </c>
      <c r="AQ37" s="33">
        <f t="shared" si="14"/>
        <v>946.6445459244482</v>
      </c>
      <c r="AR37" s="33">
        <f t="shared" si="15"/>
        <v>77.65973996634153</v>
      </c>
      <c r="AS37" s="34">
        <f t="shared" si="16"/>
        <v>2414.043328256418</v>
      </c>
      <c r="AT37" s="33"/>
      <c r="AU37" s="16">
        <v>1960</v>
      </c>
      <c r="AV37" s="23">
        <f>'FY19 Aurora Prices for SecR'!AR36-'FY19 Aurora Prices for SecR'!AD36</f>
        <v>0.038987798075545754</v>
      </c>
      <c r="AW37" s="23">
        <f>'FY19 Aurora Prices for SecR'!AS36-'FY19 Aurora Prices for SecR'!AE36</f>
        <v>0.0680694542711322</v>
      </c>
      <c r="AX37" s="23">
        <f>'FY19 Aurora Prices for SecR'!AT36-'FY19 Aurora Prices for SecR'!AF36</f>
        <v>0.025606613774463938</v>
      </c>
      <c r="AY37" s="23">
        <f>'FY19 Aurora Prices for SecR'!AU36-'FY19 Aurora Prices for SecR'!AG36</f>
        <v>0.012886171187130202</v>
      </c>
      <c r="AZ37" s="23">
        <f>'FY19 Aurora Prices for SecR'!AV36-'FY19 Aurora Prices for SecR'!AH36</f>
        <v>-0.00805918148585505</v>
      </c>
      <c r="BA37" s="23">
        <f>'FY19 Aurora Prices for SecR'!AW36-'FY19 Aurora Prices for SecR'!AI36</f>
        <v>-0.016405939799177816</v>
      </c>
      <c r="BB37" s="23">
        <f>'FY19 Aurora Prices for SecR'!AX36-'FY19 Aurora Prices for SecR'!AJ36</f>
        <v>1.3757958450582635</v>
      </c>
      <c r="BC37" s="23">
        <f>'FY19 Aurora Prices for SecR'!AY36-'FY19 Aurora Prices for SecR'!AK36</f>
        <v>1.3255286373118302</v>
      </c>
      <c r="BD37" s="23">
        <f>'FY19 Aurora Prices for SecR'!AZ36-'FY19 Aurora Prices for SecR'!AL36</f>
        <v>1.3873822496996908</v>
      </c>
      <c r="BE37" s="23">
        <f>'FY19 Aurora Prices for SecR'!BA36-'FY19 Aurora Prices for SecR'!AM36</f>
        <v>0.006793024206707798</v>
      </c>
      <c r="BF37" s="23">
        <f>'FY19 Aurora Prices for SecR'!BB36-'FY19 Aurora Prices for SecR'!AN36</f>
        <v>0.2771040862606462</v>
      </c>
      <c r="BG37" s="24">
        <f>'FY19 Aurora Prices for SecR'!BC36-'FY19 Aurora Prices for SecR'!AO36</f>
        <v>0.03440877914428597</v>
      </c>
      <c r="BI37" s="16">
        <v>1960</v>
      </c>
      <c r="BJ37" s="41">
        <f t="shared" si="17"/>
        <v>92699.72230954209</v>
      </c>
      <c r="BK37" s="41">
        <f t="shared" si="18"/>
        <v>130426.09237296793</v>
      </c>
      <c r="BL37" s="41">
        <f t="shared" si="19"/>
        <v>45900.12116729263</v>
      </c>
      <c r="BM37" s="41">
        <f t="shared" si="20"/>
        <v>21470.010803612244</v>
      </c>
      <c r="BN37" s="41">
        <f t="shared" si="21"/>
        <v>-9740.913139175795</v>
      </c>
      <c r="BO37" s="41">
        <f t="shared" si="22"/>
        <v>-28539.541552866616</v>
      </c>
      <c r="BP37" s="41">
        <f t="shared" si="29"/>
        <v>4398029.987798691</v>
      </c>
      <c r="BQ37" s="41">
        <f t="shared" si="23"/>
        <v>1975796.9727960709</v>
      </c>
      <c r="BR37" s="41">
        <f t="shared" si="24"/>
        <v>3913122.6526941583</v>
      </c>
      <c r="BS37" s="41">
        <f t="shared" si="25"/>
        <v>14797.737653838269</v>
      </c>
      <c r="BT37" s="41">
        <f t="shared" si="26"/>
        <v>195165.38950254177</v>
      </c>
      <c r="BU37" s="41">
        <f t="shared" si="27"/>
        <v>1923.9673254512577</v>
      </c>
      <c r="BV37" s="42">
        <f t="shared" si="28"/>
        <v>10751052.199732123</v>
      </c>
    </row>
    <row r="38" spans="2:74" ht="15">
      <c r="B38" s="16">
        <v>1961</v>
      </c>
      <c r="C38" s="33">
        <v>326.82046722140575</v>
      </c>
      <c r="D38" s="33">
        <v>376.12101795909643</v>
      </c>
      <c r="E38" s="33">
        <v>578.8880211559635</v>
      </c>
      <c r="F38" s="33">
        <v>1926.6890032734548</v>
      </c>
      <c r="G38" s="33">
        <v>2495.017722667101</v>
      </c>
      <c r="H38" s="33">
        <v>3883.1086718260703</v>
      </c>
      <c r="I38" s="33">
        <v>2587.503849622332</v>
      </c>
      <c r="J38" s="33">
        <v>4815.937396915449</v>
      </c>
      <c r="K38" s="33">
        <v>5197.089722596176</v>
      </c>
      <c r="L38" s="33">
        <v>1964.596364076417</v>
      </c>
      <c r="M38" s="33">
        <v>1058.9281943735637</v>
      </c>
      <c r="N38" s="33">
        <v>168.67309773938112</v>
      </c>
      <c r="O38" s="34">
        <f t="shared" si="2"/>
        <v>2111.780860467733</v>
      </c>
      <c r="Q38" s="16">
        <v>1961</v>
      </c>
      <c r="R38" s="33">
        <f>('FY19 Spill Cost'!C38-'FY19 Spill Cost'!T38)*(1-$S$3)</f>
        <v>0</v>
      </c>
      <c r="S38" s="33">
        <f>('FY19 Spill Cost'!D38-'FY19 Spill Cost'!U38)*(1-$S$3)</f>
        <v>0</v>
      </c>
      <c r="T38" s="33">
        <f>('FY19 Spill Cost'!E38-'FY19 Spill Cost'!V38)*(1-$S$3)</f>
        <v>0</v>
      </c>
      <c r="U38" s="33">
        <f>('FY19 Spill Cost'!F38-'FY19 Spill Cost'!W38)*(1-$S$3)</f>
        <v>0</v>
      </c>
      <c r="V38" s="33">
        <f>('FY19 Spill Cost'!G38-'FY19 Spill Cost'!X38)*(1-$S$3)</f>
        <v>0</v>
      </c>
      <c r="W38" s="33">
        <f>('FY19 Spill Cost'!H38-'FY19 Spill Cost'!Y38)*(1-$S$3)</f>
        <v>0</v>
      </c>
      <c r="X38" s="33">
        <f>(('FY19 Spill Cost'!I38-'FY19 Spill Cost'!Z38)*15/30+('FY19 Spill Cost'!J38-'FY19 Spill Cost'!AA38)*15/30)*(1-$S$3)</f>
        <v>863.0411140000001</v>
      </c>
      <c r="Y38" s="33">
        <f>('FY19 Spill Cost'!K38-'FY19 Spill Cost'!AB38)*(1-$S$3)</f>
        <v>861.4958300000001</v>
      </c>
      <c r="Z38" s="33">
        <f>('FY19 Spill Cost'!L38-'FY19 Spill Cost'!AC38)*(1-$S$3)</f>
        <v>375.50401200000005</v>
      </c>
      <c r="AA38" s="33">
        <f>('FY19 Spill Cost'!M38-'FY19 Spill Cost'!AD38)*(1-$S$3)</f>
        <v>0</v>
      </c>
      <c r="AB38" s="33">
        <f>(('FY19 Spill Cost'!N38-'FY19 Spill Cost'!AE38)*15/31+('FY19 Spill Cost'!O38-'FY19 Spill Cost'!AF38)*16/31)*(1-$S$3)</f>
        <v>110.08902303225808</v>
      </c>
      <c r="AC38" s="33">
        <f>('FY19 Spill Cost'!P38-'FY19 Spill Cost'!AG38)*(1-$S$3)</f>
        <v>0</v>
      </c>
      <c r="AD38" s="34">
        <f t="shared" si="3"/>
        <v>184.31639513424662</v>
      </c>
      <c r="AF38" s="16">
        <v>1961</v>
      </c>
      <c r="AG38" s="33">
        <f t="shared" si="4"/>
        <v>326.82046722140575</v>
      </c>
      <c r="AH38" s="33">
        <f t="shared" si="5"/>
        <v>376.12101795909643</v>
      </c>
      <c r="AI38" s="33">
        <f t="shared" si="6"/>
        <v>578.8880211559635</v>
      </c>
      <c r="AJ38" s="33">
        <f t="shared" si="7"/>
        <v>1926.6890032734548</v>
      </c>
      <c r="AK38" s="33">
        <f t="shared" si="8"/>
        <v>2495.017722667101</v>
      </c>
      <c r="AL38" s="33">
        <f t="shared" si="9"/>
        <v>3883.1086718260703</v>
      </c>
      <c r="AM38" s="33">
        <f t="shared" si="10"/>
        <v>1724.4627356223318</v>
      </c>
      <c r="AN38" s="33">
        <f t="shared" si="11"/>
        <v>3954.4415669154496</v>
      </c>
      <c r="AO38" s="33">
        <f t="shared" si="12"/>
        <v>4821.585710596176</v>
      </c>
      <c r="AP38" s="33">
        <f t="shared" si="13"/>
        <v>1964.596364076417</v>
      </c>
      <c r="AQ38" s="33">
        <f t="shared" si="14"/>
        <v>948.8391713413056</v>
      </c>
      <c r="AR38" s="33">
        <f t="shared" si="15"/>
        <v>168.67309773938112</v>
      </c>
      <c r="AS38" s="34">
        <f t="shared" si="16"/>
        <v>1927.464465333487</v>
      </c>
      <c r="AT38" s="33"/>
      <c r="AU38" s="16">
        <v>1961</v>
      </c>
      <c r="AV38" s="23">
        <f>'FY19 Aurora Prices for SecR'!AR37-'FY19 Aurora Prices for SecR'!AD37</f>
        <v>0.045475637528245016</v>
      </c>
      <c r="AW38" s="23">
        <f>'FY19 Aurora Prices for SecR'!AS37-'FY19 Aurora Prices for SecR'!AE37</f>
        <v>0.04221316974473055</v>
      </c>
      <c r="AX38" s="23">
        <f>'FY19 Aurora Prices for SecR'!AT37-'FY19 Aurora Prices for SecR'!AF37</f>
        <v>0.03771703243256397</v>
      </c>
      <c r="AY38" s="23">
        <f>'FY19 Aurora Prices for SecR'!AU37-'FY19 Aurora Prices for SecR'!AG37</f>
        <v>0.04023230537288214</v>
      </c>
      <c r="AZ38" s="23">
        <f>'FY19 Aurora Prices for SecR'!AV37-'FY19 Aurora Prices for SecR'!AH37</f>
        <v>-0.0025294303894050074</v>
      </c>
      <c r="BA38" s="23">
        <f>'FY19 Aurora Prices for SecR'!AW37-'FY19 Aurora Prices for SecR'!AI37</f>
        <v>0.002066127223891101</v>
      </c>
      <c r="BB38" s="23">
        <f>'FY19 Aurora Prices for SecR'!AX37-'FY19 Aurora Prices for SecR'!AJ37</f>
        <v>1.0206938923729894</v>
      </c>
      <c r="BC38" s="23">
        <f>'FY19 Aurora Prices for SecR'!AY37-'FY19 Aurora Prices for SecR'!AK37</f>
        <v>1.6239322264989617</v>
      </c>
      <c r="BD38" s="23">
        <f>'FY19 Aurora Prices for SecR'!AZ37-'FY19 Aurora Prices for SecR'!AL37</f>
        <v>1.317916723506352</v>
      </c>
      <c r="BE38" s="23">
        <f>'FY19 Aurora Prices for SecR'!BA37-'FY19 Aurora Prices for SecR'!AM37</f>
        <v>-0.08056833872229774</v>
      </c>
      <c r="BF38" s="23">
        <f>'FY19 Aurora Prices for SecR'!BB37-'FY19 Aurora Prices for SecR'!AN37</f>
        <v>0.03358037241047285</v>
      </c>
      <c r="BG38" s="24">
        <f>'FY19 Aurora Prices for SecR'!BC37-'FY19 Aurora Prices for SecR'!AO37</f>
        <v>-0.09680879116056218</v>
      </c>
      <c r="BI38" s="16">
        <v>1961</v>
      </c>
      <c r="BJ38" s="41">
        <f t="shared" si="17"/>
        <v>11057.602613504214</v>
      </c>
      <c r="BK38" s="41">
        <f t="shared" si="18"/>
        <v>11447.504730856761</v>
      </c>
      <c r="BL38" s="41">
        <f t="shared" si="19"/>
        <v>16244.450071959116</v>
      </c>
      <c r="BM38" s="41">
        <f t="shared" si="20"/>
        <v>57671.26441167403</v>
      </c>
      <c r="BN38" s="41">
        <f t="shared" si="21"/>
        <v>-4240.974292677858</v>
      </c>
      <c r="BO38" s="41">
        <f t="shared" si="22"/>
        <v>5961.086429359282</v>
      </c>
      <c r="BP38" s="41">
        <f t="shared" si="29"/>
        <v>1267306.9789496625</v>
      </c>
      <c r="BQ38" s="41">
        <f t="shared" si="23"/>
        <v>4777778.35315086</v>
      </c>
      <c r="BR38" s="41">
        <f t="shared" si="24"/>
        <v>4575202.87810605</v>
      </c>
      <c r="BS38" s="41">
        <f t="shared" si="25"/>
        <v>-117763.49339324648</v>
      </c>
      <c r="BT38" s="41">
        <f t="shared" si="26"/>
        <v>23705.605312076408</v>
      </c>
      <c r="BU38" s="41">
        <f t="shared" si="27"/>
        <v>-11756.907859288925</v>
      </c>
      <c r="BV38" s="42">
        <f t="shared" si="28"/>
        <v>10612614.348230792</v>
      </c>
    </row>
    <row r="39" spans="2:74" ht="15">
      <c r="B39" s="16">
        <v>1962</v>
      </c>
      <c r="C39" s="33">
        <v>-53.534081078842085</v>
      </c>
      <c r="D39" s="33">
        <v>339.81691139984565</v>
      </c>
      <c r="E39" s="33">
        <v>304.7757873448933</v>
      </c>
      <c r="F39" s="33">
        <v>1519.9361780087036</v>
      </c>
      <c r="G39" s="33">
        <v>1631.828216862162</v>
      </c>
      <c r="H39" s="33">
        <v>544.6570900716019</v>
      </c>
      <c r="I39" s="33">
        <v>4854.100631777785</v>
      </c>
      <c r="J39" s="33">
        <v>4164.287195475827</v>
      </c>
      <c r="K39" s="33">
        <v>3067.0824499217733</v>
      </c>
      <c r="L39" s="33">
        <v>2004.8591849017225</v>
      </c>
      <c r="M39" s="33">
        <v>1121.5686616938196</v>
      </c>
      <c r="N39" s="33">
        <v>-65.52993586730373</v>
      </c>
      <c r="O39" s="34">
        <f t="shared" si="2"/>
        <v>1614.6570062756393</v>
      </c>
      <c r="Q39" s="16">
        <v>1962</v>
      </c>
      <c r="R39" s="33">
        <f>('FY19 Spill Cost'!C39-'FY19 Spill Cost'!T39)*(1-$S$3)</f>
        <v>0</v>
      </c>
      <c r="S39" s="33">
        <f>('FY19 Spill Cost'!D39-'FY19 Spill Cost'!U39)*(1-$S$3)</f>
        <v>0</v>
      </c>
      <c r="T39" s="33">
        <f>('FY19 Spill Cost'!E39-'FY19 Spill Cost'!V39)*(1-$S$3)</f>
        <v>0</v>
      </c>
      <c r="U39" s="33">
        <f>('FY19 Spill Cost'!F39-'FY19 Spill Cost'!W39)*(1-$S$3)</f>
        <v>0</v>
      </c>
      <c r="V39" s="33">
        <f>('FY19 Spill Cost'!G39-'FY19 Spill Cost'!X39)*(1-$S$3)</f>
        <v>0</v>
      </c>
      <c r="W39" s="33">
        <f>('FY19 Spill Cost'!H39-'FY19 Spill Cost'!Y39)*(1-$S$3)</f>
        <v>0</v>
      </c>
      <c r="X39" s="33">
        <f>(('FY19 Spill Cost'!I39-'FY19 Spill Cost'!Z39)*15/30+('FY19 Spill Cost'!J39-'FY19 Spill Cost'!AA39)*15/30)*(1-$S$3)</f>
        <v>518.4427820000001</v>
      </c>
      <c r="Y39" s="33">
        <f>('FY19 Spill Cost'!K39-'FY19 Spill Cost'!AB39)*(1-$S$3)</f>
        <v>924.852474</v>
      </c>
      <c r="Z39" s="33">
        <f>('FY19 Spill Cost'!L39-'FY19 Spill Cost'!AC39)*(1-$S$3)</f>
        <v>561.710734</v>
      </c>
      <c r="AA39" s="33">
        <f>('FY19 Spill Cost'!M39-'FY19 Spill Cost'!AD39)*(1-$S$3)</f>
        <v>-45.585878</v>
      </c>
      <c r="AB39" s="33">
        <f>(('FY19 Spill Cost'!N39-'FY19 Spill Cost'!AE39)*15/31+('FY19 Spill Cost'!O39-'FY19 Spill Cost'!AF39)*16/31)*(1-$S$3)</f>
        <v>124.74429709677422</v>
      </c>
      <c r="AC39" s="33">
        <f>('FY19 Spill Cost'!P39-'FY19 Spill Cost'!AG39)*(1-$S$3)</f>
        <v>0</v>
      </c>
      <c r="AD39" s="34">
        <f t="shared" si="3"/>
        <v>174.0518990849315</v>
      </c>
      <c r="AF39" s="16">
        <v>1962</v>
      </c>
      <c r="AG39" s="33">
        <f t="shared" si="4"/>
        <v>-53.534081078842085</v>
      </c>
      <c r="AH39" s="33">
        <f t="shared" si="5"/>
        <v>339.81691139984565</v>
      </c>
      <c r="AI39" s="33">
        <f t="shared" si="6"/>
        <v>304.7757873448933</v>
      </c>
      <c r="AJ39" s="33">
        <f t="shared" si="7"/>
        <v>1519.9361780087036</v>
      </c>
      <c r="AK39" s="33">
        <f t="shared" si="8"/>
        <v>1631.828216862162</v>
      </c>
      <c r="AL39" s="33">
        <f t="shared" si="9"/>
        <v>544.6570900716019</v>
      </c>
      <c r="AM39" s="33">
        <f t="shared" si="10"/>
        <v>4335.657849777785</v>
      </c>
      <c r="AN39" s="33">
        <f t="shared" si="11"/>
        <v>3239.4347214758263</v>
      </c>
      <c r="AO39" s="33">
        <f t="shared" si="12"/>
        <v>2505.371715921773</v>
      </c>
      <c r="AP39" s="33">
        <f t="shared" si="13"/>
        <v>2050.4450629017224</v>
      </c>
      <c r="AQ39" s="33">
        <f t="shared" si="14"/>
        <v>996.8243645970455</v>
      </c>
      <c r="AR39" s="33">
        <f t="shared" si="15"/>
        <v>-65.52993586730373</v>
      </c>
      <c r="AS39" s="34">
        <f t="shared" si="16"/>
        <v>1440.605107190708</v>
      </c>
      <c r="AT39" s="33"/>
      <c r="AU39" s="16">
        <v>1962</v>
      </c>
      <c r="AV39" s="23">
        <f>'FY19 Aurora Prices for SecR'!AR38-'FY19 Aurora Prices for SecR'!AD38</f>
        <v>-0.07566348891105434</v>
      </c>
      <c r="AW39" s="23">
        <f>'FY19 Aurora Prices for SecR'!AS38-'FY19 Aurora Prices for SecR'!AE38</f>
        <v>-0.06102946687504485</v>
      </c>
      <c r="AX39" s="23">
        <f>'FY19 Aurora Prices for SecR'!AT38-'FY19 Aurora Prices for SecR'!AF38</f>
        <v>-0.07659658462767993</v>
      </c>
      <c r="AY39" s="23">
        <f>'FY19 Aurora Prices for SecR'!AU38-'FY19 Aurora Prices for SecR'!AG38</f>
        <v>0.012664892340243483</v>
      </c>
      <c r="AZ39" s="23">
        <f>'FY19 Aurora Prices for SecR'!AV38-'FY19 Aurora Prices for SecR'!AH38</f>
        <v>0.029611607960323028</v>
      </c>
      <c r="BA39" s="23">
        <f>'FY19 Aurora Prices for SecR'!AW38-'FY19 Aurora Prices for SecR'!AI38</f>
        <v>0.12714132704287096</v>
      </c>
      <c r="BB39" s="23">
        <f>'FY19 Aurora Prices for SecR'!AX38-'FY19 Aurora Prices for SecR'!AJ38</f>
        <v>1.0700799388686875</v>
      </c>
      <c r="BC39" s="23">
        <f>'FY19 Aurora Prices for SecR'!AY38-'FY19 Aurora Prices for SecR'!AK38</f>
        <v>1.2505232084181621</v>
      </c>
      <c r="BD39" s="23">
        <f>'FY19 Aurora Prices for SecR'!AZ38-'FY19 Aurora Prices for SecR'!AL38</f>
        <v>0.6872634357876635</v>
      </c>
      <c r="BE39" s="23">
        <f>'FY19 Aurora Prices for SecR'!BA38-'FY19 Aurora Prices for SecR'!AM38</f>
        <v>-0.035303601398229745</v>
      </c>
      <c r="BF39" s="23">
        <f>'FY19 Aurora Prices for SecR'!BB38-'FY19 Aurora Prices for SecR'!AN38</f>
        <v>0.24202825792374583</v>
      </c>
      <c r="BG39" s="24">
        <f>'FY19 Aurora Prices for SecR'!BC38-'FY19 Aurora Prices for SecR'!AO38</f>
        <v>-0.03477956612901423</v>
      </c>
      <c r="BI39" s="16">
        <v>1962</v>
      </c>
      <c r="BJ39" s="41">
        <f t="shared" si="17"/>
        <v>3013.6280604539043</v>
      </c>
      <c r="BK39" s="41">
        <f t="shared" si="18"/>
        <v>-14952.707200194845</v>
      </c>
      <c r="BL39" s="41">
        <f t="shared" si="19"/>
        <v>-17368.51958454619</v>
      </c>
      <c r="BM39" s="41">
        <f t="shared" si="20"/>
        <v>14321.87207553991</v>
      </c>
      <c r="BN39" s="41">
        <f t="shared" si="21"/>
        <v>32471.750583763904</v>
      </c>
      <c r="BO39" s="41">
        <f t="shared" si="22"/>
        <v>51451.579934753885</v>
      </c>
      <c r="BP39" s="41">
        <f t="shared" si="29"/>
        <v>3340440.3505289447</v>
      </c>
      <c r="BQ39" s="41">
        <f t="shared" si="23"/>
        <v>3013935.2962126923</v>
      </c>
      <c r="BR39" s="41">
        <f t="shared" si="24"/>
        <v>1239732.268854935</v>
      </c>
      <c r="BS39" s="41">
        <f t="shared" si="25"/>
        <v>-53856.742821099986</v>
      </c>
      <c r="BT39" s="41">
        <f t="shared" si="26"/>
        <v>179497.1903280096</v>
      </c>
      <c r="BU39" s="41">
        <f t="shared" si="27"/>
        <v>1640.953971307405</v>
      </c>
      <c r="BV39" s="42">
        <f t="shared" si="28"/>
        <v>7790326.920944559</v>
      </c>
    </row>
    <row r="40" spans="2:74" ht="15">
      <c r="B40" s="16">
        <v>1963</v>
      </c>
      <c r="C40" s="33">
        <v>933.6013812764619</v>
      </c>
      <c r="D40" s="33">
        <v>1158.9884416617429</v>
      </c>
      <c r="E40" s="33">
        <v>2253.7041413330235</v>
      </c>
      <c r="F40" s="33">
        <v>2531.1224125924755</v>
      </c>
      <c r="G40" s="33">
        <v>1923.2343619837816</v>
      </c>
      <c r="H40" s="33">
        <v>1594.6096827591573</v>
      </c>
      <c r="I40" s="33">
        <v>1369.3299160957758</v>
      </c>
      <c r="J40" s="33">
        <v>3580.7343221951974</v>
      </c>
      <c r="K40" s="33">
        <v>3166.1064930121347</v>
      </c>
      <c r="L40" s="33">
        <v>2638.351147136721</v>
      </c>
      <c r="M40" s="33">
        <v>1019.6602881432118</v>
      </c>
      <c r="N40" s="33">
        <v>658.6228993880122</v>
      </c>
      <c r="O40" s="34">
        <f t="shared" si="2"/>
        <v>1905.559255873298</v>
      </c>
      <c r="Q40" s="16">
        <v>1963</v>
      </c>
      <c r="R40" s="33">
        <f>('FY19 Spill Cost'!C40-'FY19 Spill Cost'!T40)*(1-$S$3)</f>
        <v>0</v>
      </c>
      <c r="S40" s="33">
        <f>('FY19 Spill Cost'!D40-'FY19 Spill Cost'!U40)*(1-$S$3)</f>
        <v>0</v>
      </c>
      <c r="T40" s="33">
        <f>('FY19 Spill Cost'!E40-'FY19 Spill Cost'!V40)*(1-$S$3)</f>
        <v>0</v>
      </c>
      <c r="U40" s="33">
        <f>('FY19 Spill Cost'!F40-'FY19 Spill Cost'!W40)*(1-$S$3)</f>
        <v>0</v>
      </c>
      <c r="V40" s="33">
        <f>('FY19 Spill Cost'!G40-'FY19 Spill Cost'!X40)*(1-$S$3)</f>
        <v>0</v>
      </c>
      <c r="W40" s="33">
        <f>('FY19 Spill Cost'!H40-'FY19 Spill Cost'!Y40)*(1-$S$3)</f>
        <v>0</v>
      </c>
      <c r="X40" s="33">
        <f>(('FY19 Spill Cost'!I40-'FY19 Spill Cost'!Z40)*15/30+('FY19 Spill Cost'!J40-'FY19 Spill Cost'!AA40)*15/30)*(1-$S$3)</f>
        <v>901.673214</v>
      </c>
      <c r="Y40" s="33">
        <f>('FY19 Spill Cost'!K40-'FY19 Spill Cost'!AB40)*(1-$S$3)</f>
        <v>1005.2072420000001</v>
      </c>
      <c r="Z40" s="33">
        <f>('FY19 Spill Cost'!L40-'FY19 Spill Cost'!AC40)*(1-$S$3)</f>
        <v>580.254142</v>
      </c>
      <c r="AA40" s="33">
        <f>('FY19 Spill Cost'!M40-'FY19 Spill Cost'!AD40)*(1-$S$3)</f>
        <v>-57.948150000000005</v>
      </c>
      <c r="AB40" s="33">
        <f>(('FY19 Spill Cost'!N40-'FY19 Spill Cost'!AE40)*15/31+('FY19 Spill Cost'!O40-'FY19 Spill Cost'!AF40)*16/31)*(1-$S$3)</f>
        <v>119.95890148387099</v>
      </c>
      <c r="AC40" s="33">
        <f>('FY19 Spill Cost'!P40-'FY19 Spill Cost'!AG40)*(1-$S$3)</f>
        <v>0</v>
      </c>
      <c r="AD40" s="34">
        <f t="shared" si="3"/>
        <v>212.44268076164386</v>
      </c>
      <c r="AF40" s="16">
        <v>1963</v>
      </c>
      <c r="AG40" s="33">
        <f t="shared" si="4"/>
        <v>933.6013812764619</v>
      </c>
      <c r="AH40" s="33">
        <f t="shared" si="5"/>
        <v>1158.9884416617429</v>
      </c>
      <c r="AI40" s="33">
        <f t="shared" si="6"/>
        <v>2253.7041413330235</v>
      </c>
      <c r="AJ40" s="33">
        <f t="shared" si="7"/>
        <v>2531.1224125924755</v>
      </c>
      <c r="AK40" s="33">
        <f t="shared" si="8"/>
        <v>1923.2343619837816</v>
      </c>
      <c r="AL40" s="33">
        <f t="shared" si="9"/>
        <v>1594.6096827591573</v>
      </c>
      <c r="AM40" s="33">
        <f t="shared" si="10"/>
        <v>467.6567020957758</v>
      </c>
      <c r="AN40" s="33">
        <f t="shared" si="11"/>
        <v>2575.5270801951974</v>
      </c>
      <c r="AO40" s="33">
        <f t="shared" si="12"/>
        <v>2585.852351012135</v>
      </c>
      <c r="AP40" s="33">
        <f t="shared" si="13"/>
        <v>2696.299297136721</v>
      </c>
      <c r="AQ40" s="33">
        <f t="shared" si="14"/>
        <v>899.7013866593409</v>
      </c>
      <c r="AR40" s="33">
        <f t="shared" si="15"/>
        <v>658.6228993880122</v>
      </c>
      <c r="AS40" s="34">
        <f t="shared" si="16"/>
        <v>1693.1165751116544</v>
      </c>
      <c r="AT40" s="33"/>
      <c r="AU40" s="16">
        <v>1963</v>
      </c>
      <c r="AV40" s="23">
        <f>'FY19 Aurora Prices for SecR'!AR39-'FY19 Aurora Prices for SecR'!AD39</f>
        <v>0.007271365196498181</v>
      </c>
      <c r="AW40" s="23">
        <f>'FY19 Aurora Prices for SecR'!AS39-'FY19 Aurora Prices for SecR'!AE39</f>
        <v>0.0012014553053809607</v>
      </c>
      <c r="AX40" s="23">
        <f>'FY19 Aurora Prices for SecR'!AT39-'FY19 Aurora Prices for SecR'!AF39</f>
        <v>0.035303887244143795</v>
      </c>
      <c r="AY40" s="23">
        <f>'FY19 Aurora Prices for SecR'!AU39-'FY19 Aurora Prices for SecR'!AG39</f>
        <v>0.03334030592317916</v>
      </c>
      <c r="AZ40" s="23">
        <f>'FY19 Aurora Prices for SecR'!AV39-'FY19 Aurora Prices for SecR'!AH39</f>
        <v>0.029253864288286024</v>
      </c>
      <c r="BA40" s="23">
        <f>'FY19 Aurora Prices for SecR'!AW39-'FY19 Aurora Prices for SecR'!AI39</f>
        <v>0.04449585735554251</v>
      </c>
      <c r="BB40" s="23">
        <f>'FY19 Aurora Prices for SecR'!AX39-'FY19 Aurora Prices for SecR'!AJ39</f>
        <v>1.326040250460295</v>
      </c>
      <c r="BC40" s="23">
        <f>'FY19 Aurora Prices for SecR'!AY39-'FY19 Aurora Prices for SecR'!AK39</f>
        <v>0.9562794049581171</v>
      </c>
      <c r="BD40" s="23">
        <f>'FY19 Aurora Prices for SecR'!AZ39-'FY19 Aurora Prices for SecR'!AL39</f>
        <v>0.6974861674838415</v>
      </c>
      <c r="BE40" s="23">
        <f>'FY19 Aurora Prices for SecR'!BA39-'FY19 Aurora Prices for SecR'!AM39</f>
        <v>-0.0702551762263397</v>
      </c>
      <c r="BF40" s="23">
        <f>'FY19 Aurora Prices for SecR'!BB39-'FY19 Aurora Prices for SecR'!AN39</f>
        <v>0.17875693690393035</v>
      </c>
      <c r="BG40" s="24">
        <f>'FY19 Aurora Prices for SecR'!BC39-'FY19 Aurora Prices for SecR'!AO39</f>
        <v>-0.003360047340404293</v>
      </c>
      <c r="BI40" s="16">
        <v>1963</v>
      </c>
      <c r="BJ40" s="41">
        <f t="shared" si="17"/>
        <v>5050.686103864922</v>
      </c>
      <c r="BK40" s="41">
        <f t="shared" si="18"/>
        <v>1003.9728975311031</v>
      </c>
      <c r="BL40" s="41">
        <f t="shared" si="19"/>
        <v>59196.000564137044</v>
      </c>
      <c r="BM40" s="41">
        <f t="shared" si="20"/>
        <v>62784.96630024724</v>
      </c>
      <c r="BN40" s="41">
        <f t="shared" si="21"/>
        <v>37808.08887746816</v>
      </c>
      <c r="BO40" s="41">
        <f t="shared" si="22"/>
        <v>52718.46906149104</v>
      </c>
      <c r="BP40" s="41">
        <f t="shared" si="29"/>
        <v>446494.7594710931</v>
      </c>
      <c r="BQ40" s="41">
        <f t="shared" si="23"/>
        <v>1832415.0867547197</v>
      </c>
      <c r="BR40" s="41">
        <f t="shared" si="24"/>
        <v>1298589.2971103054</v>
      </c>
      <c r="BS40" s="41">
        <f t="shared" si="25"/>
        <v>-140935.1628157964</v>
      </c>
      <c r="BT40" s="41">
        <f t="shared" si="26"/>
        <v>119655.93082153717</v>
      </c>
      <c r="BU40" s="41">
        <f t="shared" si="27"/>
        <v>-1593.3629674209994</v>
      </c>
      <c r="BV40" s="42">
        <f t="shared" si="28"/>
        <v>3773188.7321791775</v>
      </c>
    </row>
    <row r="41" spans="2:74" ht="15">
      <c r="B41" s="16">
        <v>1964</v>
      </c>
      <c r="C41" s="33">
        <v>42.49182944965591</v>
      </c>
      <c r="D41" s="33">
        <v>162.51284496259103</v>
      </c>
      <c r="E41" s="33">
        <v>542.1885418361245</v>
      </c>
      <c r="F41" s="33">
        <v>482.9599105874293</v>
      </c>
      <c r="G41" s="33">
        <v>581.6790335305951</v>
      </c>
      <c r="H41" s="33">
        <v>689.2298797335927</v>
      </c>
      <c r="I41" s="33">
        <v>2373.0623495025247</v>
      </c>
      <c r="J41" s="33">
        <v>3872.390158899286</v>
      </c>
      <c r="K41" s="33">
        <v>5972.536218350077</v>
      </c>
      <c r="L41" s="33">
        <v>4623.936970172436</v>
      </c>
      <c r="M41" s="33">
        <v>2490.854798832071</v>
      </c>
      <c r="N41" s="33">
        <v>1146.269613175276</v>
      </c>
      <c r="O41" s="34">
        <f t="shared" si="2"/>
        <v>1920.4441423295443</v>
      </c>
      <c r="Q41" s="16">
        <v>1964</v>
      </c>
      <c r="R41" s="33">
        <f>('FY19 Spill Cost'!C41-'FY19 Spill Cost'!T41)*(1-$S$3)</f>
        <v>0</v>
      </c>
      <c r="S41" s="33">
        <f>('FY19 Spill Cost'!D41-'FY19 Spill Cost'!U41)*(1-$S$3)</f>
        <v>0</v>
      </c>
      <c r="T41" s="33">
        <f>('FY19 Spill Cost'!E41-'FY19 Spill Cost'!V41)*(1-$S$3)</f>
        <v>0</v>
      </c>
      <c r="U41" s="33">
        <f>('FY19 Spill Cost'!F41-'FY19 Spill Cost'!W41)*(1-$S$3)</f>
        <v>0</v>
      </c>
      <c r="V41" s="33">
        <f>('FY19 Spill Cost'!G41-'FY19 Spill Cost'!X41)*(1-$S$3)</f>
        <v>0</v>
      </c>
      <c r="W41" s="33">
        <f>('FY19 Spill Cost'!H41-'FY19 Spill Cost'!Y41)*(1-$S$3)</f>
        <v>0</v>
      </c>
      <c r="X41" s="33">
        <f>(('FY19 Spill Cost'!I41-'FY19 Spill Cost'!Z41)*15/30+('FY19 Spill Cost'!J41-'FY19 Spill Cost'!AA41)*15/30)*(1-$S$3)</f>
        <v>839.475533</v>
      </c>
      <c r="Y41" s="33">
        <f>('FY19 Spill Cost'!K41-'FY19 Spill Cost'!AB41)*(1-$S$3)</f>
        <v>961.93929</v>
      </c>
      <c r="Z41" s="33">
        <f>('FY19 Spill Cost'!L41-'FY19 Spill Cost'!AC41)*(1-$S$3)</f>
        <v>81.12741000000001</v>
      </c>
      <c r="AA41" s="33">
        <f>('FY19 Spill Cost'!M41-'FY19 Spill Cost'!AD41)*(1-$S$3)</f>
        <v>-79.582126</v>
      </c>
      <c r="AB41" s="33">
        <f>(('FY19 Spill Cost'!N41-'FY19 Spill Cost'!AE41)*15/31+('FY19 Spill Cost'!O41-'FY19 Spill Cost'!AF41)*16/31)*(1-$S$3)</f>
        <v>136.15945954838713</v>
      </c>
      <c r="AC41" s="33">
        <f>('FY19 Spill Cost'!P41-'FY19 Spill Cost'!AG41)*(1-$S$3)</f>
        <v>0</v>
      </c>
      <c r="AD41" s="34">
        <f t="shared" si="3"/>
        <v>162.1701469041096</v>
      </c>
      <c r="AF41" s="16">
        <v>1964</v>
      </c>
      <c r="AG41" s="33">
        <f t="shared" si="4"/>
        <v>42.49182944965591</v>
      </c>
      <c r="AH41" s="33">
        <f t="shared" si="5"/>
        <v>162.51284496259103</v>
      </c>
      <c r="AI41" s="33">
        <f t="shared" si="6"/>
        <v>542.1885418361245</v>
      </c>
      <c r="AJ41" s="33">
        <f t="shared" si="7"/>
        <v>482.9599105874293</v>
      </c>
      <c r="AK41" s="33">
        <f t="shared" si="8"/>
        <v>581.6790335305951</v>
      </c>
      <c r="AL41" s="33">
        <f t="shared" si="9"/>
        <v>689.2298797335927</v>
      </c>
      <c r="AM41" s="33">
        <f t="shared" si="10"/>
        <v>1533.5868165025247</v>
      </c>
      <c r="AN41" s="33">
        <f t="shared" si="11"/>
        <v>2910.4508688992855</v>
      </c>
      <c r="AO41" s="33">
        <f t="shared" si="12"/>
        <v>5891.408808350077</v>
      </c>
      <c r="AP41" s="33">
        <f t="shared" si="13"/>
        <v>4703.519096172437</v>
      </c>
      <c r="AQ41" s="33">
        <f t="shared" si="14"/>
        <v>2354.695339283684</v>
      </c>
      <c r="AR41" s="33">
        <f t="shared" si="15"/>
        <v>1146.269613175276</v>
      </c>
      <c r="AS41" s="34">
        <f t="shared" si="16"/>
        <v>1758.2739954254348</v>
      </c>
      <c r="AT41" s="33"/>
      <c r="AU41" s="16">
        <v>1964</v>
      </c>
      <c r="AV41" s="23">
        <f>'FY19 Aurora Prices for SecR'!AR40-'FY19 Aurora Prices for SecR'!AD40</f>
        <v>-0.0030607308111214593</v>
      </c>
      <c r="AW41" s="23">
        <f>'FY19 Aurora Prices for SecR'!AS40-'FY19 Aurora Prices for SecR'!AE40</f>
        <v>0.0004945101255522388</v>
      </c>
      <c r="AX41" s="23">
        <f>'FY19 Aurora Prices for SecR'!AT40-'FY19 Aurora Prices for SecR'!AF40</f>
        <v>0.04506183132049202</v>
      </c>
      <c r="AY41" s="23">
        <f>'FY19 Aurora Prices for SecR'!AU40-'FY19 Aurora Prices for SecR'!AG40</f>
        <v>0.024626051482318445</v>
      </c>
      <c r="AZ41" s="23">
        <f>'FY19 Aurora Prices for SecR'!AV40-'FY19 Aurora Prices for SecR'!AH40</f>
        <v>-0.008752019064804273</v>
      </c>
      <c r="BA41" s="23">
        <f>'FY19 Aurora Prices for SecR'!AW40-'FY19 Aurora Prices for SecR'!AI40</f>
        <v>-0.03505926876658094</v>
      </c>
      <c r="BB41" s="23">
        <f>'FY19 Aurora Prices for SecR'!AX40-'FY19 Aurora Prices for SecR'!AJ40</f>
        <v>0.8958998939725795</v>
      </c>
      <c r="BC41" s="23">
        <f>'FY19 Aurora Prices for SecR'!AY40-'FY19 Aurora Prices for SecR'!AK40</f>
        <v>1.1849458761112714</v>
      </c>
      <c r="BD41" s="23">
        <f>'FY19 Aurora Prices for SecR'!AZ40-'FY19 Aurora Prices for SecR'!AL40</f>
        <v>0.4057823462618675</v>
      </c>
      <c r="BE41" s="23">
        <f>'FY19 Aurora Prices for SecR'!BA40-'FY19 Aurora Prices for SecR'!AM40</f>
        <v>-0.551640615764466</v>
      </c>
      <c r="BF41" s="23">
        <f>'FY19 Aurora Prices for SecR'!BB40-'FY19 Aurora Prices for SecR'!AN40</f>
        <v>0.20134584903716757</v>
      </c>
      <c r="BG41" s="24">
        <f>'FY19 Aurora Prices for SecR'!BC40-'FY19 Aurora Prices for SecR'!AO40</f>
        <v>0.0017918888728125637</v>
      </c>
      <c r="BI41" s="16">
        <v>1964</v>
      </c>
      <c r="BJ41" s="41">
        <f t="shared" si="17"/>
        <v>-96.76170240340515</v>
      </c>
      <c r="BK41" s="41">
        <f t="shared" si="18"/>
        <v>57.94262235110404</v>
      </c>
      <c r="BL41" s="41">
        <f t="shared" si="19"/>
        <v>18177.414410395493</v>
      </c>
      <c r="BM41" s="41">
        <f t="shared" si="20"/>
        <v>8848.68634278433</v>
      </c>
      <c r="BN41" s="41">
        <f t="shared" si="21"/>
        <v>-3421.0619459900972</v>
      </c>
      <c r="BO41" s="41">
        <f t="shared" si="22"/>
        <v>-17953.774427484947</v>
      </c>
      <c r="BP41" s="41">
        <f t="shared" si="29"/>
        <v>989236.9917376976</v>
      </c>
      <c r="BQ41" s="41">
        <f t="shared" si="23"/>
        <v>2565852.705516646</v>
      </c>
      <c r="BR41" s="41">
        <f t="shared" si="24"/>
        <v>1721253.3761088918</v>
      </c>
      <c r="BS41" s="41">
        <f t="shared" si="25"/>
        <v>-1930421.2148315306</v>
      </c>
      <c r="BT41" s="41">
        <f t="shared" si="26"/>
        <v>352736.45044007944</v>
      </c>
      <c r="BU41" s="41">
        <f t="shared" si="27"/>
        <v>1478.8711908661958</v>
      </c>
      <c r="BV41" s="42">
        <f t="shared" si="28"/>
        <v>3705749.6254623034</v>
      </c>
    </row>
    <row r="42" spans="2:74" ht="15">
      <c r="B42" s="16">
        <v>1965</v>
      </c>
      <c r="C42" s="33">
        <v>1114.4615519807533</v>
      </c>
      <c r="D42" s="33">
        <v>832.7065379860171</v>
      </c>
      <c r="E42" s="33">
        <v>3306.8062978829607</v>
      </c>
      <c r="F42" s="33">
        <v>5108.4242074152735</v>
      </c>
      <c r="G42" s="33">
        <v>5733.006279836793</v>
      </c>
      <c r="H42" s="33">
        <v>4844.529440527652</v>
      </c>
      <c r="I42" s="33">
        <v>3902.4015041373664</v>
      </c>
      <c r="J42" s="33">
        <v>5339.60793088759</v>
      </c>
      <c r="K42" s="33">
        <v>4115.479021036166</v>
      </c>
      <c r="L42" s="33">
        <v>2743.500098515721</v>
      </c>
      <c r="M42" s="33">
        <v>2235.719435500617</v>
      </c>
      <c r="N42" s="33">
        <v>120.78482549550776</v>
      </c>
      <c r="O42" s="34">
        <f t="shared" si="2"/>
        <v>3273.925180963023</v>
      </c>
      <c r="Q42" s="16">
        <v>1965</v>
      </c>
      <c r="R42" s="33">
        <f>('FY19 Spill Cost'!C42-'FY19 Spill Cost'!T42)*(1-$S$3)</f>
        <v>0</v>
      </c>
      <c r="S42" s="33">
        <f>('FY19 Spill Cost'!D42-'FY19 Spill Cost'!U42)*(1-$S$3)</f>
        <v>0</v>
      </c>
      <c r="T42" s="33">
        <f>('FY19 Spill Cost'!E42-'FY19 Spill Cost'!V42)*(1-$S$3)</f>
        <v>0</v>
      </c>
      <c r="U42" s="33">
        <f>('FY19 Spill Cost'!F42-'FY19 Spill Cost'!W42)*(1-$S$3)</f>
        <v>0</v>
      </c>
      <c r="V42" s="33">
        <f>('FY19 Spill Cost'!G42-'FY19 Spill Cost'!X42)*(1-$S$3)</f>
        <v>0</v>
      </c>
      <c r="W42" s="33">
        <f>('FY19 Spill Cost'!H42-'FY19 Spill Cost'!Y42)*(1-$S$3)</f>
        <v>0</v>
      </c>
      <c r="X42" s="33">
        <f>(('FY19 Spill Cost'!I42-'FY19 Spill Cost'!Z42)*15/30+('FY19 Spill Cost'!J42-'FY19 Spill Cost'!AA42)*15/30)*(1-$S$3)</f>
        <v>553.984314</v>
      </c>
      <c r="Y42" s="33">
        <f>('FY19 Spill Cost'!K42-'FY19 Spill Cost'!AB42)*(1-$S$3)</f>
        <v>615.0230320000001</v>
      </c>
      <c r="Z42" s="33">
        <f>('FY19 Spill Cost'!L42-'FY19 Spill Cost'!AC42)*(1-$S$3)</f>
        <v>305.96623200000005</v>
      </c>
      <c r="AA42" s="33">
        <f>('FY19 Spill Cost'!M42-'FY19 Spill Cost'!AD42)*(1-$S$3)</f>
        <v>-112.805732</v>
      </c>
      <c r="AB42" s="33">
        <f>(('FY19 Spill Cost'!N42-'FY19 Spill Cost'!AE42)*15/31+('FY19 Spill Cost'!O42-'FY19 Spill Cost'!AF42)*16/31)*(1-$S$3)</f>
        <v>112.23248148387097</v>
      </c>
      <c r="AC42" s="33">
        <f>('FY19 Spill Cost'!P42-'FY19 Spill Cost'!AG42)*(1-$S$3)</f>
        <v>0</v>
      </c>
      <c r="AD42" s="34">
        <f t="shared" si="3"/>
        <v>122.86701261917808</v>
      </c>
      <c r="AF42" s="16">
        <v>1965</v>
      </c>
      <c r="AG42" s="33">
        <f t="shared" si="4"/>
        <v>1114.4615519807533</v>
      </c>
      <c r="AH42" s="33">
        <f t="shared" si="5"/>
        <v>832.7065379860171</v>
      </c>
      <c r="AI42" s="33">
        <f t="shared" si="6"/>
        <v>3306.8062978829607</v>
      </c>
      <c r="AJ42" s="33">
        <f t="shared" si="7"/>
        <v>5108.4242074152735</v>
      </c>
      <c r="AK42" s="33">
        <f t="shared" si="8"/>
        <v>5733.006279836793</v>
      </c>
      <c r="AL42" s="33">
        <f t="shared" si="9"/>
        <v>4844.529440527652</v>
      </c>
      <c r="AM42" s="33">
        <f t="shared" si="10"/>
        <v>3348.4171901373666</v>
      </c>
      <c r="AN42" s="33">
        <f t="shared" si="11"/>
        <v>4724.58489888759</v>
      </c>
      <c r="AO42" s="33">
        <f t="shared" si="12"/>
        <v>3809.512789036166</v>
      </c>
      <c r="AP42" s="33">
        <f t="shared" si="13"/>
        <v>2856.305830515721</v>
      </c>
      <c r="AQ42" s="33">
        <f t="shared" si="14"/>
        <v>2123.4869540167456</v>
      </c>
      <c r="AR42" s="33">
        <f t="shared" si="15"/>
        <v>120.78482549550776</v>
      </c>
      <c r="AS42" s="34">
        <f t="shared" si="16"/>
        <v>3151.0581683438454</v>
      </c>
      <c r="AT42" s="33"/>
      <c r="AU42" s="16">
        <v>1965</v>
      </c>
      <c r="AV42" s="23">
        <f>'FY19 Aurora Prices for SecR'!AR41-'FY19 Aurora Prices for SecR'!AD41</f>
        <v>-0.0030885211882818453</v>
      </c>
      <c r="AW42" s="23">
        <f>'FY19 Aurora Prices for SecR'!AS41-'FY19 Aurora Prices for SecR'!AE41</f>
        <v>0.04048105403883895</v>
      </c>
      <c r="AX42" s="23">
        <f>'FY19 Aurora Prices for SecR'!AT41-'FY19 Aurora Prices for SecR'!AF41</f>
        <v>0.01599639333702285</v>
      </c>
      <c r="AY42" s="23">
        <f>'FY19 Aurora Prices for SecR'!AU41-'FY19 Aurora Prices for SecR'!AG41</f>
        <v>0.18465379758544387</v>
      </c>
      <c r="AZ42" s="23">
        <f>'FY19 Aurora Prices for SecR'!AV41-'FY19 Aurora Prices for SecR'!AH41</f>
        <v>0.28836430651797684</v>
      </c>
      <c r="BA42" s="23">
        <f>'FY19 Aurora Prices for SecR'!AW41-'FY19 Aurora Prices for SecR'!AI41</f>
        <v>0.06359468615068309</v>
      </c>
      <c r="BB42" s="23">
        <f>'FY19 Aurora Prices for SecR'!AX41-'FY19 Aurora Prices for SecR'!AJ41</f>
        <v>0.779106276830003</v>
      </c>
      <c r="BC42" s="23">
        <f>'FY19 Aurora Prices for SecR'!AY41-'FY19 Aurora Prices for SecR'!AK41</f>
        <v>2.0948568428655925</v>
      </c>
      <c r="BD42" s="23">
        <f>'FY19 Aurora Prices for SecR'!AZ41-'FY19 Aurora Prices for SecR'!AL41</f>
        <v>0.5192021131515219</v>
      </c>
      <c r="BE42" s="23">
        <f>'FY19 Aurora Prices for SecR'!BA41-'FY19 Aurora Prices for SecR'!AM41</f>
        <v>-0.14680140813188558</v>
      </c>
      <c r="BF42" s="23">
        <f>'FY19 Aurora Prices for SecR'!BB41-'FY19 Aurora Prices for SecR'!AN41</f>
        <v>0.262952549995898</v>
      </c>
      <c r="BG42" s="24">
        <f>'FY19 Aurora Prices for SecR'!BC41-'FY19 Aurora Prices for SecR'!AO41</f>
        <v>-0.01606526215875448</v>
      </c>
      <c r="BI42" s="16">
        <v>1965</v>
      </c>
      <c r="BJ42" s="41">
        <f t="shared" si="17"/>
        <v>-2560.876358912611</v>
      </c>
      <c r="BK42" s="41">
        <f t="shared" si="18"/>
        <v>24304.072459511357</v>
      </c>
      <c r="BL42" s="41">
        <f t="shared" si="19"/>
        <v>39355.34882732847</v>
      </c>
      <c r="BM42" s="41">
        <f t="shared" si="20"/>
        <v>701807.7076050212</v>
      </c>
      <c r="BN42" s="41">
        <f t="shared" si="21"/>
        <v>1110946.6234596865</v>
      </c>
      <c r="BO42" s="41">
        <f t="shared" si="22"/>
        <v>228908.14268334853</v>
      </c>
      <c r="BP42" s="41">
        <f t="shared" si="29"/>
        <v>1878316.4522026828</v>
      </c>
      <c r="BQ42" s="41">
        <f t="shared" si="23"/>
        <v>7363612.779819778</v>
      </c>
      <c r="BR42" s="41">
        <f t="shared" si="24"/>
        <v>1424093.1049046342</v>
      </c>
      <c r="BS42" s="41">
        <f t="shared" si="25"/>
        <v>-311966.4301734169</v>
      </c>
      <c r="BT42" s="41">
        <f t="shared" si="26"/>
        <v>415431.9742246437</v>
      </c>
      <c r="BU42" s="41">
        <f t="shared" si="27"/>
        <v>-1397.1167181970156</v>
      </c>
      <c r="BV42" s="42">
        <f t="shared" si="28"/>
        <v>12870851.782936107</v>
      </c>
    </row>
    <row r="43" spans="2:74" ht="15">
      <c r="B43" s="16">
        <v>1966</v>
      </c>
      <c r="C43" s="33">
        <v>607.739528168555</v>
      </c>
      <c r="D43" s="33">
        <v>335.596129445427</v>
      </c>
      <c r="E43" s="33">
        <v>858.9855792889384</v>
      </c>
      <c r="F43" s="33">
        <v>1189.7203200759634</v>
      </c>
      <c r="G43" s="33">
        <v>1160.3918766175434</v>
      </c>
      <c r="H43" s="33">
        <v>859.792805470707</v>
      </c>
      <c r="I43" s="33">
        <v>3567.380545048692</v>
      </c>
      <c r="J43" s="33">
        <v>2364.7406881364427</v>
      </c>
      <c r="K43" s="33">
        <v>2796.0818494577265</v>
      </c>
      <c r="L43" s="33">
        <v>2786.3052861190235</v>
      </c>
      <c r="M43" s="33">
        <v>1277.5772641894487</v>
      </c>
      <c r="N43" s="33">
        <v>175.5265417064923</v>
      </c>
      <c r="O43" s="34">
        <f t="shared" si="2"/>
        <v>1498.6229824706716</v>
      </c>
      <c r="Q43" s="16">
        <v>1966</v>
      </c>
      <c r="R43" s="33">
        <f>('FY19 Spill Cost'!C43-'FY19 Spill Cost'!T43)*(1-$S$3)</f>
        <v>0</v>
      </c>
      <c r="S43" s="33">
        <f>('FY19 Spill Cost'!D43-'FY19 Spill Cost'!U43)*(1-$S$3)</f>
        <v>0</v>
      </c>
      <c r="T43" s="33">
        <f>('FY19 Spill Cost'!E43-'FY19 Spill Cost'!V43)*(1-$S$3)</f>
        <v>0</v>
      </c>
      <c r="U43" s="33">
        <f>('FY19 Spill Cost'!F43-'FY19 Spill Cost'!W43)*(1-$S$3)</f>
        <v>0</v>
      </c>
      <c r="V43" s="33">
        <f>('FY19 Spill Cost'!G43-'FY19 Spill Cost'!X43)*(1-$S$3)</f>
        <v>0</v>
      </c>
      <c r="W43" s="33">
        <f>('FY19 Spill Cost'!H43-'FY19 Spill Cost'!Y43)*(1-$S$3)</f>
        <v>0</v>
      </c>
      <c r="X43" s="33">
        <f>(('FY19 Spill Cost'!I43-'FY19 Spill Cost'!Z43)*15/30+('FY19 Spill Cost'!J43-'FY19 Spill Cost'!AA43)*15/30)*(1-$S$3)</f>
        <v>761.05237</v>
      </c>
      <c r="Y43" s="33">
        <f>('FY19 Spill Cost'!K43-'FY19 Spill Cost'!AB43)*(1-$S$3)</f>
        <v>1123.421468</v>
      </c>
      <c r="Z43" s="33">
        <f>('FY19 Spill Cost'!L43-'FY19 Spill Cost'!AC43)*(1-$S$3)</f>
        <v>621.97681</v>
      </c>
      <c r="AA43" s="33">
        <f>('FY19 Spill Cost'!M43-'FY19 Spill Cost'!AD43)*(1-$S$3)</f>
        <v>0.772642</v>
      </c>
      <c r="AB43" s="33">
        <f>(('FY19 Spill Cost'!N43-'FY19 Spill Cost'!AE43)*15/31+('FY19 Spill Cost'!O43-'FY19 Spill Cost'!AF43)*16/31)*(1-$S$3)</f>
        <v>107.37231406451613</v>
      </c>
      <c r="AC43" s="33">
        <f>('FY19 Spill Cost'!P43-'FY19 Spill Cost'!AG43)*(1-$S$3)</f>
        <v>0</v>
      </c>
      <c r="AD43" s="34">
        <f t="shared" si="3"/>
        <v>218.27242341369865</v>
      </c>
      <c r="AF43" s="16">
        <v>1966</v>
      </c>
      <c r="AG43" s="33">
        <f t="shared" si="4"/>
        <v>607.739528168555</v>
      </c>
      <c r="AH43" s="33">
        <f t="shared" si="5"/>
        <v>335.596129445427</v>
      </c>
      <c r="AI43" s="33">
        <f t="shared" si="6"/>
        <v>858.9855792889384</v>
      </c>
      <c r="AJ43" s="33">
        <f t="shared" si="7"/>
        <v>1189.7203200759634</v>
      </c>
      <c r="AK43" s="33">
        <f t="shared" si="8"/>
        <v>1160.3918766175434</v>
      </c>
      <c r="AL43" s="33">
        <f t="shared" si="9"/>
        <v>859.792805470707</v>
      </c>
      <c r="AM43" s="33">
        <f t="shared" si="10"/>
        <v>2806.328175048692</v>
      </c>
      <c r="AN43" s="33">
        <f t="shared" si="11"/>
        <v>1241.3192201364427</v>
      </c>
      <c r="AO43" s="33">
        <f t="shared" si="12"/>
        <v>2174.1050394577264</v>
      </c>
      <c r="AP43" s="33">
        <f t="shared" si="13"/>
        <v>2785.5326441190236</v>
      </c>
      <c r="AQ43" s="33">
        <f t="shared" si="14"/>
        <v>1170.2049501249326</v>
      </c>
      <c r="AR43" s="33">
        <f t="shared" si="15"/>
        <v>175.5265417064923</v>
      </c>
      <c r="AS43" s="34">
        <f t="shared" si="16"/>
        <v>1280.3505590569728</v>
      </c>
      <c r="AT43" s="33"/>
      <c r="AU43" s="16">
        <v>1966</v>
      </c>
      <c r="AV43" s="23">
        <f>'FY19 Aurora Prices for SecR'!AR42-'FY19 Aurora Prices for SecR'!AD42</f>
        <v>-0.006898389324064169</v>
      </c>
      <c r="AW43" s="23">
        <f>'FY19 Aurora Prices for SecR'!AS42-'FY19 Aurora Prices for SecR'!AE42</f>
        <v>0.017917345995339673</v>
      </c>
      <c r="AX43" s="23">
        <f>'FY19 Aurora Prices for SecR'!AT42-'FY19 Aurora Prices for SecR'!AF42</f>
        <v>-0.011335147837112203</v>
      </c>
      <c r="AY43" s="23">
        <f>'FY19 Aurora Prices for SecR'!AU42-'FY19 Aurora Prices for SecR'!AG42</f>
        <v>0.01907355452095416</v>
      </c>
      <c r="AZ43" s="23">
        <f>'FY19 Aurora Prices for SecR'!AV42-'FY19 Aurora Prices for SecR'!AH42</f>
        <v>0.003235646656570168</v>
      </c>
      <c r="BA43" s="23">
        <f>'FY19 Aurora Prices for SecR'!AW42-'FY19 Aurora Prices for SecR'!AI42</f>
        <v>0.04089465327408348</v>
      </c>
      <c r="BB43" s="23">
        <f>'FY19 Aurora Prices for SecR'!AX42-'FY19 Aurora Prices for SecR'!AJ42</f>
        <v>0.8732713439729665</v>
      </c>
      <c r="BC43" s="23">
        <f>'FY19 Aurora Prices for SecR'!AY42-'FY19 Aurora Prices for SecR'!AK42</f>
        <v>1.1972417844238628</v>
      </c>
      <c r="BD43" s="23">
        <f>'FY19 Aurora Prices for SecR'!AZ42-'FY19 Aurora Prices for SecR'!AL42</f>
        <v>0.6499593231413385</v>
      </c>
      <c r="BE43" s="23">
        <f>'FY19 Aurora Prices for SecR'!BA42-'FY19 Aurora Prices for SecR'!AM42</f>
        <v>-0.08142534917404376</v>
      </c>
      <c r="BF43" s="23">
        <f>'FY19 Aurora Prices for SecR'!BB42-'FY19 Aurora Prices for SecR'!AN42</f>
        <v>0.15075315583136017</v>
      </c>
      <c r="BG43" s="24">
        <f>'FY19 Aurora Prices for SecR'!BC42-'FY19 Aurora Prices for SecR'!AO42</f>
        <v>-0.0020677884419200154</v>
      </c>
      <c r="BI43" s="16">
        <v>1966</v>
      </c>
      <c r="BJ43" s="41">
        <f t="shared" si="17"/>
        <v>-3119.163361459738</v>
      </c>
      <c r="BK43" s="41">
        <f t="shared" si="18"/>
        <v>4335.367207464742</v>
      </c>
      <c r="BL43" s="41">
        <f t="shared" si="19"/>
        <v>-7244.1260272035615</v>
      </c>
      <c r="BM43" s="41">
        <f t="shared" si="20"/>
        <v>16882.99336990401</v>
      </c>
      <c r="BN43" s="41">
        <f t="shared" si="21"/>
        <v>2523.1033604372315</v>
      </c>
      <c r="BO43" s="41">
        <f t="shared" si="22"/>
        <v>26124.56999978612</v>
      </c>
      <c r="BP43" s="41">
        <f t="shared" si="29"/>
        <v>1764493.903478861</v>
      </c>
      <c r="BQ43" s="41">
        <f t="shared" si="23"/>
        <v>1105702.4731879095</v>
      </c>
      <c r="BR43" s="41">
        <f t="shared" si="24"/>
        <v>1017417.4847165643</v>
      </c>
      <c r="BS43" s="41">
        <f t="shared" si="25"/>
        <v>-168748.84832821813</v>
      </c>
      <c r="BT43" s="41">
        <f t="shared" si="26"/>
        <v>131250.5943654049</v>
      </c>
      <c r="BU43" s="41">
        <f t="shared" si="27"/>
        <v>-261.325263017431</v>
      </c>
      <c r="BV43" s="42">
        <f t="shared" si="28"/>
        <v>3889357.026706433</v>
      </c>
    </row>
    <row r="44" spans="2:74" ht="15">
      <c r="B44" s="16">
        <v>1967</v>
      </c>
      <c r="C44" s="33">
        <v>86.16944921412173</v>
      </c>
      <c r="D44" s="33">
        <v>95.42613644463356</v>
      </c>
      <c r="E44" s="33">
        <v>1132.513601385698</v>
      </c>
      <c r="F44" s="33">
        <v>3347.3474271117652</v>
      </c>
      <c r="G44" s="33">
        <v>3430.8712971096675</v>
      </c>
      <c r="H44" s="33">
        <v>3460.6933679638737</v>
      </c>
      <c r="I44" s="33">
        <v>908.7073714640943</v>
      </c>
      <c r="J44" s="33">
        <v>3557.9293271059287</v>
      </c>
      <c r="K44" s="33">
        <v>5630.015406893328</v>
      </c>
      <c r="L44" s="33">
        <v>4237.760751258198</v>
      </c>
      <c r="M44" s="33">
        <v>1813.5758030603563</v>
      </c>
      <c r="N44" s="33">
        <v>518.3868480123552</v>
      </c>
      <c r="O44" s="34">
        <f t="shared" si="2"/>
        <v>2348.5367980154</v>
      </c>
      <c r="Q44" s="16">
        <v>1967</v>
      </c>
      <c r="R44" s="33">
        <f>('FY19 Spill Cost'!C44-'FY19 Spill Cost'!T44)*(1-$S$3)</f>
        <v>0</v>
      </c>
      <c r="S44" s="33">
        <f>('FY19 Spill Cost'!D44-'FY19 Spill Cost'!U44)*(1-$S$3)</f>
        <v>0</v>
      </c>
      <c r="T44" s="33">
        <f>('FY19 Spill Cost'!E44-'FY19 Spill Cost'!V44)*(1-$S$3)</f>
        <v>0</v>
      </c>
      <c r="U44" s="33">
        <f>('FY19 Spill Cost'!F44-'FY19 Spill Cost'!W44)*(1-$S$3)</f>
        <v>0</v>
      </c>
      <c r="V44" s="33">
        <f>('FY19 Spill Cost'!G44-'FY19 Spill Cost'!X44)*(1-$S$3)</f>
        <v>0</v>
      </c>
      <c r="W44" s="33">
        <f>('FY19 Spill Cost'!H44-'FY19 Spill Cost'!Y44)*(1-$S$3)</f>
        <v>0</v>
      </c>
      <c r="X44" s="33">
        <f>(('FY19 Spill Cost'!I44-'FY19 Spill Cost'!Z44)*15/30+('FY19 Spill Cost'!J44-'FY19 Spill Cost'!AA44)*15/30)*(1-$S$3)</f>
        <v>735.555184</v>
      </c>
      <c r="Y44" s="33">
        <f>('FY19 Spill Cost'!K44-'FY19 Spill Cost'!AB44)*(1-$S$3)</f>
        <v>924.852474</v>
      </c>
      <c r="Z44" s="33">
        <f>('FY19 Spill Cost'!L44-'FY19 Spill Cost'!AC44)*(1-$S$3)</f>
        <v>165.345388</v>
      </c>
      <c r="AA44" s="33">
        <f>('FY19 Spill Cost'!M44-'FY19 Spill Cost'!AD44)*(1-$S$3)</f>
        <v>-63.356644</v>
      </c>
      <c r="AB44" s="33">
        <f>(('FY19 Spill Cost'!N44-'FY19 Spill Cost'!AE44)*15/31+('FY19 Spill Cost'!O44-'FY19 Spill Cost'!AF44)*16/31)*(1-$S$3)</f>
        <v>137.18134090322582</v>
      </c>
      <c r="AC44" s="33">
        <f>('FY19 Spill Cost'!P44-'FY19 Spill Cost'!AG44)*(1-$S$3)</f>
        <v>0</v>
      </c>
      <c r="AD44" s="34">
        <f t="shared" si="3"/>
        <v>158.8657793369863</v>
      </c>
      <c r="AF44" s="16">
        <v>1967</v>
      </c>
      <c r="AG44" s="33">
        <f t="shared" si="4"/>
        <v>86.16944921412173</v>
      </c>
      <c r="AH44" s="33">
        <f t="shared" si="5"/>
        <v>95.42613644463356</v>
      </c>
      <c r="AI44" s="33">
        <f t="shared" si="6"/>
        <v>1132.513601385698</v>
      </c>
      <c r="AJ44" s="33">
        <f t="shared" si="7"/>
        <v>3347.3474271117652</v>
      </c>
      <c r="AK44" s="33">
        <f t="shared" si="8"/>
        <v>3430.8712971096675</v>
      </c>
      <c r="AL44" s="33">
        <f t="shared" si="9"/>
        <v>3460.6933679638737</v>
      </c>
      <c r="AM44" s="33">
        <f t="shared" si="10"/>
        <v>173.15218746409425</v>
      </c>
      <c r="AN44" s="33">
        <f t="shared" si="11"/>
        <v>2633.0768531059284</v>
      </c>
      <c r="AO44" s="33">
        <f t="shared" si="12"/>
        <v>5464.670018893328</v>
      </c>
      <c r="AP44" s="33">
        <f t="shared" si="13"/>
        <v>4301.1173952581985</v>
      </c>
      <c r="AQ44" s="33">
        <f t="shared" si="14"/>
        <v>1676.3944621571304</v>
      </c>
      <c r="AR44" s="33">
        <f t="shared" si="15"/>
        <v>518.3868480123552</v>
      </c>
      <c r="AS44" s="34">
        <f t="shared" si="16"/>
        <v>2189.6710186784144</v>
      </c>
      <c r="AT44" s="33"/>
      <c r="AU44" s="16">
        <v>1967</v>
      </c>
      <c r="AV44" s="23">
        <f>'FY19 Aurora Prices for SecR'!AR43-'FY19 Aurora Prices for SecR'!AD43</f>
        <v>0.021706496515580653</v>
      </c>
      <c r="AW44" s="23">
        <f>'FY19 Aurora Prices for SecR'!AS43-'FY19 Aurora Prices for SecR'!AE43</f>
        <v>0.018810967565723757</v>
      </c>
      <c r="AX44" s="23">
        <f>'FY19 Aurora Prices for SecR'!AT43-'FY19 Aurora Prices for SecR'!AF43</f>
        <v>0.0031720146056493093</v>
      </c>
      <c r="AY44" s="23">
        <f>'FY19 Aurora Prices for SecR'!AU43-'FY19 Aurora Prices for SecR'!AG43</f>
        <v>0.0007569889868577206</v>
      </c>
      <c r="AZ44" s="23">
        <f>'FY19 Aurora Prices for SecR'!AV43-'FY19 Aurora Prices for SecR'!AH43</f>
        <v>-0.028837098394085103</v>
      </c>
      <c r="BA44" s="23">
        <f>'FY19 Aurora Prices for SecR'!AW43-'FY19 Aurora Prices for SecR'!AI43</f>
        <v>0.014381916622472346</v>
      </c>
      <c r="BB44" s="23">
        <f>'FY19 Aurora Prices for SecR'!AX43-'FY19 Aurora Prices for SecR'!AJ43</f>
        <v>1.1660767576429407</v>
      </c>
      <c r="BC44" s="23">
        <f>'FY19 Aurora Prices for SecR'!AY43-'FY19 Aurora Prices for SecR'!AK43</f>
        <v>1.133215623645409</v>
      </c>
      <c r="BD44" s="23">
        <f>'FY19 Aurora Prices for SecR'!AZ43-'FY19 Aurora Prices for SecR'!AL43</f>
        <v>0.6685663233200767</v>
      </c>
      <c r="BE44" s="23">
        <f>'FY19 Aurora Prices for SecR'!BA43-'FY19 Aurora Prices for SecR'!AM43</f>
        <v>-0.5299820315934056</v>
      </c>
      <c r="BF44" s="23">
        <f>'FY19 Aurora Prices for SecR'!BB43-'FY19 Aurora Prices for SecR'!AN43</f>
        <v>0.0975537561601385</v>
      </c>
      <c r="BG44" s="24">
        <f>'FY19 Aurora Prices for SecR'!BC43-'FY19 Aurora Prices for SecR'!AO43</f>
        <v>-0.08484689235687881</v>
      </c>
      <c r="BI44" s="16">
        <v>1967</v>
      </c>
      <c r="BJ44" s="41">
        <f t="shared" si="17"/>
        <v>1391.605015742183</v>
      </c>
      <c r="BK44" s="41">
        <f t="shared" si="18"/>
        <v>1294.2367874168613</v>
      </c>
      <c r="BL44" s="41">
        <f t="shared" si="19"/>
        <v>2672.7081654107983</v>
      </c>
      <c r="BM44" s="41">
        <f t="shared" si="20"/>
        <v>1885.2254223075388</v>
      </c>
      <c r="BN44" s="41">
        <f t="shared" si="21"/>
        <v>-66485.24277171429</v>
      </c>
      <c r="BO44" s="41">
        <f t="shared" si="22"/>
        <v>36980.15278118158</v>
      </c>
      <c r="BP44" s="41">
        <f t="shared" si="29"/>
        <v>145374.29376257784</v>
      </c>
      <c r="BQ44" s="41">
        <f t="shared" si="23"/>
        <v>2219979.808179852</v>
      </c>
      <c r="BR44" s="41">
        <f t="shared" si="24"/>
        <v>2630515.926736056</v>
      </c>
      <c r="BS44" s="41">
        <f t="shared" si="25"/>
        <v>-1695959.1118339435</v>
      </c>
      <c r="BT44" s="41">
        <f t="shared" si="26"/>
        <v>121672.70098257552</v>
      </c>
      <c r="BU44" s="41">
        <f t="shared" si="27"/>
        <v>-31668.129426618725</v>
      </c>
      <c r="BV44" s="42">
        <f t="shared" si="28"/>
        <v>3367654.173800844</v>
      </c>
    </row>
    <row r="45" spans="2:74" ht="15">
      <c r="B45" s="16">
        <v>1968</v>
      </c>
      <c r="C45" s="33">
        <v>474.42255849821714</v>
      </c>
      <c r="D45" s="33">
        <v>543.0355994052062</v>
      </c>
      <c r="E45" s="33">
        <v>853.3461648792145</v>
      </c>
      <c r="F45" s="33">
        <v>2622.335302348021</v>
      </c>
      <c r="G45" s="33">
        <v>2356.0449320185357</v>
      </c>
      <c r="H45" s="33">
        <v>2710.219012333717</v>
      </c>
      <c r="I45" s="33">
        <v>854.3761498569025</v>
      </c>
      <c r="J45" s="33">
        <v>2078.951131834225</v>
      </c>
      <c r="K45" s="33">
        <v>4531.9773513075725</v>
      </c>
      <c r="L45" s="33">
        <v>3168.9377849699113</v>
      </c>
      <c r="M45" s="33">
        <v>1817.9176087515502</v>
      </c>
      <c r="N45" s="33">
        <v>1621.173936591612</v>
      </c>
      <c r="O45" s="34">
        <f t="shared" si="2"/>
        <v>1966.8653873275243</v>
      </c>
      <c r="Q45" s="16">
        <v>1968</v>
      </c>
      <c r="R45" s="33">
        <f>('FY19 Spill Cost'!C45-'FY19 Spill Cost'!T45)*(1-$S$3)</f>
        <v>0</v>
      </c>
      <c r="S45" s="33">
        <f>('FY19 Spill Cost'!D45-'FY19 Spill Cost'!U45)*(1-$S$3)</f>
        <v>0</v>
      </c>
      <c r="T45" s="33">
        <f>('FY19 Spill Cost'!E45-'FY19 Spill Cost'!V45)*(1-$S$3)</f>
        <v>0</v>
      </c>
      <c r="U45" s="33">
        <f>('FY19 Spill Cost'!F45-'FY19 Spill Cost'!W45)*(1-$S$3)</f>
        <v>0</v>
      </c>
      <c r="V45" s="33">
        <f>('FY19 Spill Cost'!G45-'FY19 Spill Cost'!X45)*(1-$S$3)</f>
        <v>0</v>
      </c>
      <c r="W45" s="33">
        <f>('FY19 Spill Cost'!H45-'FY19 Spill Cost'!Y45)*(1-$S$3)</f>
        <v>0</v>
      </c>
      <c r="X45" s="33">
        <f>(('FY19 Spill Cost'!I45-'FY19 Spill Cost'!Z45)*15/30+('FY19 Spill Cost'!J45-'FY19 Spill Cost'!AA45)*15/30)*(1-$S$3)</f>
        <v>832.135434</v>
      </c>
      <c r="Y45" s="33">
        <f>('FY19 Spill Cost'!K45-'FY19 Spill Cost'!AB45)*(1-$S$3)</f>
        <v>1149.691296</v>
      </c>
      <c r="Z45" s="33">
        <f>('FY19 Spill Cost'!L45-'FY19 Spill Cost'!AC45)*(1-$S$3)</f>
        <v>510.71636200000006</v>
      </c>
      <c r="AA45" s="33">
        <f>('FY19 Spill Cost'!M45-'FY19 Spill Cost'!AD45)*(1-$S$3)</f>
        <v>-16.225482</v>
      </c>
      <c r="AB45" s="33">
        <f>(('FY19 Spill Cost'!N45-'FY19 Spill Cost'!AE45)*15/31+('FY19 Spill Cost'!O45-'FY19 Spill Cost'!AF45)*16/31)*(1-$S$3)</f>
        <v>137.67981961290323</v>
      </c>
      <c r="AC45" s="33">
        <f>('FY19 Spill Cost'!P45-'FY19 Spill Cost'!AG45)*(1-$S$3)</f>
        <v>0</v>
      </c>
      <c r="AD45" s="34">
        <f t="shared" si="3"/>
        <v>218.33169458082193</v>
      </c>
      <c r="AF45" s="16">
        <v>1968</v>
      </c>
      <c r="AG45" s="33">
        <f t="shared" si="4"/>
        <v>474.42255849821714</v>
      </c>
      <c r="AH45" s="33">
        <f t="shared" si="5"/>
        <v>543.0355994052062</v>
      </c>
      <c r="AI45" s="33">
        <f t="shared" si="6"/>
        <v>853.3461648792145</v>
      </c>
      <c r="AJ45" s="33">
        <f t="shared" si="7"/>
        <v>2622.335302348021</v>
      </c>
      <c r="AK45" s="33">
        <f t="shared" si="8"/>
        <v>2356.0449320185357</v>
      </c>
      <c r="AL45" s="33">
        <f t="shared" si="9"/>
        <v>2710.219012333717</v>
      </c>
      <c r="AM45" s="33">
        <f t="shared" si="10"/>
        <v>22.24071585690251</v>
      </c>
      <c r="AN45" s="33">
        <f t="shared" si="11"/>
        <v>929.2598358342252</v>
      </c>
      <c r="AO45" s="33">
        <f t="shared" si="12"/>
        <v>4021.2609893075723</v>
      </c>
      <c r="AP45" s="33">
        <f t="shared" si="13"/>
        <v>3185.163266969911</v>
      </c>
      <c r="AQ45" s="33">
        <f t="shared" si="14"/>
        <v>1680.237789138647</v>
      </c>
      <c r="AR45" s="33">
        <f t="shared" si="15"/>
        <v>1621.173936591612</v>
      </c>
      <c r="AS45" s="34">
        <f t="shared" si="16"/>
        <v>1748.5336927467022</v>
      </c>
      <c r="AT45" s="33"/>
      <c r="AU45" s="16">
        <v>1968</v>
      </c>
      <c r="AV45" s="23">
        <f>'FY19 Aurora Prices for SecR'!AR44-'FY19 Aurora Prices for SecR'!AD44</f>
        <v>-0.07300897875141033</v>
      </c>
      <c r="AW45" s="23">
        <f>'FY19 Aurora Prices for SecR'!AS44-'FY19 Aurora Prices for SecR'!AE44</f>
        <v>-0.0033986727507269165</v>
      </c>
      <c r="AX45" s="23">
        <f>'FY19 Aurora Prices for SecR'!AT44-'FY19 Aurora Prices for SecR'!AF44</f>
        <v>-0.025637817639196925</v>
      </c>
      <c r="AY45" s="23">
        <f>'FY19 Aurora Prices for SecR'!AU44-'FY19 Aurora Prices for SecR'!AG44</f>
        <v>-0.025865203334458187</v>
      </c>
      <c r="AZ45" s="23">
        <f>'FY19 Aurora Prices for SecR'!AV44-'FY19 Aurora Prices for SecR'!AH44</f>
        <v>-0.00747913633072983</v>
      </c>
      <c r="BA45" s="23">
        <f>'FY19 Aurora Prices for SecR'!AW44-'FY19 Aurora Prices for SecR'!AI44</f>
        <v>-0.00018876705971138108</v>
      </c>
      <c r="BB45" s="23">
        <f>'FY19 Aurora Prices for SecR'!AX44-'FY19 Aurora Prices for SecR'!AJ44</f>
        <v>1.4194555367363932</v>
      </c>
      <c r="BC45" s="23">
        <f>'FY19 Aurora Prices for SecR'!AY44-'FY19 Aurora Prices for SecR'!AK44</f>
        <v>1.0172268736747014</v>
      </c>
      <c r="BD45" s="23">
        <f>'FY19 Aurora Prices for SecR'!AZ44-'FY19 Aurora Prices for SecR'!AL44</f>
        <v>1.6284981303744352</v>
      </c>
      <c r="BE45" s="23">
        <f>'FY19 Aurora Prices for SecR'!BA44-'FY19 Aurora Prices for SecR'!AM44</f>
        <v>-0.026576513885157027</v>
      </c>
      <c r="BF45" s="23">
        <f>'FY19 Aurora Prices for SecR'!BB44-'FY19 Aurora Prices for SecR'!AN44</f>
        <v>0.21878674184118196</v>
      </c>
      <c r="BG45" s="24">
        <f>'FY19 Aurora Prices for SecR'!BC44-'FY19 Aurora Prices for SecR'!AO44</f>
        <v>0.005316276550310306</v>
      </c>
      <c r="BI45" s="16">
        <v>1968</v>
      </c>
      <c r="BJ45" s="41">
        <f t="shared" si="17"/>
        <v>-25770.00723048403</v>
      </c>
      <c r="BK45" s="41">
        <f t="shared" si="18"/>
        <v>-1330.6778122430283</v>
      </c>
      <c r="BL45" s="41">
        <f t="shared" si="19"/>
        <v>-16277.18241856134</v>
      </c>
      <c r="BM45" s="41">
        <f t="shared" si="20"/>
        <v>-50463.46343993143</v>
      </c>
      <c r="BN45" s="41">
        <f t="shared" si="21"/>
        <v>-11841.433798583239</v>
      </c>
      <c r="BO45" s="41">
        <f t="shared" si="22"/>
        <v>-380.1188550801644</v>
      </c>
      <c r="BP45" s="41">
        <f t="shared" si="29"/>
        <v>22730.18923012404</v>
      </c>
      <c r="BQ45" s="41">
        <f t="shared" si="23"/>
        <v>703279.4497620136</v>
      </c>
      <c r="BR45" s="41">
        <f t="shared" si="24"/>
        <v>4715003.522041224</v>
      </c>
      <c r="BS45" s="41">
        <f t="shared" si="25"/>
        <v>-62979.99862859176</v>
      </c>
      <c r="BT45" s="41">
        <f t="shared" si="26"/>
        <v>273504.6310446322</v>
      </c>
      <c r="BU45" s="41">
        <f t="shared" si="27"/>
        <v>6205.398467814888</v>
      </c>
      <c r="BV45" s="42">
        <f t="shared" si="28"/>
        <v>5551680.308362333</v>
      </c>
    </row>
    <row r="46" spans="2:74" ht="15">
      <c r="B46" s="16">
        <v>1969</v>
      </c>
      <c r="C46" s="33">
        <v>1216.0167549421844</v>
      </c>
      <c r="D46" s="33">
        <v>1645.0981118852978</v>
      </c>
      <c r="E46" s="33">
        <v>1781.1611098775732</v>
      </c>
      <c r="F46" s="33">
        <v>3978.224318432394</v>
      </c>
      <c r="G46" s="33">
        <v>4477.669459253986</v>
      </c>
      <c r="H46" s="33">
        <v>3684.2554479504224</v>
      </c>
      <c r="I46" s="33">
        <v>4850.291802978061</v>
      </c>
      <c r="J46" s="33">
        <v>5904.957869545411</v>
      </c>
      <c r="K46" s="33">
        <v>4433.1990239289025</v>
      </c>
      <c r="L46" s="33">
        <v>2963.1078902603144</v>
      </c>
      <c r="M46" s="33">
        <v>892.411552058705</v>
      </c>
      <c r="N46" s="33">
        <v>278.8013584311392</v>
      </c>
      <c r="O46" s="34">
        <f t="shared" si="2"/>
        <v>2998.7278688270903</v>
      </c>
      <c r="Q46" s="16">
        <v>1969</v>
      </c>
      <c r="R46" s="33">
        <f>('FY19 Spill Cost'!C46-'FY19 Spill Cost'!T46)*(1-$S$3)</f>
        <v>0</v>
      </c>
      <c r="S46" s="33">
        <f>('FY19 Spill Cost'!D46-'FY19 Spill Cost'!U46)*(1-$S$3)</f>
        <v>0</v>
      </c>
      <c r="T46" s="33">
        <f>('FY19 Spill Cost'!E46-'FY19 Spill Cost'!V46)*(1-$S$3)</f>
        <v>0</v>
      </c>
      <c r="U46" s="33">
        <f>('FY19 Spill Cost'!F46-'FY19 Spill Cost'!W46)*(1-$S$3)</f>
        <v>0</v>
      </c>
      <c r="V46" s="33">
        <f>('FY19 Spill Cost'!G46-'FY19 Spill Cost'!X46)*(1-$S$3)</f>
        <v>0</v>
      </c>
      <c r="W46" s="33">
        <f>('FY19 Spill Cost'!H46-'FY19 Spill Cost'!Y46)*(1-$S$3)</f>
        <v>0</v>
      </c>
      <c r="X46" s="33">
        <f>(('FY19 Spill Cost'!I46-'FY19 Spill Cost'!Z46)*15/30+('FY19 Spill Cost'!J46-'FY19 Spill Cost'!AA46)*15/30)*(1-$S$3)</f>
        <v>460.88095300000003</v>
      </c>
      <c r="Y46" s="33">
        <f>('FY19 Spill Cost'!K46-'FY19 Spill Cost'!AB46)*(1-$S$3)</f>
        <v>396.36534600000005</v>
      </c>
      <c r="Z46" s="33">
        <f>('FY19 Spill Cost'!L46-'FY19 Spill Cost'!AC46)*(1-$S$3)</f>
        <v>536.9861900000001</v>
      </c>
      <c r="AA46" s="33">
        <f>('FY19 Spill Cost'!M46-'FY19 Spill Cost'!AD46)*(1-$S$3)</f>
        <v>-31.678322</v>
      </c>
      <c r="AB46" s="33">
        <f>(('FY19 Spill Cost'!N46-'FY19 Spill Cost'!AE46)*15/31+('FY19 Spill Cost'!O46-'FY19 Spill Cost'!AF46)*16/31)*(1-$S$3)</f>
        <v>113.87746122580647</v>
      </c>
      <c r="AC46" s="33">
        <f>('FY19 Spill Cost'!P46-'FY19 Spill Cost'!AG46)*(1-$S$3)</f>
        <v>0</v>
      </c>
      <c r="AD46" s="34">
        <f t="shared" si="3"/>
        <v>122.66168036164385</v>
      </c>
      <c r="AF46" s="16">
        <v>1969</v>
      </c>
      <c r="AG46" s="33">
        <f t="shared" si="4"/>
        <v>1216.0167549421844</v>
      </c>
      <c r="AH46" s="33">
        <f t="shared" si="5"/>
        <v>1645.0981118852978</v>
      </c>
      <c r="AI46" s="33">
        <f t="shared" si="6"/>
        <v>1781.1611098775732</v>
      </c>
      <c r="AJ46" s="33">
        <f t="shared" si="7"/>
        <v>3978.224318432394</v>
      </c>
      <c r="AK46" s="33">
        <f t="shared" si="8"/>
        <v>4477.669459253986</v>
      </c>
      <c r="AL46" s="33">
        <f t="shared" si="9"/>
        <v>3684.2554479504224</v>
      </c>
      <c r="AM46" s="33">
        <f t="shared" si="10"/>
        <v>4389.410849978061</v>
      </c>
      <c r="AN46" s="33">
        <f t="shared" si="11"/>
        <v>5508.592523545411</v>
      </c>
      <c r="AO46" s="33">
        <f t="shared" si="12"/>
        <v>3896.2128339289025</v>
      </c>
      <c r="AP46" s="33">
        <f t="shared" si="13"/>
        <v>2994.7862122603146</v>
      </c>
      <c r="AQ46" s="33">
        <f t="shared" si="14"/>
        <v>778.5340908328985</v>
      </c>
      <c r="AR46" s="33">
        <f t="shared" si="15"/>
        <v>278.8013584311392</v>
      </c>
      <c r="AS46" s="34">
        <f t="shared" si="16"/>
        <v>2876.0661884654464</v>
      </c>
      <c r="AT46" s="33"/>
      <c r="AU46" s="16">
        <v>1969</v>
      </c>
      <c r="AV46" s="23">
        <f>'FY19 Aurora Prices for SecR'!AR45-'FY19 Aurora Prices for SecR'!AD45</f>
        <v>0.02517112916513753</v>
      </c>
      <c r="AW46" s="23">
        <f>'FY19 Aurora Prices for SecR'!AS45-'FY19 Aurora Prices for SecR'!AE45</f>
        <v>0.0005385482195841007</v>
      </c>
      <c r="AX46" s="23">
        <f>'FY19 Aurora Prices for SecR'!AT45-'FY19 Aurora Prices for SecR'!AF45</f>
        <v>-0.015986381294876395</v>
      </c>
      <c r="AY46" s="23">
        <f>'FY19 Aurora Prices for SecR'!AU45-'FY19 Aurora Prices for SecR'!AG45</f>
        <v>0.028578642875960014</v>
      </c>
      <c r="AZ46" s="23">
        <f>'FY19 Aurora Prices for SecR'!AV45-'FY19 Aurora Prices for SecR'!AH45</f>
        <v>0.03748160260067124</v>
      </c>
      <c r="BA46" s="23">
        <f>'FY19 Aurora Prices for SecR'!AW45-'FY19 Aurora Prices for SecR'!AI45</f>
        <v>0.021305794831434355</v>
      </c>
      <c r="BB46" s="23">
        <f>'FY19 Aurora Prices for SecR'!AX45-'FY19 Aurora Prices for SecR'!AJ45</f>
        <v>1.4233825451797983</v>
      </c>
      <c r="BC46" s="23">
        <f>'FY19 Aurora Prices for SecR'!AY45-'FY19 Aurora Prices for SecR'!AK45</f>
        <v>2.083601535392061</v>
      </c>
      <c r="BD46" s="23">
        <f>'FY19 Aurora Prices for SecR'!AZ45-'FY19 Aurora Prices for SecR'!AL45</f>
        <v>1.2965480187701264</v>
      </c>
      <c r="BE46" s="23">
        <f>'FY19 Aurora Prices for SecR'!BA45-'FY19 Aurora Prices for SecR'!AM45</f>
        <v>-0.22190996882737224</v>
      </c>
      <c r="BF46" s="23">
        <f>'FY19 Aurora Prices for SecR'!BB45-'FY19 Aurora Prices for SecR'!AN45</f>
        <v>-0.07259970941847271</v>
      </c>
      <c r="BG46" s="24">
        <f>'FY19 Aurora Prices for SecR'!BC45-'FY19 Aurora Prices for SecR'!AO45</f>
        <v>-0.18943799654642035</v>
      </c>
      <c r="BI46" s="16">
        <v>1969</v>
      </c>
      <c r="BJ46" s="41">
        <f t="shared" si="17"/>
        <v>22772.73501538211</v>
      </c>
      <c r="BK46" s="41">
        <f t="shared" si="18"/>
        <v>638.7805192810318</v>
      </c>
      <c r="BL46" s="41">
        <f t="shared" si="19"/>
        <v>-21184.89456368044</v>
      </c>
      <c r="BM46" s="41">
        <f t="shared" si="20"/>
        <v>84587.03554524248</v>
      </c>
      <c r="BN46" s="41">
        <f t="shared" si="21"/>
        <v>112781.91271127449</v>
      </c>
      <c r="BO46" s="41">
        <f t="shared" si="22"/>
        <v>58322.521075705095</v>
      </c>
      <c r="BP46" s="41">
        <f t="shared" si="29"/>
        <v>4498423.766986748</v>
      </c>
      <c r="BQ46" s="41">
        <f t="shared" si="23"/>
        <v>8539417.608891884</v>
      </c>
      <c r="BR46" s="41">
        <f t="shared" si="24"/>
        <v>3637171.4619868253</v>
      </c>
      <c r="BS46" s="41">
        <f t="shared" si="25"/>
        <v>-494442.248765454</v>
      </c>
      <c r="BT46" s="41">
        <f t="shared" si="26"/>
        <v>-42051.8834825314</v>
      </c>
      <c r="BU46" s="41">
        <f t="shared" si="27"/>
        <v>-38027.210958443124</v>
      </c>
      <c r="BV46" s="42">
        <f t="shared" si="28"/>
        <v>16358409.584962234</v>
      </c>
    </row>
    <row r="47" spans="2:74" ht="15">
      <c r="B47" s="16">
        <v>1970</v>
      </c>
      <c r="C47" s="33">
        <v>514.8958019708009</v>
      </c>
      <c r="D47" s="33">
        <v>430.6153132037013</v>
      </c>
      <c r="E47" s="33">
        <v>-100.02417612610103</v>
      </c>
      <c r="F47" s="33">
        <v>1758.2017601543732</v>
      </c>
      <c r="G47" s="33">
        <v>1492.9031384825323</v>
      </c>
      <c r="H47" s="33">
        <v>1745.992945541384</v>
      </c>
      <c r="I47" s="33">
        <v>1365.4710209738216</v>
      </c>
      <c r="J47" s="33">
        <v>3689.241233220267</v>
      </c>
      <c r="K47" s="33">
        <v>5410.015335752955</v>
      </c>
      <c r="L47" s="33">
        <v>1091.868606005746</v>
      </c>
      <c r="M47" s="33">
        <v>682.5960986222489</v>
      </c>
      <c r="N47" s="33">
        <v>112.19607608806453</v>
      </c>
      <c r="O47" s="34">
        <f t="shared" si="2"/>
        <v>1512.7708307062194</v>
      </c>
      <c r="Q47" s="16">
        <v>1970</v>
      </c>
      <c r="R47" s="33">
        <f>('FY19 Spill Cost'!C47-'FY19 Spill Cost'!T47)*(1-$S$3)</f>
        <v>0</v>
      </c>
      <c r="S47" s="33">
        <f>('FY19 Spill Cost'!D47-'FY19 Spill Cost'!U47)*(1-$S$3)</f>
        <v>0</v>
      </c>
      <c r="T47" s="33">
        <f>('FY19 Spill Cost'!E47-'FY19 Spill Cost'!V47)*(1-$S$3)</f>
        <v>0</v>
      </c>
      <c r="U47" s="33">
        <f>('FY19 Spill Cost'!F47-'FY19 Spill Cost'!W47)*(1-$S$3)</f>
        <v>0</v>
      </c>
      <c r="V47" s="33">
        <f>('FY19 Spill Cost'!G47-'FY19 Spill Cost'!X47)*(1-$S$3)</f>
        <v>0</v>
      </c>
      <c r="W47" s="33">
        <f>('FY19 Spill Cost'!H47-'FY19 Spill Cost'!Y47)*(1-$S$3)</f>
        <v>0</v>
      </c>
      <c r="X47" s="33">
        <f>(('FY19 Spill Cost'!I47-'FY19 Spill Cost'!Z47)*15/30+('FY19 Spill Cost'!J47-'FY19 Spill Cost'!AA47)*15/30)*(1-$S$3)</f>
        <v>881.5845220000001</v>
      </c>
      <c r="Y47" s="33">
        <f>('FY19 Spill Cost'!K47-'FY19 Spill Cost'!AB47)*(1-$S$3)</f>
        <v>953.440228</v>
      </c>
      <c r="Z47" s="33">
        <f>('FY19 Spill Cost'!L47-'FY19 Spill Cost'!AC47)*(1-$S$3)</f>
        <v>237.973736</v>
      </c>
      <c r="AA47" s="33">
        <f>('FY19 Spill Cost'!M47-'FY19 Spill Cost'!AD47)*(1-$S$3)</f>
        <v>-105.851954</v>
      </c>
      <c r="AB47" s="33">
        <f>(('FY19 Spill Cost'!N47-'FY19 Spill Cost'!AE47)*15/31+('FY19 Spill Cost'!O47-'FY19 Spill Cost'!AF47)*16/31)*(1-$S$3)</f>
        <v>113.8276133548387</v>
      </c>
      <c r="AC47" s="33">
        <f>('FY19 Spill Cost'!P47-'FY19 Spill Cost'!AG47)*(1-$S$3)</f>
        <v>0</v>
      </c>
      <c r="AD47" s="34">
        <f t="shared" si="3"/>
        <v>173.67298698082192</v>
      </c>
      <c r="AF47" s="16">
        <v>1970</v>
      </c>
      <c r="AG47" s="33">
        <f t="shared" si="4"/>
        <v>514.8958019708009</v>
      </c>
      <c r="AH47" s="33">
        <f t="shared" si="5"/>
        <v>430.6153132037013</v>
      </c>
      <c r="AI47" s="33">
        <f t="shared" si="6"/>
        <v>-100.02417612610103</v>
      </c>
      <c r="AJ47" s="33">
        <f t="shared" si="7"/>
        <v>1758.2017601543732</v>
      </c>
      <c r="AK47" s="33">
        <f t="shared" si="8"/>
        <v>1492.9031384825323</v>
      </c>
      <c r="AL47" s="33">
        <f t="shared" si="9"/>
        <v>1745.992945541384</v>
      </c>
      <c r="AM47" s="33">
        <f t="shared" si="10"/>
        <v>483.8864989738215</v>
      </c>
      <c r="AN47" s="33">
        <f t="shared" si="11"/>
        <v>2735.801005220267</v>
      </c>
      <c r="AO47" s="33">
        <f t="shared" si="12"/>
        <v>5172.041599752955</v>
      </c>
      <c r="AP47" s="33">
        <f t="shared" si="13"/>
        <v>1197.720560005746</v>
      </c>
      <c r="AQ47" s="33">
        <f t="shared" si="14"/>
        <v>568.7684852674101</v>
      </c>
      <c r="AR47" s="33">
        <f t="shared" si="15"/>
        <v>112.19607608806453</v>
      </c>
      <c r="AS47" s="34">
        <f t="shared" si="16"/>
        <v>1339.0978437253975</v>
      </c>
      <c r="AT47" s="33"/>
      <c r="AU47" s="16">
        <v>1970</v>
      </c>
      <c r="AV47" s="23">
        <f>'FY19 Aurora Prices for SecR'!AR46-'FY19 Aurora Prices for SecR'!AD46</f>
        <v>-0.09953433313679483</v>
      </c>
      <c r="AW47" s="23">
        <f>'FY19 Aurora Prices for SecR'!AS46-'FY19 Aurora Prices for SecR'!AE46</f>
        <v>0.026989042676312636</v>
      </c>
      <c r="AX47" s="23">
        <f>'FY19 Aurora Prices for SecR'!AT46-'FY19 Aurora Prices for SecR'!AF46</f>
        <v>0.006205615176980928</v>
      </c>
      <c r="AY47" s="23">
        <f>'FY19 Aurora Prices for SecR'!AU46-'FY19 Aurora Prices for SecR'!AG46</f>
        <v>-0.01244004823826117</v>
      </c>
      <c r="AZ47" s="23">
        <f>'FY19 Aurora Prices for SecR'!AV46-'FY19 Aurora Prices for SecR'!AH46</f>
        <v>0.01198576518469352</v>
      </c>
      <c r="BA47" s="23">
        <f>'FY19 Aurora Prices for SecR'!AW46-'FY19 Aurora Prices for SecR'!AI46</f>
        <v>0.008904433667574096</v>
      </c>
      <c r="BB47" s="23">
        <f>'FY19 Aurora Prices for SecR'!AX46-'FY19 Aurora Prices for SecR'!AJ46</f>
        <v>1.6011914295620393</v>
      </c>
      <c r="BC47" s="23">
        <f>'FY19 Aurora Prices for SecR'!AY46-'FY19 Aurora Prices for SecR'!AK46</f>
        <v>1.247498920271461</v>
      </c>
      <c r="BD47" s="23">
        <f>'FY19 Aurora Prices for SecR'!AZ46-'FY19 Aurora Prices for SecR'!AL46</f>
        <v>0.7241095417075574</v>
      </c>
      <c r="BE47" s="23">
        <f>'FY19 Aurora Prices for SecR'!BA46-'FY19 Aurora Prices for SecR'!AM46</f>
        <v>-0.4029856863842589</v>
      </c>
      <c r="BF47" s="23">
        <f>'FY19 Aurora Prices for SecR'!BB46-'FY19 Aurora Prices for SecR'!AN46</f>
        <v>0.12017867026792928</v>
      </c>
      <c r="BG47" s="24">
        <f>'FY19 Aurora Prices for SecR'!BC46-'FY19 Aurora Prices for SecR'!AO46</f>
        <v>-0.05666338920595493</v>
      </c>
      <c r="BI47" s="16">
        <v>1970</v>
      </c>
      <c r="BJ47" s="41">
        <f t="shared" si="17"/>
        <v>-38129.858851369536</v>
      </c>
      <c r="BK47" s="41">
        <f t="shared" si="18"/>
        <v>8379.386341957596</v>
      </c>
      <c r="BL47" s="41">
        <f t="shared" si="19"/>
        <v>-461.80938980226057</v>
      </c>
      <c r="BM47" s="41">
        <f t="shared" si="20"/>
        <v>-16272.853343433579</v>
      </c>
      <c r="BN47" s="41">
        <f t="shared" si="21"/>
        <v>12024.490102022915</v>
      </c>
      <c r="BO47" s="41">
        <f t="shared" si="22"/>
        <v>11551.479227145795</v>
      </c>
      <c r="BP47" s="41">
        <f t="shared" si="29"/>
        <v>557852.3388271178</v>
      </c>
      <c r="BQ47" s="41">
        <f t="shared" si="23"/>
        <v>2539204.147266857</v>
      </c>
      <c r="BR47" s="41">
        <f t="shared" si="24"/>
        <v>2696489.7641924648</v>
      </c>
      <c r="BS47" s="41">
        <f t="shared" si="25"/>
        <v>-359102.1960260182</v>
      </c>
      <c r="BT47" s="41">
        <f t="shared" si="26"/>
        <v>50855.25714580781</v>
      </c>
      <c r="BU47" s="41">
        <f t="shared" si="27"/>
        <v>-4577.335147266432</v>
      </c>
      <c r="BV47" s="42">
        <f t="shared" si="28"/>
        <v>5457812.810345484</v>
      </c>
    </row>
    <row r="48" spans="2:74" ht="15">
      <c r="B48" s="16">
        <v>1971</v>
      </c>
      <c r="C48" s="33">
        <v>81.17111018704529</v>
      </c>
      <c r="D48" s="33">
        <v>210.7012826054385</v>
      </c>
      <c r="E48" s="33">
        <v>311.5653226614751</v>
      </c>
      <c r="F48" s="33">
        <v>4294.06088403833</v>
      </c>
      <c r="G48" s="33">
        <v>5523.884575910386</v>
      </c>
      <c r="H48" s="33">
        <v>4642.727669470534</v>
      </c>
      <c r="I48" s="33">
        <v>4441.396426240403</v>
      </c>
      <c r="J48" s="33">
        <v>5936.220951435468</v>
      </c>
      <c r="K48" s="33">
        <v>5883.454854853041</v>
      </c>
      <c r="L48" s="33">
        <v>4626.921190002411</v>
      </c>
      <c r="M48" s="33">
        <v>2831.972169099056</v>
      </c>
      <c r="N48" s="33">
        <v>730.9499916327427</v>
      </c>
      <c r="O48" s="34">
        <f t="shared" si="2"/>
        <v>3279.295877323409</v>
      </c>
      <c r="Q48" s="16">
        <v>1971</v>
      </c>
      <c r="R48" s="33">
        <f>('FY19 Spill Cost'!C48-'FY19 Spill Cost'!T48)*(1-$S$3)</f>
        <v>0</v>
      </c>
      <c r="S48" s="33">
        <f>('FY19 Spill Cost'!D48-'FY19 Spill Cost'!U48)*(1-$S$3)</f>
        <v>0</v>
      </c>
      <c r="T48" s="33">
        <f>('FY19 Spill Cost'!E48-'FY19 Spill Cost'!V48)*(1-$S$3)</f>
        <v>0</v>
      </c>
      <c r="U48" s="33">
        <f>('FY19 Spill Cost'!F48-'FY19 Spill Cost'!W48)*(1-$S$3)</f>
        <v>0</v>
      </c>
      <c r="V48" s="33">
        <f>('FY19 Spill Cost'!G48-'FY19 Spill Cost'!X48)*(1-$S$3)</f>
        <v>0</v>
      </c>
      <c r="W48" s="33">
        <f>('FY19 Spill Cost'!H48-'FY19 Spill Cost'!Y48)*(1-$S$3)</f>
        <v>0</v>
      </c>
      <c r="X48" s="33">
        <f>(('FY19 Spill Cost'!I48-'FY19 Spill Cost'!Z48)*15/30+('FY19 Spill Cost'!J48-'FY19 Spill Cost'!AA48)*15/30)*(1-$S$3)</f>
        <v>637.42965</v>
      </c>
      <c r="Y48" s="33">
        <f>('FY19 Spill Cost'!K48-'FY19 Spill Cost'!AB48)*(1-$S$3)</f>
        <v>74.173632</v>
      </c>
      <c r="Z48" s="33">
        <f>('FY19 Spill Cost'!L48-'FY19 Spill Cost'!AC48)*(1-$S$3)</f>
        <v>144.48405400000001</v>
      </c>
      <c r="AA48" s="33">
        <f>('FY19 Spill Cost'!M48-'FY19 Spill Cost'!AD48)*(1-$S$3)</f>
        <v>-84.217978</v>
      </c>
      <c r="AB48" s="33">
        <f>(('FY19 Spill Cost'!N48-'FY19 Spill Cost'!AE48)*15/31+('FY19 Spill Cost'!O48-'FY19 Spill Cost'!AF48)*16/31)*(1-$S$3)</f>
        <v>137.18134090322582</v>
      </c>
      <c r="AC48" s="33">
        <f>('FY19 Spill Cost'!P48-'FY19 Spill Cost'!AG48)*(1-$S$3)</f>
        <v>0</v>
      </c>
      <c r="AD48" s="34">
        <f t="shared" si="3"/>
        <v>75.06481633424659</v>
      </c>
      <c r="AF48" s="16">
        <v>1971</v>
      </c>
      <c r="AG48" s="33">
        <f t="shared" si="4"/>
        <v>81.17111018704529</v>
      </c>
      <c r="AH48" s="33">
        <f t="shared" si="5"/>
        <v>210.7012826054385</v>
      </c>
      <c r="AI48" s="33">
        <f t="shared" si="6"/>
        <v>311.5653226614751</v>
      </c>
      <c r="AJ48" s="33">
        <f t="shared" si="7"/>
        <v>4294.06088403833</v>
      </c>
      <c r="AK48" s="33">
        <f t="shared" si="8"/>
        <v>5523.884575910386</v>
      </c>
      <c r="AL48" s="33">
        <f t="shared" si="9"/>
        <v>4642.727669470534</v>
      </c>
      <c r="AM48" s="33">
        <f t="shared" si="10"/>
        <v>3803.9667762404033</v>
      </c>
      <c r="AN48" s="33">
        <f t="shared" si="11"/>
        <v>5862.047319435468</v>
      </c>
      <c r="AO48" s="33">
        <f t="shared" si="12"/>
        <v>5738.9708008530415</v>
      </c>
      <c r="AP48" s="33">
        <f t="shared" si="13"/>
        <v>4711.139168002411</v>
      </c>
      <c r="AQ48" s="33">
        <f t="shared" si="14"/>
        <v>2694.7908281958303</v>
      </c>
      <c r="AR48" s="33">
        <f t="shared" si="15"/>
        <v>730.9499916327427</v>
      </c>
      <c r="AS48" s="34">
        <f t="shared" si="16"/>
        <v>3204.2310609891624</v>
      </c>
      <c r="AT48" s="33"/>
      <c r="AU48" s="16">
        <v>1971</v>
      </c>
      <c r="AV48" s="23">
        <f>'FY19 Aurora Prices for SecR'!AR47-'FY19 Aurora Prices for SecR'!AD47</f>
        <v>-0.02584299195197559</v>
      </c>
      <c r="AW48" s="23">
        <f>'FY19 Aurora Prices for SecR'!AS47-'FY19 Aurora Prices for SecR'!AE47</f>
        <v>0.00038995984195366873</v>
      </c>
      <c r="AX48" s="23">
        <f>'FY19 Aurora Prices for SecR'!AT47-'FY19 Aurora Prices for SecR'!AF47</f>
        <v>-0.025761667887380213</v>
      </c>
      <c r="AY48" s="23">
        <f>'FY19 Aurora Prices for SecR'!AU47-'FY19 Aurora Prices for SecR'!AG47</f>
        <v>0.07978848424007268</v>
      </c>
      <c r="AZ48" s="23">
        <f>'FY19 Aurora Prices for SecR'!AV47-'FY19 Aurora Prices for SecR'!AH47</f>
        <v>0.3801583468913705</v>
      </c>
      <c r="BA48" s="23">
        <f>'FY19 Aurora Prices for SecR'!AW47-'FY19 Aurora Prices for SecR'!AI47</f>
        <v>0.04500224830966815</v>
      </c>
      <c r="BB48" s="23">
        <f>'FY19 Aurora Prices for SecR'!AX47-'FY19 Aurora Prices for SecR'!AJ47</f>
        <v>1.108835819562234</v>
      </c>
      <c r="BC48" s="23">
        <f>'FY19 Aurora Prices for SecR'!AY47-'FY19 Aurora Prices for SecR'!AK47</f>
        <v>0.40226273812473856</v>
      </c>
      <c r="BD48" s="23">
        <f>'FY19 Aurora Prices for SecR'!AZ47-'FY19 Aurora Prices for SecR'!AL47</f>
        <v>0.575929835645689</v>
      </c>
      <c r="BE48" s="23">
        <f>'FY19 Aurora Prices for SecR'!BA47-'FY19 Aurora Prices for SecR'!AM47</f>
        <v>-0.4607223186281679</v>
      </c>
      <c r="BF48" s="23">
        <f>'FY19 Aurora Prices for SecR'!BB47-'FY19 Aurora Prices for SecR'!AN47</f>
        <v>0.08064539740158594</v>
      </c>
      <c r="BG48" s="24">
        <f>'FY19 Aurora Prices for SecR'!BC47-'FY19 Aurora Prices for SecR'!AO47</f>
        <v>-0.15250624974567373</v>
      </c>
      <c r="BI48" s="16">
        <v>1971</v>
      </c>
      <c r="BJ48" s="41">
        <f t="shared" si="17"/>
        <v>-1560.692034388771</v>
      </c>
      <c r="BK48" s="41">
        <f t="shared" si="18"/>
        <v>59.24099302112575</v>
      </c>
      <c r="BL48" s="41">
        <f t="shared" si="19"/>
        <v>-5971.673121516256</v>
      </c>
      <c r="BM48" s="41">
        <f t="shared" si="20"/>
        <v>254906.7572239716</v>
      </c>
      <c r="BN48" s="41">
        <f t="shared" si="21"/>
        <v>1411166.9569514708</v>
      </c>
      <c r="BO48" s="41">
        <f t="shared" si="22"/>
        <v>155237.35527785015</v>
      </c>
      <c r="BP48" s="41">
        <f t="shared" si="29"/>
        <v>3036941.724902427</v>
      </c>
      <c r="BQ48" s="41">
        <f t="shared" si="23"/>
        <v>1754413.905065274</v>
      </c>
      <c r="BR48" s="41">
        <f t="shared" si="24"/>
        <v>2379776.0472797044</v>
      </c>
      <c r="BS48" s="41">
        <f t="shared" si="25"/>
        <v>-1614872.058881364</v>
      </c>
      <c r="BT48" s="41">
        <f t="shared" si="26"/>
        <v>161687.9230769772</v>
      </c>
      <c r="BU48" s="41">
        <f t="shared" si="27"/>
        <v>-80261.59822238964</v>
      </c>
      <c r="BV48" s="42">
        <f t="shared" si="28"/>
        <v>7451523.888511037</v>
      </c>
    </row>
    <row r="49" spans="2:74" ht="15">
      <c r="B49" s="16">
        <v>1972</v>
      </c>
      <c r="C49" s="33">
        <v>686.2637894253555</v>
      </c>
      <c r="D49" s="33">
        <v>360.5351688801179</v>
      </c>
      <c r="E49" s="33">
        <v>1144.3109951227182</v>
      </c>
      <c r="F49" s="33">
        <v>4124.631821975281</v>
      </c>
      <c r="G49" s="33">
        <v>4908.479818379912</v>
      </c>
      <c r="H49" s="33">
        <v>6041.943458944552</v>
      </c>
      <c r="I49" s="33">
        <v>4527.040434215216</v>
      </c>
      <c r="J49" s="33">
        <v>5727.202104501601</v>
      </c>
      <c r="K49" s="33">
        <v>5564.288685347665</v>
      </c>
      <c r="L49" s="33">
        <v>4543.759463514762</v>
      </c>
      <c r="M49" s="33">
        <v>3148.4055687925284</v>
      </c>
      <c r="N49" s="33">
        <v>871.8830981368835</v>
      </c>
      <c r="O49" s="34">
        <f t="shared" si="2"/>
        <v>3465.274423115604</v>
      </c>
      <c r="Q49" s="16">
        <v>1972</v>
      </c>
      <c r="R49" s="33">
        <f>('FY19 Spill Cost'!C49-'FY19 Spill Cost'!T49)*(1-$S$3)</f>
        <v>0</v>
      </c>
      <c r="S49" s="33">
        <f>('FY19 Spill Cost'!D49-'FY19 Spill Cost'!U49)*(1-$S$3)</f>
        <v>0</v>
      </c>
      <c r="T49" s="33">
        <f>('FY19 Spill Cost'!E49-'FY19 Spill Cost'!V49)*(1-$S$3)</f>
        <v>0</v>
      </c>
      <c r="U49" s="33">
        <f>('FY19 Spill Cost'!F49-'FY19 Spill Cost'!W49)*(1-$S$3)</f>
        <v>0</v>
      </c>
      <c r="V49" s="33">
        <f>('FY19 Spill Cost'!G49-'FY19 Spill Cost'!X49)*(1-$S$3)</f>
        <v>0</v>
      </c>
      <c r="W49" s="33">
        <f>('FY19 Spill Cost'!H49-'FY19 Spill Cost'!Y49)*(1-$S$3)</f>
        <v>0</v>
      </c>
      <c r="X49" s="33">
        <f>(('FY19 Spill Cost'!I49-'FY19 Spill Cost'!Z49)*15/30+('FY19 Spill Cost'!J49-'FY19 Spill Cost'!AA49)*15/30)*(1-$S$3)</f>
        <v>596.093303</v>
      </c>
      <c r="Y49" s="33">
        <f>('FY19 Spill Cost'!K49-'FY19 Spill Cost'!AB49)*(1-$S$3)</f>
        <v>356.96060400000005</v>
      </c>
      <c r="Z49" s="33">
        <f>('FY19 Spill Cost'!L49-'FY19 Spill Cost'!AC49)*(1-$S$3)</f>
        <v>28.587754</v>
      </c>
      <c r="AA49" s="33">
        <f>('FY19 Spill Cost'!M49-'FY19 Spill Cost'!AD49)*(1-$S$3)</f>
        <v>-3.090568</v>
      </c>
      <c r="AB49" s="33">
        <f>(('FY19 Spill Cost'!N49-'FY19 Spill Cost'!AE49)*15/31+('FY19 Spill Cost'!O49-'FY19 Spill Cost'!AF49)*16/31)*(1-$S$3)</f>
        <v>146.9764475483871</v>
      </c>
      <c r="AC49" s="33">
        <f>('FY19 Spill Cost'!P49-'FY19 Spill Cost'!AG49)*(1-$S$3)</f>
        <v>0</v>
      </c>
      <c r="AD49" s="34">
        <f t="shared" si="3"/>
        <v>93.88129506849315</v>
      </c>
      <c r="AF49" s="16">
        <v>1972</v>
      </c>
      <c r="AG49" s="33">
        <f t="shared" si="4"/>
        <v>686.2637894253555</v>
      </c>
      <c r="AH49" s="33">
        <f t="shared" si="5"/>
        <v>360.5351688801179</v>
      </c>
      <c r="AI49" s="33">
        <f t="shared" si="6"/>
        <v>1144.3109951227182</v>
      </c>
      <c r="AJ49" s="33">
        <f t="shared" si="7"/>
        <v>4124.631821975281</v>
      </c>
      <c r="AK49" s="33">
        <f t="shared" si="8"/>
        <v>4908.479818379912</v>
      </c>
      <c r="AL49" s="33">
        <f t="shared" si="9"/>
        <v>6041.943458944552</v>
      </c>
      <c r="AM49" s="33">
        <f t="shared" si="10"/>
        <v>3930.947131215216</v>
      </c>
      <c r="AN49" s="33">
        <f t="shared" si="11"/>
        <v>5370.241500501601</v>
      </c>
      <c r="AO49" s="33">
        <f t="shared" si="12"/>
        <v>5535.700931347665</v>
      </c>
      <c r="AP49" s="33">
        <f t="shared" si="13"/>
        <v>4546.850031514761</v>
      </c>
      <c r="AQ49" s="33">
        <f t="shared" si="14"/>
        <v>3001.4291212441412</v>
      </c>
      <c r="AR49" s="33">
        <f t="shared" si="15"/>
        <v>871.8830981368835</v>
      </c>
      <c r="AS49" s="34">
        <f t="shared" si="16"/>
        <v>3371.39312804711</v>
      </c>
      <c r="AT49" s="33"/>
      <c r="AU49" s="16">
        <v>1972</v>
      </c>
      <c r="AV49" s="23">
        <f>'FY19 Aurora Prices for SecR'!AR48-'FY19 Aurora Prices for SecR'!AD48</f>
        <v>0.08933090317638204</v>
      </c>
      <c r="AW49" s="23">
        <f>'FY19 Aurora Prices for SecR'!AS48-'FY19 Aurora Prices for SecR'!AE48</f>
        <v>-0.016887862440992052</v>
      </c>
      <c r="AX49" s="23">
        <f>'FY19 Aurora Prices for SecR'!AT48-'FY19 Aurora Prices for SecR'!AF48</f>
        <v>0.06780867268962254</v>
      </c>
      <c r="AY49" s="23">
        <f>'FY19 Aurora Prices for SecR'!AU48-'FY19 Aurora Prices for SecR'!AG48</f>
        <v>0.016827353738982254</v>
      </c>
      <c r="AZ49" s="23">
        <f>'FY19 Aurora Prices for SecR'!AV48-'FY19 Aurora Prices for SecR'!AH48</f>
        <v>0.11377224113264361</v>
      </c>
      <c r="BA49" s="23">
        <f>'FY19 Aurora Prices for SecR'!AW48-'FY19 Aurora Prices for SecR'!AI48</f>
        <v>0.4817075060788323</v>
      </c>
      <c r="BB49" s="23">
        <f>'FY19 Aurora Prices for SecR'!AX48-'FY19 Aurora Prices for SecR'!AJ48</f>
        <v>1.6131589728594093</v>
      </c>
      <c r="BC49" s="23">
        <f>'FY19 Aurora Prices for SecR'!AY48-'FY19 Aurora Prices for SecR'!AK48</f>
        <v>1.360379304776906</v>
      </c>
      <c r="BD49" s="23">
        <f>'FY19 Aurora Prices for SecR'!AZ48-'FY19 Aurora Prices for SecR'!AL48</f>
        <v>0.07371660930415125</v>
      </c>
      <c r="BE49" s="23">
        <f>'FY19 Aurora Prices for SecR'!BA48-'FY19 Aurora Prices for SecR'!AM48</f>
        <v>-0.04645307334443949</v>
      </c>
      <c r="BF49" s="23">
        <f>'FY19 Aurora Prices for SecR'!BB48-'FY19 Aurora Prices for SecR'!AN48</f>
        <v>0.1591385610642284</v>
      </c>
      <c r="BG49" s="24">
        <f>'FY19 Aurora Prices for SecR'!BC48-'FY19 Aurora Prices for SecR'!AO48</f>
        <v>-0.17297712167104962</v>
      </c>
      <c r="BI49" s="16">
        <v>1972</v>
      </c>
      <c r="BJ49" s="41">
        <f t="shared" si="17"/>
        <v>45610.59571020042</v>
      </c>
      <c r="BK49" s="41">
        <f t="shared" si="18"/>
        <v>-4389.929871112021</v>
      </c>
      <c r="BL49" s="41">
        <f t="shared" si="19"/>
        <v>57730.092034219015</v>
      </c>
      <c r="BM49" s="41">
        <f t="shared" si="20"/>
        <v>51638.53920131205</v>
      </c>
      <c r="BN49" s="41">
        <f t="shared" si="21"/>
        <v>375277.55965824367</v>
      </c>
      <c r="BO49" s="41">
        <f t="shared" si="22"/>
        <v>2162463.9899997776</v>
      </c>
      <c r="BP49" s="41">
        <f t="shared" si="29"/>
        <v>4565694.698320161</v>
      </c>
      <c r="BQ49" s="41">
        <f t="shared" si="23"/>
        <v>5435340.656808724</v>
      </c>
      <c r="BR49" s="41">
        <f t="shared" si="24"/>
        <v>293812.634002163</v>
      </c>
      <c r="BS49" s="41">
        <f t="shared" si="25"/>
        <v>-157144.07755209092</v>
      </c>
      <c r="BT49" s="41">
        <f t="shared" si="26"/>
        <v>355366.47494935174</v>
      </c>
      <c r="BU49" s="41">
        <f t="shared" si="27"/>
        <v>-108587.39669953588</v>
      </c>
      <c r="BV49" s="42">
        <f t="shared" si="28"/>
        <v>13072813.836561412</v>
      </c>
    </row>
    <row r="50" spans="2:74" ht="15">
      <c r="B50" s="16">
        <v>1973</v>
      </c>
      <c r="C50" s="33">
        <v>589.7072178268136</v>
      </c>
      <c r="D50" s="33">
        <v>338.7248348730294</v>
      </c>
      <c r="E50" s="33">
        <v>765.3551873334407</v>
      </c>
      <c r="F50" s="33">
        <v>1503.177575588632</v>
      </c>
      <c r="G50" s="33">
        <v>386.42575002368494</v>
      </c>
      <c r="H50" s="33">
        <v>400.94052924617</v>
      </c>
      <c r="I50" s="33">
        <v>-6.392855752458771</v>
      </c>
      <c r="J50" s="33">
        <v>2362.214404111027</v>
      </c>
      <c r="K50" s="33">
        <v>71.73314890005398</v>
      </c>
      <c r="L50" s="33">
        <v>852.5622026309663</v>
      </c>
      <c r="M50" s="33">
        <v>376.8121323673179</v>
      </c>
      <c r="N50" s="33">
        <v>164.7194955889186</v>
      </c>
      <c r="O50" s="34">
        <f t="shared" si="2"/>
        <v>658.2320934536601</v>
      </c>
      <c r="Q50" s="16">
        <v>1973</v>
      </c>
      <c r="R50" s="33">
        <f>('FY19 Spill Cost'!C50-'FY19 Spill Cost'!T50)*(1-$S$3)</f>
        <v>0</v>
      </c>
      <c r="S50" s="33">
        <f>('FY19 Spill Cost'!D50-'FY19 Spill Cost'!U50)*(1-$S$3)</f>
        <v>0</v>
      </c>
      <c r="T50" s="33">
        <f>('FY19 Spill Cost'!E50-'FY19 Spill Cost'!V50)*(1-$S$3)</f>
        <v>0</v>
      </c>
      <c r="U50" s="33">
        <f>('FY19 Spill Cost'!F50-'FY19 Spill Cost'!W50)*(1-$S$3)</f>
        <v>0</v>
      </c>
      <c r="V50" s="33">
        <f>('FY19 Spill Cost'!G50-'FY19 Spill Cost'!X50)*(1-$S$3)</f>
        <v>0</v>
      </c>
      <c r="W50" s="33">
        <f>('FY19 Spill Cost'!H50-'FY19 Spill Cost'!Y50)*(1-$S$3)</f>
        <v>0</v>
      </c>
      <c r="X50" s="33">
        <f>(('FY19 Spill Cost'!I50-'FY19 Spill Cost'!Z50)*15/30+('FY19 Spill Cost'!J50-'FY19 Spill Cost'!AA50)*15/30)*(1-$S$3)</f>
        <v>655.200416</v>
      </c>
      <c r="Y50" s="33">
        <f>('FY19 Spill Cost'!K50-'FY19 Spill Cost'!AB50)*(1-$S$3)</f>
        <v>1126.512036</v>
      </c>
      <c r="Z50" s="33">
        <f>('FY19 Spill Cost'!L50-'FY19 Spill Cost'!AC50)*(1-$S$3)</f>
        <v>660.60891</v>
      </c>
      <c r="AA50" s="33">
        <f>('FY19 Spill Cost'!M50-'FY19 Spill Cost'!AD50)*(1-$S$3)</f>
        <v>-13.907556000000001</v>
      </c>
      <c r="AB50" s="33">
        <f>(('FY19 Spill Cost'!N50-'FY19 Spill Cost'!AE50)*15/31+('FY19 Spill Cost'!O50-'FY19 Spill Cost'!AF50)*16/31)*(1-$S$3)</f>
        <v>80.45446374193548</v>
      </c>
      <c r="AC50" s="33">
        <f>('FY19 Spill Cost'!P50-'FY19 Spill Cost'!AG50)*(1-$S$3)</f>
        <v>0</v>
      </c>
      <c r="AD50" s="34">
        <f t="shared" si="3"/>
        <v>209.4770055780822</v>
      </c>
      <c r="AF50" s="16">
        <v>1973</v>
      </c>
      <c r="AG50" s="33">
        <f t="shared" si="4"/>
        <v>589.7072178268136</v>
      </c>
      <c r="AH50" s="33">
        <f t="shared" si="5"/>
        <v>338.7248348730294</v>
      </c>
      <c r="AI50" s="33">
        <f t="shared" si="6"/>
        <v>765.3551873334407</v>
      </c>
      <c r="AJ50" s="33">
        <f t="shared" si="7"/>
        <v>1503.177575588632</v>
      </c>
      <c r="AK50" s="33">
        <f t="shared" si="8"/>
        <v>386.42575002368494</v>
      </c>
      <c r="AL50" s="33">
        <f t="shared" si="9"/>
        <v>400.94052924617</v>
      </c>
      <c r="AM50" s="33">
        <f t="shared" si="10"/>
        <v>-661.5932717524588</v>
      </c>
      <c r="AN50" s="33">
        <f t="shared" si="11"/>
        <v>1235.7023681110268</v>
      </c>
      <c r="AO50" s="33">
        <f t="shared" si="12"/>
        <v>-588.8757610999461</v>
      </c>
      <c r="AP50" s="33">
        <f t="shared" si="13"/>
        <v>866.4697586309663</v>
      </c>
      <c r="AQ50" s="33">
        <f t="shared" si="14"/>
        <v>296.3576686253824</v>
      </c>
      <c r="AR50" s="33">
        <f t="shared" si="15"/>
        <v>164.7194955889186</v>
      </c>
      <c r="AS50" s="34">
        <f t="shared" si="16"/>
        <v>448.755087875578</v>
      </c>
      <c r="AT50" s="33"/>
      <c r="AU50" s="16">
        <v>1973</v>
      </c>
      <c r="AV50" s="23">
        <f>'FY19 Aurora Prices for SecR'!AR49-'FY19 Aurora Prices for SecR'!AD49</f>
        <v>-0.04013120666628467</v>
      </c>
      <c r="AW50" s="23">
        <f>'FY19 Aurora Prices for SecR'!AS49-'FY19 Aurora Prices for SecR'!AE49</f>
        <v>-0.12579628584618874</v>
      </c>
      <c r="AX50" s="23">
        <f>'FY19 Aurora Prices for SecR'!AT49-'FY19 Aurora Prices for SecR'!AF49</f>
        <v>-0.08923902870505529</v>
      </c>
      <c r="AY50" s="23">
        <f>'FY19 Aurora Prices for SecR'!AU49-'FY19 Aurora Prices for SecR'!AG49</f>
        <v>-0.06697010019772165</v>
      </c>
      <c r="AZ50" s="23">
        <f>'FY19 Aurora Prices for SecR'!AV49-'FY19 Aurora Prices for SecR'!AH49</f>
        <v>-0.04785046577452334</v>
      </c>
      <c r="BA50" s="23">
        <f>'FY19 Aurora Prices for SecR'!AW49-'FY19 Aurora Prices for SecR'!AI49</f>
        <v>0.047580693130740315</v>
      </c>
      <c r="BB50" s="23">
        <f>'FY19 Aurora Prices for SecR'!AX49-'FY19 Aurora Prices for SecR'!AJ49</f>
        <v>1.5282427517572863</v>
      </c>
      <c r="BC50" s="23">
        <f>'FY19 Aurora Prices for SecR'!AY49-'FY19 Aurora Prices for SecR'!AK49</f>
        <v>1.0573282977586373</v>
      </c>
      <c r="BD50" s="23">
        <f>'FY19 Aurora Prices for SecR'!AZ49-'FY19 Aurora Prices for SecR'!AL49</f>
        <v>0.8062713676028928</v>
      </c>
      <c r="BE50" s="23">
        <f>'FY19 Aurora Prices for SecR'!BA49-'FY19 Aurora Prices for SecR'!AM49</f>
        <v>-0.1333741749486137</v>
      </c>
      <c r="BF50" s="23">
        <f>'FY19 Aurora Prices for SecR'!BB49-'FY19 Aurora Prices for SecR'!AN49</f>
        <v>0.11916449454526656</v>
      </c>
      <c r="BG50" s="24">
        <f>'FY19 Aurora Prices for SecR'!BC49-'FY19 Aurora Prices for SecR'!AO49</f>
        <v>-0.01175915241245562</v>
      </c>
      <c r="BI50" s="16">
        <v>1973</v>
      </c>
      <c r="BJ50" s="41">
        <f t="shared" si="17"/>
        <v>-17607.25270001846</v>
      </c>
      <c r="BK50" s="41">
        <f t="shared" si="18"/>
        <v>-30722.045154792184</v>
      </c>
      <c r="BL50" s="41">
        <f t="shared" si="19"/>
        <v>-50814.867827816845</v>
      </c>
      <c r="BM50" s="41">
        <f t="shared" si="20"/>
        <v>-74896.95692199141</v>
      </c>
      <c r="BN50" s="41">
        <f t="shared" si="21"/>
        <v>-12425.718228606715</v>
      </c>
      <c r="BO50" s="41">
        <f t="shared" si="22"/>
        <v>14174.232016303802</v>
      </c>
      <c r="BP50" s="41">
        <f t="shared" si="29"/>
        <v>-727974.0879603003</v>
      </c>
      <c r="BQ50" s="41">
        <f t="shared" si="23"/>
        <v>972068.0525698949</v>
      </c>
      <c r="BR50" s="41">
        <f t="shared" si="24"/>
        <v>-341851.4389801785</v>
      </c>
      <c r="BS50" s="41">
        <f t="shared" si="25"/>
        <v>-85980.12874644522</v>
      </c>
      <c r="BT50" s="41">
        <f t="shared" si="26"/>
        <v>26274.59196904983</v>
      </c>
      <c r="BU50" s="41">
        <f t="shared" si="27"/>
        <v>-1394.6123908316915</v>
      </c>
      <c r="BV50" s="42">
        <f t="shared" si="28"/>
        <v>-331150.23235573276</v>
      </c>
    </row>
    <row r="51" spans="2:74" ht="15">
      <c r="B51" s="16">
        <v>1974</v>
      </c>
      <c r="C51" s="33">
        <v>151.82877961110046</v>
      </c>
      <c r="D51" s="33">
        <v>87.7088632927449</v>
      </c>
      <c r="E51" s="33">
        <v>1635.0696871692533</v>
      </c>
      <c r="F51" s="33">
        <v>5377.797218842621</v>
      </c>
      <c r="G51" s="33">
        <v>5185.257653465337</v>
      </c>
      <c r="H51" s="33">
        <v>5710.2974320744415</v>
      </c>
      <c r="I51" s="33">
        <v>5065.134886867404</v>
      </c>
      <c r="J51" s="33">
        <v>5417.910481774006</v>
      </c>
      <c r="K51" s="33">
        <v>5705.9053611550335</v>
      </c>
      <c r="L51" s="33">
        <v>5188.287414915672</v>
      </c>
      <c r="M51" s="33">
        <v>3078.8095545460474</v>
      </c>
      <c r="N51" s="33">
        <v>779.0257611339626</v>
      </c>
      <c r="O51" s="34">
        <f t="shared" si="2"/>
        <v>3609.4416536540602</v>
      </c>
      <c r="Q51" s="16">
        <v>1974</v>
      </c>
      <c r="R51" s="33">
        <f>('FY19 Spill Cost'!C51-'FY19 Spill Cost'!T51)*(1-$S$3)</f>
        <v>0</v>
      </c>
      <c r="S51" s="33">
        <f>('FY19 Spill Cost'!D51-'FY19 Spill Cost'!U51)*(1-$S$3)</f>
        <v>0</v>
      </c>
      <c r="T51" s="33">
        <f>('FY19 Spill Cost'!E51-'FY19 Spill Cost'!V51)*(1-$S$3)</f>
        <v>0</v>
      </c>
      <c r="U51" s="33">
        <f>('FY19 Spill Cost'!F51-'FY19 Spill Cost'!W51)*(1-$S$3)</f>
        <v>0</v>
      </c>
      <c r="V51" s="33">
        <f>('FY19 Spill Cost'!G51-'FY19 Spill Cost'!X51)*(1-$S$3)</f>
        <v>0</v>
      </c>
      <c r="W51" s="33">
        <f>('FY19 Spill Cost'!H51-'FY19 Spill Cost'!Y51)*(1-$S$3)</f>
        <v>0</v>
      </c>
      <c r="X51" s="33">
        <f>(('FY19 Spill Cost'!I51-'FY19 Spill Cost'!Z51)*15/30+('FY19 Spill Cost'!J51-'FY19 Spill Cost'!AA51)*15/30)*(1-$S$3)</f>
        <v>436.929051</v>
      </c>
      <c r="Y51" s="33">
        <f>('FY19 Spill Cost'!K51-'FY19 Spill Cost'!AB51)*(1-$S$3)</f>
        <v>594.161698</v>
      </c>
      <c r="Z51" s="33">
        <f>('FY19 Spill Cost'!L51-'FY19 Spill Cost'!AC51)*(1-$S$3)</f>
        <v>28.587754</v>
      </c>
      <c r="AA51" s="33">
        <f>('FY19 Spill Cost'!M51-'FY19 Spill Cost'!AD51)*(1-$S$3)</f>
        <v>47.131162</v>
      </c>
      <c r="AB51" s="33">
        <f>(('FY19 Spill Cost'!N51-'FY19 Spill Cost'!AE51)*15/31+('FY19 Spill Cost'!O51-'FY19 Spill Cost'!AF51)*16/31)*(1-$S$3)</f>
        <v>133.61721812903227</v>
      </c>
      <c r="AC51" s="33">
        <f>('FY19 Spill Cost'!P51-'FY19 Spill Cost'!AG51)*(1-$S$3)</f>
        <v>0</v>
      </c>
      <c r="AD51" s="34">
        <f t="shared" si="3"/>
        <v>104.07593581369862</v>
      </c>
      <c r="AF51" s="16">
        <v>1974</v>
      </c>
      <c r="AG51" s="33">
        <f t="shared" si="4"/>
        <v>151.82877961110046</v>
      </c>
      <c r="AH51" s="33">
        <f t="shared" si="5"/>
        <v>87.7088632927449</v>
      </c>
      <c r="AI51" s="33">
        <f t="shared" si="6"/>
        <v>1635.0696871692533</v>
      </c>
      <c r="AJ51" s="33">
        <f t="shared" si="7"/>
        <v>5377.797218842621</v>
      </c>
      <c r="AK51" s="33">
        <f t="shared" si="8"/>
        <v>5185.257653465337</v>
      </c>
      <c r="AL51" s="33">
        <f t="shared" si="9"/>
        <v>5710.2974320744415</v>
      </c>
      <c r="AM51" s="33">
        <f t="shared" si="10"/>
        <v>4628.205835867404</v>
      </c>
      <c r="AN51" s="33">
        <f t="shared" si="11"/>
        <v>4823.748783774006</v>
      </c>
      <c r="AO51" s="33">
        <f t="shared" si="12"/>
        <v>5677.317607155033</v>
      </c>
      <c r="AP51" s="33">
        <f t="shared" si="13"/>
        <v>5141.156252915673</v>
      </c>
      <c r="AQ51" s="33">
        <f t="shared" si="14"/>
        <v>2945.192336417015</v>
      </c>
      <c r="AR51" s="33">
        <f t="shared" si="15"/>
        <v>779.0257611339626</v>
      </c>
      <c r="AS51" s="34">
        <f t="shared" si="16"/>
        <v>3505.3657178403614</v>
      </c>
      <c r="AT51" s="33"/>
      <c r="AU51" s="16">
        <v>1974</v>
      </c>
      <c r="AV51" s="23">
        <f>'FY19 Aurora Prices for SecR'!AR50-'FY19 Aurora Prices for SecR'!AD50</f>
        <v>-0.02712482406252903</v>
      </c>
      <c r="AW51" s="23">
        <f>'FY19 Aurora Prices for SecR'!AS50-'FY19 Aurora Prices for SecR'!AE50</f>
        <v>-0.021185417975488008</v>
      </c>
      <c r="AX51" s="23">
        <f>'FY19 Aurora Prices for SecR'!AT50-'FY19 Aurora Prices for SecR'!AF50</f>
        <v>0.005522636700725059</v>
      </c>
      <c r="AY51" s="23">
        <f>'FY19 Aurora Prices for SecR'!AU50-'FY19 Aurora Prices for SecR'!AG50</f>
        <v>0.49157424387373716</v>
      </c>
      <c r="AZ51" s="23">
        <f>'FY19 Aurora Prices for SecR'!AV50-'FY19 Aurora Prices for SecR'!AH50</f>
        <v>0.44477436457357555</v>
      </c>
      <c r="BA51" s="23">
        <f>'FY19 Aurora Prices for SecR'!AW50-'FY19 Aurora Prices for SecR'!AI50</f>
        <v>0.37765701733638757</v>
      </c>
      <c r="BB51" s="23">
        <f>'FY19 Aurora Prices for SecR'!AX50-'FY19 Aurora Prices for SecR'!AJ50</f>
        <v>1.3756024532185531</v>
      </c>
      <c r="BC51" s="23">
        <f>'FY19 Aurora Prices for SecR'!AY50-'FY19 Aurora Prices for SecR'!AK50</f>
        <v>2.0197770457554896</v>
      </c>
      <c r="BD51" s="23">
        <f>'FY19 Aurora Prices for SecR'!AZ50-'FY19 Aurora Prices for SecR'!AL50</f>
        <v>0.06844381789367038</v>
      </c>
      <c r="BE51" s="23">
        <f>'FY19 Aurora Prices for SecR'!BA50-'FY19 Aurora Prices for SecR'!AM50</f>
        <v>0.13292337239276897</v>
      </c>
      <c r="BF51" s="23">
        <f>'FY19 Aurora Prices for SecR'!BB50-'FY19 Aurora Prices for SecR'!AN50</f>
        <v>0.051579326198982756</v>
      </c>
      <c r="BG51" s="24">
        <f>'FY19 Aurora Prices for SecR'!BC50-'FY19 Aurora Prices for SecR'!AO50</f>
        <v>-0.1845301262537653</v>
      </c>
      <c r="BI51" s="16">
        <v>1974</v>
      </c>
      <c r="BJ51" s="41">
        <f t="shared" si="17"/>
        <v>-3064.036727327218</v>
      </c>
      <c r="BK51" s="41">
        <f t="shared" si="18"/>
        <v>-1339.7253778174631</v>
      </c>
      <c r="BL51" s="41">
        <f t="shared" si="19"/>
        <v>6718.242521777345</v>
      </c>
      <c r="BM51" s="41">
        <f t="shared" si="20"/>
        <v>1966828.431559783</v>
      </c>
      <c r="BN51" s="41">
        <f t="shared" si="21"/>
        <v>1549813.2235960516</v>
      </c>
      <c r="BO51" s="41">
        <f t="shared" si="22"/>
        <v>1602304.6849515438</v>
      </c>
      <c r="BP51" s="41">
        <f t="shared" si="29"/>
        <v>4583931.33731013</v>
      </c>
      <c r="BQ51" s="41">
        <f t="shared" si="23"/>
        <v>7248715.418560527</v>
      </c>
      <c r="BR51" s="41">
        <f t="shared" si="24"/>
        <v>279775.65054862626</v>
      </c>
      <c r="BS51" s="41">
        <f t="shared" si="25"/>
        <v>508434.59138897766</v>
      </c>
      <c r="BT51" s="41">
        <f t="shared" si="26"/>
        <v>113021.81096166527</v>
      </c>
      <c r="BU51" s="41">
        <f t="shared" si="27"/>
        <v>-103502.67988102975</v>
      </c>
      <c r="BV51" s="42">
        <f t="shared" si="28"/>
        <v>17751636.94941291</v>
      </c>
    </row>
    <row r="52" spans="2:74" ht="15">
      <c r="B52" s="16">
        <v>1975</v>
      </c>
      <c r="C52" s="33">
        <v>46.861636314121924</v>
      </c>
      <c r="D52" s="33">
        <v>300.7812264897301</v>
      </c>
      <c r="E52" s="33">
        <v>-115.43842895602242</v>
      </c>
      <c r="F52" s="33">
        <v>1931.9742180960595</v>
      </c>
      <c r="G52" s="33">
        <v>2055.79871034844</v>
      </c>
      <c r="H52" s="33">
        <v>2551.057039967923</v>
      </c>
      <c r="I52" s="33">
        <v>1294.5212839658448</v>
      </c>
      <c r="J52" s="33">
        <v>4695.676638882809</v>
      </c>
      <c r="K52" s="33">
        <v>6025.487744910645</v>
      </c>
      <c r="L52" s="33">
        <v>4945.207789771262</v>
      </c>
      <c r="M52" s="33">
        <v>1901.4394582106677</v>
      </c>
      <c r="N52" s="33">
        <v>986.9564935110477</v>
      </c>
      <c r="O52" s="34">
        <f t="shared" si="2"/>
        <v>2220.1674898211986</v>
      </c>
      <c r="Q52" s="16">
        <v>1975</v>
      </c>
      <c r="R52" s="33">
        <f>('FY19 Spill Cost'!C52-'FY19 Spill Cost'!T52)*(1-$S$3)</f>
        <v>0</v>
      </c>
      <c r="S52" s="33">
        <f>('FY19 Spill Cost'!D52-'FY19 Spill Cost'!U52)*(1-$S$3)</f>
        <v>0</v>
      </c>
      <c r="T52" s="33">
        <f>('FY19 Spill Cost'!E52-'FY19 Spill Cost'!V52)*(1-$S$3)</f>
        <v>0</v>
      </c>
      <c r="U52" s="33">
        <f>('FY19 Spill Cost'!F52-'FY19 Spill Cost'!W52)*(1-$S$3)</f>
        <v>0</v>
      </c>
      <c r="V52" s="33">
        <f>('FY19 Spill Cost'!G52-'FY19 Spill Cost'!X52)*(1-$S$3)</f>
        <v>0</v>
      </c>
      <c r="W52" s="33">
        <f>('FY19 Spill Cost'!H52-'FY19 Spill Cost'!Y52)*(1-$S$3)</f>
        <v>0</v>
      </c>
      <c r="X52" s="33">
        <f>(('FY19 Spill Cost'!I52-'FY19 Spill Cost'!Z52)*15/30+('FY19 Spill Cost'!J52-'FY19 Spill Cost'!AA52)*15/30)*(1-$S$3)</f>
        <v>893.9467940000001</v>
      </c>
      <c r="Y52" s="33">
        <f>('FY19 Spill Cost'!K52-'FY19 Spill Cost'!AB52)*(1-$S$3)</f>
        <v>823.636372</v>
      </c>
      <c r="Z52" s="33">
        <f>('FY19 Spill Cost'!L52-'FY19 Spill Cost'!AC52)*(1-$S$3)</f>
        <v>227.15674800000002</v>
      </c>
      <c r="AA52" s="33">
        <f>('FY19 Spill Cost'!M52-'FY19 Spill Cost'!AD52)*(1-$S$3)</f>
        <v>-7.726420000000001</v>
      </c>
      <c r="AB52" s="33">
        <f>(('FY19 Spill Cost'!N52-'FY19 Spill Cost'!AE52)*15/31+('FY19 Spill Cost'!O52-'FY19 Spill Cost'!AF52)*16/31)*(1-$S$3)</f>
        <v>95.75776012903226</v>
      </c>
      <c r="AC52" s="33">
        <f>('FY19 Spill Cost'!P52-'FY19 Spill Cost'!AG52)*(1-$S$3)</f>
        <v>0</v>
      </c>
      <c r="AD52" s="34">
        <f t="shared" si="3"/>
        <v>169.57480913972603</v>
      </c>
      <c r="AF52" s="16">
        <v>1975</v>
      </c>
      <c r="AG52" s="33">
        <f t="shared" si="4"/>
        <v>46.861636314121924</v>
      </c>
      <c r="AH52" s="33">
        <f t="shared" si="5"/>
        <v>300.7812264897301</v>
      </c>
      <c r="AI52" s="33">
        <f t="shared" si="6"/>
        <v>-115.43842895602242</v>
      </c>
      <c r="AJ52" s="33">
        <f t="shared" si="7"/>
        <v>1931.9742180960595</v>
      </c>
      <c r="AK52" s="33">
        <f t="shared" si="8"/>
        <v>2055.79871034844</v>
      </c>
      <c r="AL52" s="33">
        <f t="shared" si="9"/>
        <v>2551.057039967923</v>
      </c>
      <c r="AM52" s="33">
        <f t="shared" si="10"/>
        <v>400.5744899658447</v>
      </c>
      <c r="AN52" s="33">
        <f t="shared" si="11"/>
        <v>3872.040266882809</v>
      </c>
      <c r="AO52" s="33">
        <f t="shared" si="12"/>
        <v>5798.330996910645</v>
      </c>
      <c r="AP52" s="33">
        <f t="shared" si="13"/>
        <v>4952.9342097712615</v>
      </c>
      <c r="AQ52" s="33">
        <f>M52-AB52</f>
        <v>1805.6816980816354</v>
      </c>
      <c r="AR52" s="33">
        <f t="shared" si="15"/>
        <v>986.9564935110477</v>
      </c>
      <c r="AS52" s="34">
        <f t="shared" si="16"/>
        <v>2050.5926806814728</v>
      </c>
      <c r="AT52" s="33"/>
      <c r="AU52" s="16">
        <v>1975</v>
      </c>
      <c r="AV52" s="23">
        <f>'FY19 Aurora Prices for SecR'!AR51-'FY19 Aurora Prices for SecR'!AD51</f>
        <v>-0.06489548144800494</v>
      </c>
      <c r="AW52" s="23">
        <f>'FY19 Aurora Prices for SecR'!AS51-'FY19 Aurora Prices for SecR'!AE51</f>
        <v>-0.06037788682105116</v>
      </c>
      <c r="AX52" s="23">
        <f>'FY19 Aurora Prices for SecR'!AT51-'FY19 Aurora Prices for SecR'!AF51</f>
        <v>0.009179317823022615</v>
      </c>
      <c r="AY52" s="23">
        <f>'FY19 Aurora Prices for SecR'!AU51-'FY19 Aurora Prices for SecR'!AG51</f>
        <v>0.00387948687359696</v>
      </c>
      <c r="AZ52" s="23">
        <f>'FY19 Aurora Prices for SecR'!AV51-'FY19 Aurora Prices for SecR'!AH51</f>
        <v>-0.0075371503830048425</v>
      </c>
      <c r="BA52" s="23">
        <f>'FY19 Aurora Prices for SecR'!AW51-'FY19 Aurora Prices for SecR'!AI51</f>
        <v>0.02727168652442913</v>
      </c>
      <c r="BB52" s="23">
        <f>'FY19 Aurora Prices for SecR'!AX51-'FY19 Aurora Prices for SecR'!AJ51</f>
        <v>1.6114377148945778</v>
      </c>
      <c r="BC52" s="23">
        <f>'FY19 Aurora Prices for SecR'!AY51-'FY19 Aurora Prices for SecR'!AK51</f>
        <v>2.1653061440555454</v>
      </c>
      <c r="BD52" s="23">
        <f>'FY19 Aurora Prices for SecR'!AZ51-'FY19 Aurora Prices for SecR'!AL51</f>
        <v>0.7609152424666572</v>
      </c>
      <c r="BE52" s="23">
        <f>'FY19 Aurora Prices for SecR'!BA51-'FY19 Aurora Prices for SecR'!AM51</f>
        <v>-0.1607437059223411</v>
      </c>
      <c r="BF52" s="23">
        <f>'FY19 Aurora Prices for SecR'!BB51-'FY19 Aurora Prices for SecR'!AN51</f>
        <v>-0.04113480506406475</v>
      </c>
      <c r="BG52" s="24">
        <f>'FY19 Aurora Prices for SecR'!BC51-'FY19 Aurora Prices for SecR'!AO51</f>
        <v>-0.16853227615359145</v>
      </c>
      <c r="BI52" s="16">
        <v>1975</v>
      </c>
      <c r="BJ52" s="41">
        <f t="shared" si="17"/>
        <v>-2262.584686834413</v>
      </c>
      <c r="BK52" s="41">
        <f t="shared" si="18"/>
        <v>-13093.745627494487</v>
      </c>
      <c r="BL52" s="41">
        <f t="shared" si="19"/>
        <v>-788.3766451130434</v>
      </c>
      <c r="BM52" s="41">
        <f t="shared" si="20"/>
        <v>5576.331052708172</v>
      </c>
      <c r="BN52" s="41">
        <f t="shared" si="21"/>
        <v>-10412.548632920183</v>
      </c>
      <c r="BO52" s="41">
        <f t="shared" si="22"/>
        <v>51691.71952965785</v>
      </c>
      <c r="BP52" s="41">
        <f t="shared" si="29"/>
        <v>464760.6053440476</v>
      </c>
      <c r="BQ52" s="41">
        <f t="shared" si="23"/>
        <v>6237809.5194543945</v>
      </c>
      <c r="BR52" s="41">
        <f t="shared" si="24"/>
        <v>3176667.6742196623</v>
      </c>
      <c r="BS52" s="41">
        <f t="shared" si="25"/>
        <v>-592337.8320507219</v>
      </c>
      <c r="BT52" s="41">
        <f t="shared" si="26"/>
        <v>-55261.61530580309</v>
      </c>
      <c r="BU52" s="41">
        <f t="shared" si="27"/>
        <v>-119760.49750750861</v>
      </c>
      <c r="BV52" s="42">
        <f t="shared" si="28"/>
        <v>9142588.649144074</v>
      </c>
    </row>
    <row r="53" spans="2:74" ht="15">
      <c r="B53" s="16">
        <v>1976</v>
      </c>
      <c r="C53" s="33">
        <v>1344.6319820362712</v>
      </c>
      <c r="D53" s="33">
        <v>1929.4653967946228</v>
      </c>
      <c r="E53" s="33">
        <v>4009.620772987456</v>
      </c>
      <c r="F53" s="33">
        <v>3991.5374697562825</v>
      </c>
      <c r="G53" s="33">
        <v>3712.544875872337</v>
      </c>
      <c r="H53" s="33">
        <v>4622.152576946857</v>
      </c>
      <c r="I53" s="33">
        <v>4581.354260093049</v>
      </c>
      <c r="J53" s="33">
        <v>5940.116540505583</v>
      </c>
      <c r="K53" s="33">
        <v>4590.353606273363</v>
      </c>
      <c r="L53" s="33">
        <v>4262.267902147725</v>
      </c>
      <c r="M53" s="33">
        <v>3864.9935976420957</v>
      </c>
      <c r="N53" s="33">
        <v>3274.778662842546</v>
      </c>
      <c r="O53" s="34">
        <f t="shared" si="2"/>
        <v>3847.1577126247944</v>
      </c>
      <c r="Q53" s="16">
        <v>1976</v>
      </c>
      <c r="R53" s="33">
        <f>('FY19 Spill Cost'!C53-'FY19 Spill Cost'!T53)*(1-$S$3)</f>
        <v>0</v>
      </c>
      <c r="S53" s="33">
        <f>('FY19 Spill Cost'!D53-'FY19 Spill Cost'!U53)*(1-$S$3)</f>
        <v>0</v>
      </c>
      <c r="T53" s="33">
        <f>('FY19 Spill Cost'!E53-'FY19 Spill Cost'!V53)*(1-$S$3)</f>
        <v>0</v>
      </c>
      <c r="U53" s="33">
        <f>('FY19 Spill Cost'!F53-'FY19 Spill Cost'!W53)*(1-$S$3)</f>
        <v>0</v>
      </c>
      <c r="V53" s="33">
        <f>('FY19 Spill Cost'!G53-'FY19 Spill Cost'!X53)*(1-$S$3)</f>
        <v>0</v>
      </c>
      <c r="W53" s="33">
        <f>('FY19 Spill Cost'!H53-'FY19 Spill Cost'!Y53)*(1-$S$3)</f>
        <v>0</v>
      </c>
      <c r="X53" s="33">
        <f>(('FY19 Spill Cost'!I53-'FY19 Spill Cost'!Z53)*15/30+('FY19 Spill Cost'!J53-'FY19 Spill Cost'!AA53)*15/30)*(1-$S$3)</f>
        <v>593.389056</v>
      </c>
      <c r="Y53" s="33">
        <f>('FY19 Spill Cost'!K53-'FY19 Spill Cost'!AB53)*(1-$S$3)</f>
        <v>264.243564</v>
      </c>
      <c r="Z53" s="33">
        <f>('FY19 Spill Cost'!L53-'FY19 Spill Cost'!AC53)*(1-$S$3)</f>
        <v>523.0786340000001</v>
      </c>
      <c r="AA53" s="33">
        <f>('FY19 Spill Cost'!M53-'FY19 Spill Cost'!AD53)*(1-$S$3)</f>
        <v>-65.67457</v>
      </c>
      <c r="AB53" s="33">
        <f>(('FY19 Spill Cost'!N53-'FY19 Spill Cost'!AE53)*15/31+('FY19 Spill Cost'!O53-'FY19 Spill Cost'!AF53)*16/31)*(1-$S$3)</f>
        <v>147.84878529032258</v>
      </c>
      <c r="AC53" s="33">
        <f>('FY19 Spill Cost'!P53-'FY19 Spill Cost'!AG53)*(1-$S$3)</f>
        <v>0</v>
      </c>
      <c r="AD53" s="34">
        <f t="shared" si="3"/>
        <v>121.1862516657534</v>
      </c>
      <c r="AF53" s="16">
        <v>1976</v>
      </c>
      <c r="AG53" s="33">
        <f t="shared" si="4"/>
        <v>1344.6319820362712</v>
      </c>
      <c r="AH53" s="33">
        <f t="shared" si="5"/>
        <v>1929.4653967946228</v>
      </c>
      <c r="AI53" s="33">
        <f t="shared" si="6"/>
        <v>4009.620772987456</v>
      </c>
      <c r="AJ53" s="33">
        <f t="shared" si="7"/>
        <v>3991.5374697562825</v>
      </c>
      <c r="AK53" s="33">
        <f t="shared" si="8"/>
        <v>3712.544875872337</v>
      </c>
      <c r="AL53" s="33">
        <f t="shared" si="9"/>
        <v>4622.152576946857</v>
      </c>
      <c r="AM53" s="33">
        <f t="shared" si="10"/>
        <v>3987.9652040930487</v>
      </c>
      <c r="AN53" s="33">
        <f t="shared" si="11"/>
        <v>5675.872976505582</v>
      </c>
      <c r="AO53" s="33">
        <f t="shared" si="12"/>
        <v>4067.274972273363</v>
      </c>
      <c r="AP53" s="33">
        <f t="shared" si="13"/>
        <v>4327.942472147725</v>
      </c>
      <c r="AQ53" s="33">
        <f t="shared" si="14"/>
        <v>3717.144812351773</v>
      </c>
      <c r="AR53" s="33">
        <f t="shared" si="15"/>
        <v>3274.778662842546</v>
      </c>
      <c r="AS53" s="34">
        <f t="shared" si="16"/>
        <v>3725.9714609590415</v>
      </c>
      <c r="AT53" s="33"/>
      <c r="AU53" s="16">
        <v>1976</v>
      </c>
      <c r="AV53" s="23">
        <f>'FY19 Aurora Prices for SecR'!AR52-'FY19 Aurora Prices for SecR'!AD52</f>
        <v>-0.02571418285368665</v>
      </c>
      <c r="AW53" s="23">
        <f>'FY19 Aurora Prices for SecR'!AS52-'FY19 Aurora Prices for SecR'!AE52</f>
        <v>-0.012508435818080699</v>
      </c>
      <c r="AX53" s="23">
        <f>'FY19 Aurora Prices for SecR'!AT52-'FY19 Aurora Prices for SecR'!AF52</f>
        <v>0.06654115030843855</v>
      </c>
      <c r="AY53" s="23">
        <f>'FY19 Aurora Prices for SecR'!AU52-'FY19 Aurora Prices for SecR'!AG52</f>
        <v>0.06733734582063633</v>
      </c>
      <c r="AZ53" s="23">
        <f>'FY19 Aurora Prices for SecR'!AV52-'FY19 Aurora Prices for SecR'!AH52</f>
        <v>0.013979639325818027</v>
      </c>
      <c r="BA53" s="23">
        <f>'FY19 Aurora Prices for SecR'!AW52-'FY19 Aurora Prices for SecR'!AI52</f>
        <v>0.09132919173541865</v>
      </c>
      <c r="BB53" s="23">
        <f>'FY19 Aurora Prices for SecR'!AX52-'FY19 Aurora Prices for SecR'!AJ52</f>
        <v>1.0643436585532413</v>
      </c>
      <c r="BC53" s="23">
        <f>'FY19 Aurora Prices for SecR'!AY52-'FY19 Aurora Prices for SecR'!AK52</f>
        <v>1.1089414273979532</v>
      </c>
      <c r="BD53" s="23">
        <f>'FY19 Aurora Prices for SecR'!AZ52-'FY19 Aurora Prices for SecR'!AL52</f>
        <v>1.4824386596679702</v>
      </c>
      <c r="BE53" s="23">
        <f>'FY19 Aurora Prices for SecR'!BA52-'FY19 Aurora Prices for SecR'!AM52</f>
        <v>-0.023274760412942186</v>
      </c>
      <c r="BF53" s="23">
        <f>'FY19 Aurora Prices for SecR'!BB52-'FY19 Aurora Prices for SecR'!AN52</f>
        <v>0.3802020703592852</v>
      </c>
      <c r="BG53" s="24">
        <f>'FY19 Aurora Prices for SecR'!BC52-'FY19 Aurora Prices for SecR'!AO52</f>
        <v>0.05318809827171833</v>
      </c>
      <c r="BI53" s="16">
        <v>1976</v>
      </c>
      <c r="BJ53" s="41">
        <f t="shared" si="17"/>
        <v>-25724.627816804863</v>
      </c>
      <c r="BK53" s="41">
        <f t="shared" si="18"/>
        <v>-17401.04233096848</v>
      </c>
      <c r="BL53" s="41">
        <f t="shared" si="19"/>
        <v>198502.75523018572</v>
      </c>
      <c r="BM53" s="41">
        <f t="shared" si="20"/>
        <v>199971.97698401284</v>
      </c>
      <c r="BN53" s="41">
        <f t="shared" si="21"/>
        <v>34876.825768249335</v>
      </c>
      <c r="BO53" s="41">
        <f t="shared" si="22"/>
        <v>313648.1319852418</v>
      </c>
      <c r="BP53" s="41">
        <f t="shared" si="29"/>
        <v>3056087.1423653415</v>
      </c>
      <c r="BQ53" s="41">
        <f t="shared" si="23"/>
        <v>4682892.746139904</v>
      </c>
      <c r="BR53" s="41">
        <f t="shared" si="24"/>
        <v>4341229.674046563</v>
      </c>
      <c r="BS53" s="41">
        <f t="shared" si="25"/>
        <v>-74944.47714545485</v>
      </c>
      <c r="BT53" s="41">
        <f t="shared" si="26"/>
        <v>1051470.0181901772</v>
      </c>
      <c r="BU53" s="41">
        <f t="shared" si="27"/>
        <v>125409.05952292489</v>
      </c>
      <c r="BV53" s="42">
        <f t="shared" si="28"/>
        <v>13886018.182939373</v>
      </c>
    </row>
    <row r="54" spans="2:74" ht="15">
      <c r="B54" s="16">
        <v>1977</v>
      </c>
      <c r="C54" s="33">
        <v>704.749897271912</v>
      </c>
      <c r="D54" s="33">
        <v>395.0991985087113</v>
      </c>
      <c r="E54" s="33">
        <v>-442.3841288270731</v>
      </c>
      <c r="F54" s="33">
        <v>-347.5647143368166</v>
      </c>
      <c r="G54" s="33">
        <v>-95.83773033232484</v>
      </c>
      <c r="H54" s="33">
        <v>-108.84032261181929</v>
      </c>
      <c r="I54" s="33">
        <v>-145.25108769852994</v>
      </c>
      <c r="J54" s="33">
        <v>556.4886352267238</v>
      </c>
      <c r="K54" s="33">
        <v>-867.1870108244427</v>
      </c>
      <c r="L54" s="33">
        <v>187.26985898888205</v>
      </c>
      <c r="M54" s="33">
        <v>533.4725663670783</v>
      </c>
      <c r="N54" s="33">
        <v>-366.8078081995213</v>
      </c>
      <c r="O54" s="34">
        <f t="shared" si="2"/>
        <v>3.8139324349962207</v>
      </c>
      <c r="Q54" s="16">
        <v>1977</v>
      </c>
      <c r="R54" s="33">
        <f>('FY19 Spill Cost'!C54-'FY19 Spill Cost'!T54)*(1-$S$3)</f>
        <v>0</v>
      </c>
      <c r="S54" s="33">
        <f>('FY19 Spill Cost'!D54-'FY19 Spill Cost'!U54)*(1-$S$3)</f>
        <v>0</v>
      </c>
      <c r="T54" s="33">
        <f>('FY19 Spill Cost'!E54-'FY19 Spill Cost'!V54)*(1-$S$3)</f>
        <v>0</v>
      </c>
      <c r="U54" s="33">
        <f>('FY19 Spill Cost'!F54-'FY19 Spill Cost'!W54)*(1-$S$3)</f>
        <v>0</v>
      </c>
      <c r="V54" s="33">
        <f>('FY19 Spill Cost'!G54-'FY19 Spill Cost'!X54)*(1-$S$3)</f>
        <v>0</v>
      </c>
      <c r="W54" s="33">
        <f>('FY19 Spill Cost'!H54-'FY19 Spill Cost'!Y54)*(1-$S$3)</f>
        <v>0</v>
      </c>
      <c r="X54" s="33">
        <f>(('FY19 Spill Cost'!I54-'FY19 Spill Cost'!Z54)*15/30+('FY19 Spill Cost'!J54-'FY19 Spill Cost'!AA54)*15/30)*(1-$S$3)</f>
        <v>577.549895</v>
      </c>
      <c r="Y54" s="33">
        <f>('FY19 Spill Cost'!K54-'FY19 Spill Cost'!AB54)*(1-$S$3)</f>
        <v>863.0411140000001</v>
      </c>
      <c r="Z54" s="33">
        <f>('FY19 Spill Cost'!L54-'FY19 Spill Cost'!AC54)*(1-$S$3)</f>
        <v>329.14549200000005</v>
      </c>
      <c r="AA54" s="33">
        <f>('FY19 Spill Cost'!M54-'FY19 Spill Cost'!AD54)*(1-$S$3)</f>
        <v>34.76889</v>
      </c>
      <c r="AB54" s="33">
        <f>(('FY19 Spill Cost'!N54-'FY19 Spill Cost'!AE54)*15/31+('FY19 Spill Cost'!O54-'FY19 Spill Cost'!AF54)*16/31)*(1-$S$3)</f>
        <v>86.76021941935484</v>
      </c>
      <c r="AC54" s="33">
        <f>('FY19 Spill Cost'!P54-'FY19 Spill Cost'!AG54)*(1-$S$3)</f>
        <v>0</v>
      </c>
      <c r="AD54" s="34">
        <f t="shared" si="3"/>
        <v>158.14394119452058</v>
      </c>
      <c r="AF54" s="16">
        <v>1977</v>
      </c>
      <c r="AG54" s="33">
        <f t="shared" si="4"/>
        <v>704.749897271912</v>
      </c>
      <c r="AH54" s="33">
        <f t="shared" si="5"/>
        <v>395.0991985087113</v>
      </c>
      <c r="AI54" s="33">
        <f t="shared" si="6"/>
        <v>-442.3841288270731</v>
      </c>
      <c r="AJ54" s="33">
        <f t="shared" si="7"/>
        <v>-347.5647143368166</v>
      </c>
      <c r="AK54" s="33">
        <f t="shared" si="8"/>
        <v>-95.83773033232484</v>
      </c>
      <c r="AL54" s="33">
        <f t="shared" si="9"/>
        <v>-108.84032261181929</v>
      </c>
      <c r="AM54" s="33">
        <f t="shared" si="10"/>
        <v>-722.8009826985299</v>
      </c>
      <c r="AN54" s="33">
        <f t="shared" si="11"/>
        <v>-306.55247877327633</v>
      </c>
      <c r="AO54" s="33">
        <f t="shared" si="12"/>
        <v>-1196.3325028244428</v>
      </c>
      <c r="AP54" s="33">
        <f t="shared" si="13"/>
        <v>152.50096898888205</v>
      </c>
      <c r="AQ54" s="33">
        <f t="shared" si="14"/>
        <v>446.7123469477235</v>
      </c>
      <c r="AR54" s="33">
        <f t="shared" si="15"/>
        <v>-366.8078081995213</v>
      </c>
      <c r="AS54" s="34">
        <f t="shared" si="16"/>
        <v>-154.33000875952433</v>
      </c>
      <c r="AT54" s="33"/>
      <c r="AU54" s="16">
        <v>1977</v>
      </c>
      <c r="AV54" s="23">
        <f>'FY19 Aurora Prices for SecR'!AR53-'FY19 Aurora Prices for SecR'!AD53</f>
        <v>0.005081352110881454</v>
      </c>
      <c r="AW54" s="23">
        <f>'FY19 Aurora Prices for SecR'!AS53-'FY19 Aurora Prices for SecR'!AE53</f>
        <v>-0.03033717607820563</v>
      </c>
      <c r="AX54" s="23">
        <f>'FY19 Aurora Prices for SecR'!AT53-'FY19 Aurora Prices for SecR'!AF53</f>
        <v>0.01197405220356984</v>
      </c>
      <c r="AY54" s="23">
        <f>'FY19 Aurora Prices for SecR'!AU53-'FY19 Aurora Prices for SecR'!AG53</f>
        <v>0.05175934042980401</v>
      </c>
      <c r="AZ54" s="23">
        <f>'FY19 Aurora Prices for SecR'!AV53-'FY19 Aurora Prices for SecR'!AH53</f>
        <v>0.0276122025080916</v>
      </c>
      <c r="BA54" s="23">
        <f>'FY19 Aurora Prices for SecR'!AW53-'FY19 Aurora Prices for SecR'!AI53</f>
        <v>0.01947615936019531</v>
      </c>
      <c r="BB54" s="23">
        <f>'FY19 Aurora Prices for SecR'!AX53-'FY19 Aurora Prices for SecR'!AJ53</f>
        <v>1.2920835346645454</v>
      </c>
      <c r="BC54" s="23">
        <f>'FY19 Aurora Prices for SecR'!AY53-'FY19 Aurora Prices for SecR'!AK53</f>
        <v>1.3953794771625176</v>
      </c>
      <c r="BD54" s="23">
        <f>'FY19 Aurora Prices for SecR'!AZ53-'FY19 Aurora Prices for SecR'!AL53</f>
        <v>0.5226096524132622</v>
      </c>
      <c r="BE54" s="23">
        <f>'FY19 Aurora Prices for SecR'!BA53-'FY19 Aurora Prices for SecR'!AM53</f>
        <v>0.00473461125485386</v>
      </c>
      <c r="BF54" s="23">
        <f>'FY19 Aurora Prices for SecR'!BB53-'FY19 Aurora Prices for SecR'!AN53</f>
        <v>0.13265552751481735</v>
      </c>
      <c r="BG54" s="24">
        <f>'FY19 Aurora Prices for SecR'!BC53-'FY19 Aurora Prices for SecR'!AO53</f>
        <v>-0.016550213495868604</v>
      </c>
      <c r="BI54" s="16">
        <v>1977</v>
      </c>
      <c r="BJ54" s="41">
        <f t="shared" si="17"/>
        <v>2664.325289340712</v>
      </c>
      <c r="BK54" s="41">
        <f t="shared" si="18"/>
        <v>-8642.045840485536</v>
      </c>
      <c r="BL54" s="41">
        <f t="shared" si="19"/>
        <v>-3941.0652055389673</v>
      </c>
      <c r="BM54" s="41">
        <f t="shared" si="20"/>
        <v>-13384.351955835675</v>
      </c>
      <c r="BN54" s="41">
        <f t="shared" si="21"/>
        <v>-1778.3074295965616</v>
      </c>
      <c r="BO54" s="41">
        <f t="shared" si="22"/>
        <v>-1575.0050607261262</v>
      </c>
      <c r="BP54" s="41">
        <f t="shared" si="29"/>
        <v>-672421.8589805688</v>
      </c>
      <c r="BQ54" s="41">
        <f t="shared" si="23"/>
        <v>-318251.2359398249</v>
      </c>
      <c r="BR54" s="41">
        <f t="shared" si="24"/>
        <v>-450154.73769967444</v>
      </c>
      <c r="BS54" s="41">
        <f t="shared" si="25"/>
        <v>537.192406288255</v>
      </c>
      <c r="BT54" s="41">
        <f t="shared" si="26"/>
        <v>44088.593351608884</v>
      </c>
      <c r="BU54" s="41">
        <f t="shared" si="27"/>
        <v>4370.938227110663</v>
      </c>
      <c r="BV54" s="42">
        <f t="shared" si="28"/>
        <v>-1418487.5588379023</v>
      </c>
    </row>
    <row r="55" spans="2:74" ht="15">
      <c r="B55" s="16">
        <v>1978</v>
      </c>
      <c r="C55" s="33">
        <v>-285.7566386777095</v>
      </c>
      <c r="D55" s="33">
        <v>352.3007951003924</v>
      </c>
      <c r="E55" s="33">
        <v>727.6400018490178</v>
      </c>
      <c r="F55" s="33">
        <v>1527.3983060043415</v>
      </c>
      <c r="G55" s="33">
        <v>1594.5437502815441</v>
      </c>
      <c r="H55" s="33">
        <v>1596.5549519390788</v>
      </c>
      <c r="I55" s="33">
        <v>3643.22425950596</v>
      </c>
      <c r="J55" s="33">
        <v>4507.208398224116</v>
      </c>
      <c r="K55" s="33">
        <v>2580.1881603789775</v>
      </c>
      <c r="L55" s="33">
        <v>2855.1469581308966</v>
      </c>
      <c r="M55" s="33">
        <v>691.3522677625565</v>
      </c>
      <c r="N55" s="33">
        <v>1783.0191503837784</v>
      </c>
      <c r="O55" s="34">
        <f t="shared" si="2"/>
        <v>1796.0636264327566</v>
      </c>
      <c r="Q55" s="16">
        <v>1978</v>
      </c>
      <c r="R55" s="33">
        <f>('FY19 Spill Cost'!C55-'FY19 Spill Cost'!T55)*(1-$S$3)</f>
        <v>0</v>
      </c>
      <c r="S55" s="33">
        <f>('FY19 Spill Cost'!D55-'FY19 Spill Cost'!U55)*(1-$S$3)</f>
        <v>0</v>
      </c>
      <c r="T55" s="33">
        <f>('FY19 Spill Cost'!E55-'FY19 Spill Cost'!V55)*(1-$S$3)</f>
        <v>0</v>
      </c>
      <c r="U55" s="33">
        <f>('FY19 Spill Cost'!F55-'FY19 Spill Cost'!W55)*(1-$S$3)</f>
        <v>0</v>
      </c>
      <c r="V55" s="33">
        <f>('FY19 Spill Cost'!G55-'FY19 Spill Cost'!X55)*(1-$S$3)</f>
        <v>0</v>
      </c>
      <c r="W55" s="33">
        <f>('FY19 Spill Cost'!H55-'FY19 Spill Cost'!Y55)*(1-$S$3)</f>
        <v>0</v>
      </c>
      <c r="X55" s="33">
        <f>(('FY19 Spill Cost'!I55-'FY19 Spill Cost'!Z55)*15/30+('FY19 Spill Cost'!J55-'FY19 Spill Cost'!AA55)*15/30)*(1-$S$3)</f>
        <v>698.0820470000001</v>
      </c>
      <c r="Y55" s="33">
        <f>('FY19 Spill Cost'!K55-'FY19 Spill Cost'!AB55)*(1-$S$3)</f>
        <v>823.636372</v>
      </c>
      <c r="Z55" s="33">
        <f>('FY19 Spill Cost'!L55-'FY19 Spill Cost'!AC55)*(1-$S$3)</f>
        <v>607.2966120000001</v>
      </c>
      <c r="AA55" s="33">
        <f>('FY19 Spill Cost'!M55-'FY19 Spill Cost'!AD55)*(1-$S$3)</f>
        <v>-101.98874400000001</v>
      </c>
      <c r="AB55" s="33">
        <f>(('FY19 Spill Cost'!N55-'FY19 Spill Cost'!AE55)*15/31+('FY19 Spill Cost'!O55-'FY19 Spill Cost'!AF55)*16/31)*(1-$S$3)</f>
        <v>109.31638103225808</v>
      </c>
      <c r="AC55" s="33">
        <f>('FY19 Spill Cost'!P55-'FY19 Spill Cost'!AG55)*(1-$S$3)</f>
        <v>0</v>
      </c>
      <c r="AD55" s="34">
        <f t="shared" si="3"/>
        <v>177.86642205479453</v>
      </c>
      <c r="AF55" s="16">
        <v>1978</v>
      </c>
      <c r="AG55" s="33">
        <f t="shared" si="4"/>
        <v>-285.7566386777095</v>
      </c>
      <c r="AH55" s="33">
        <f t="shared" si="5"/>
        <v>352.3007951003924</v>
      </c>
      <c r="AI55" s="33">
        <f t="shared" si="6"/>
        <v>727.6400018490178</v>
      </c>
      <c r="AJ55" s="33">
        <f t="shared" si="7"/>
        <v>1527.3983060043415</v>
      </c>
      <c r="AK55" s="33">
        <f t="shared" si="8"/>
        <v>1594.5437502815441</v>
      </c>
      <c r="AL55" s="33">
        <f t="shared" si="9"/>
        <v>1596.5549519390788</v>
      </c>
      <c r="AM55" s="33">
        <f t="shared" si="10"/>
        <v>2945.14221250596</v>
      </c>
      <c r="AN55" s="33">
        <f t="shared" si="11"/>
        <v>3683.5720262241157</v>
      </c>
      <c r="AO55" s="33">
        <f t="shared" si="12"/>
        <v>1972.8915483789774</v>
      </c>
      <c r="AP55" s="33">
        <f t="shared" si="13"/>
        <v>2957.135702130897</v>
      </c>
      <c r="AQ55" s="33">
        <f t="shared" si="14"/>
        <v>582.0358867302984</v>
      </c>
      <c r="AR55" s="33">
        <f t="shared" si="15"/>
        <v>1783.0191503837784</v>
      </c>
      <c r="AS55" s="34">
        <f t="shared" si="16"/>
        <v>1618.1972043779617</v>
      </c>
      <c r="AT55" s="33"/>
      <c r="AU55" s="16">
        <v>1978</v>
      </c>
      <c r="AV55" s="23">
        <f>'FY19 Aurora Prices for SecR'!AR54-'FY19 Aurora Prices for SecR'!AD54</f>
        <v>-0.005337373672002599</v>
      </c>
      <c r="AW55" s="23">
        <f>'FY19 Aurora Prices for SecR'!AS54-'FY19 Aurora Prices for SecR'!AE54</f>
        <v>-0.0324832882861017</v>
      </c>
      <c r="AX55" s="23">
        <f>'FY19 Aurora Prices for SecR'!AT54-'FY19 Aurora Prices for SecR'!AF54</f>
        <v>0.018749361653505048</v>
      </c>
      <c r="AY55" s="23">
        <f>'FY19 Aurora Prices for SecR'!AU54-'FY19 Aurora Prices for SecR'!AG54</f>
        <v>0.009260294257916968</v>
      </c>
      <c r="AZ55" s="23">
        <f>'FY19 Aurora Prices for SecR'!AV54-'FY19 Aurora Prices for SecR'!AH54</f>
        <v>-0.017330040250531198</v>
      </c>
      <c r="BA55" s="23">
        <f>'FY19 Aurora Prices for SecR'!AW54-'FY19 Aurora Prices for SecR'!AI54</f>
        <v>0.026544224622270463</v>
      </c>
      <c r="BB55" s="23">
        <f>'FY19 Aurora Prices for SecR'!AX54-'FY19 Aurora Prices for SecR'!AJ54</f>
        <v>0.895830455356144</v>
      </c>
      <c r="BC55" s="23">
        <f>'FY19 Aurora Prices for SecR'!AY54-'FY19 Aurora Prices for SecR'!AK54</f>
        <v>1.7266188435016208</v>
      </c>
      <c r="BD55" s="23">
        <f>'FY19 Aurora Prices for SecR'!AZ54-'FY19 Aurora Prices for SecR'!AL54</f>
        <v>0.7514127757814002</v>
      </c>
      <c r="BE55" s="23">
        <f>'FY19 Aurora Prices for SecR'!BA54-'FY19 Aurora Prices for SecR'!AM54</f>
        <v>-0.14882638018621464</v>
      </c>
      <c r="BF55" s="23">
        <f>'FY19 Aurora Prices for SecR'!BB54-'FY19 Aurora Prices for SecR'!AN54</f>
        <v>0.27730488392614916</v>
      </c>
      <c r="BG55" s="24">
        <f>'FY19 Aurora Prices for SecR'!BC54-'FY19 Aurora Prices for SecR'!AO54</f>
        <v>0.02281069914498346</v>
      </c>
      <c r="BI55" s="16">
        <v>1978</v>
      </c>
      <c r="BJ55" s="41">
        <f t="shared" si="17"/>
        <v>1134.7413301495044</v>
      </c>
      <c r="BK55" s="41">
        <f t="shared" si="18"/>
        <v>-8251.04345757227</v>
      </c>
      <c r="BL55" s="41">
        <f t="shared" si="19"/>
        <v>10150.232447878892</v>
      </c>
      <c r="BM55" s="41">
        <f t="shared" si="20"/>
        <v>10523.253375407216</v>
      </c>
      <c r="BN55" s="41">
        <f t="shared" si="21"/>
        <v>-18569.71695506735</v>
      </c>
      <c r="BO55" s="41">
        <f t="shared" si="22"/>
        <v>31487.829756689363</v>
      </c>
      <c r="BP55" s="41">
        <f t="shared" si="29"/>
        <v>1899610.6243088273</v>
      </c>
      <c r="BQ55" s="41">
        <f t="shared" si="23"/>
        <v>4731932.90467426</v>
      </c>
      <c r="BR55" s="41">
        <f t="shared" si="24"/>
        <v>1067368.2585718406</v>
      </c>
      <c r="BS55" s="41">
        <f t="shared" si="25"/>
        <v>-327434.2528870658</v>
      </c>
      <c r="BT55" s="41">
        <f t="shared" si="26"/>
        <v>120082.63714388544</v>
      </c>
      <c r="BU55" s="41">
        <f t="shared" si="27"/>
        <v>29283.777654586844</v>
      </c>
      <c r="BV55" s="42">
        <f t="shared" si="28"/>
        <v>7547319.245963821</v>
      </c>
    </row>
    <row r="56" spans="2:74" ht="15">
      <c r="B56" s="16">
        <v>1979</v>
      </c>
      <c r="C56" s="33">
        <v>710.2235681213778</v>
      </c>
      <c r="D56" s="33">
        <v>342.1567258213314</v>
      </c>
      <c r="E56" s="33">
        <v>-357.50352452445634</v>
      </c>
      <c r="F56" s="33">
        <v>805.2071248088383</v>
      </c>
      <c r="G56" s="33">
        <v>-191.85175517486115</v>
      </c>
      <c r="H56" s="33">
        <v>1805.1144629653197</v>
      </c>
      <c r="I56" s="33">
        <v>1319.5427661996505</v>
      </c>
      <c r="J56" s="33">
        <v>4354.468709680903</v>
      </c>
      <c r="K56" s="33">
        <v>2044.4148965724603</v>
      </c>
      <c r="L56" s="33">
        <v>-179.87755436182016</v>
      </c>
      <c r="M56" s="33">
        <v>430.9540150862076</v>
      </c>
      <c r="N56" s="33">
        <v>330.5952242008319</v>
      </c>
      <c r="O56" s="34">
        <f t="shared" si="2"/>
        <v>959.7114343058041</v>
      </c>
      <c r="Q56" s="16">
        <v>1979</v>
      </c>
      <c r="R56" s="33">
        <f>('FY19 Spill Cost'!C56-'FY19 Spill Cost'!T56)*(1-$S$3)</f>
        <v>0</v>
      </c>
      <c r="S56" s="33">
        <f>('FY19 Spill Cost'!D56-'FY19 Spill Cost'!U56)*(1-$S$3)</f>
        <v>0</v>
      </c>
      <c r="T56" s="33">
        <f>('FY19 Spill Cost'!E56-'FY19 Spill Cost'!V56)*(1-$S$3)</f>
        <v>0</v>
      </c>
      <c r="U56" s="33">
        <f>('FY19 Spill Cost'!F56-'FY19 Spill Cost'!W56)*(1-$S$3)</f>
        <v>0</v>
      </c>
      <c r="V56" s="33">
        <f>('FY19 Spill Cost'!G56-'FY19 Spill Cost'!X56)*(1-$S$3)</f>
        <v>0</v>
      </c>
      <c r="W56" s="33">
        <f>('FY19 Spill Cost'!H56-'FY19 Spill Cost'!Y56)*(1-$S$3)</f>
        <v>0</v>
      </c>
      <c r="X56" s="33">
        <f>(('FY19 Spill Cost'!I56-'FY19 Spill Cost'!Z56)*15/30+('FY19 Spill Cost'!J56-'FY19 Spill Cost'!AA56)*15/30)*(1-$S$3)</f>
        <v>908.240671</v>
      </c>
      <c r="Y56" s="33">
        <f>('FY19 Spill Cost'!K56-'FY19 Spill Cost'!AB56)*(1-$S$3)</f>
        <v>899.3552880000001</v>
      </c>
      <c r="Z56" s="33">
        <f>('FY19 Spill Cost'!L56-'FY19 Spill Cost'!AC56)*(1-$S$3)</f>
        <v>667.5626880000001</v>
      </c>
      <c r="AA56" s="33">
        <f>('FY19 Spill Cost'!M56-'FY19 Spill Cost'!AD56)*(1-$S$3)</f>
        <v>-40.950026</v>
      </c>
      <c r="AB56" s="33">
        <f>(('FY19 Spill Cost'!N56-'FY19 Spill Cost'!AE56)*15/31+('FY19 Spill Cost'!O56-'FY19 Spill Cost'!AF56)*16/31)*(1-$S$3)</f>
        <v>98.00091432258064</v>
      </c>
      <c r="AC56" s="33">
        <f>('FY19 Spill Cost'!P56-'FY19 Spill Cost'!AG56)*(1-$S$3)</f>
        <v>0</v>
      </c>
      <c r="AD56" s="34">
        <f t="shared" si="3"/>
        <v>210.74710201643836</v>
      </c>
      <c r="AF56" s="16">
        <v>1979</v>
      </c>
      <c r="AG56" s="33">
        <f t="shared" si="4"/>
        <v>710.2235681213778</v>
      </c>
      <c r="AH56" s="33">
        <f t="shared" si="5"/>
        <v>342.1567258213314</v>
      </c>
      <c r="AI56" s="33">
        <f t="shared" si="6"/>
        <v>-357.50352452445634</v>
      </c>
      <c r="AJ56" s="33">
        <f t="shared" si="7"/>
        <v>805.2071248088383</v>
      </c>
      <c r="AK56" s="33">
        <f t="shared" si="8"/>
        <v>-191.85175517486115</v>
      </c>
      <c r="AL56" s="33">
        <f t="shared" si="9"/>
        <v>1805.1144629653197</v>
      </c>
      <c r="AM56" s="33">
        <f t="shared" si="10"/>
        <v>411.30209519965047</v>
      </c>
      <c r="AN56" s="33">
        <f t="shared" si="11"/>
        <v>3455.113421680903</v>
      </c>
      <c r="AO56" s="33">
        <f t="shared" si="12"/>
        <v>1376.8522085724603</v>
      </c>
      <c r="AP56" s="33">
        <f t="shared" si="13"/>
        <v>-138.92752836182015</v>
      </c>
      <c r="AQ56" s="33">
        <f t="shared" si="14"/>
        <v>332.953100763627</v>
      </c>
      <c r="AR56" s="33">
        <f t="shared" si="15"/>
        <v>330.5952242008319</v>
      </c>
      <c r="AS56" s="34">
        <f t="shared" si="16"/>
        <v>748.964332289366</v>
      </c>
      <c r="AT56" s="33"/>
      <c r="AU56" s="16">
        <v>1979</v>
      </c>
      <c r="AV56" s="23">
        <f>'FY19 Aurora Prices for SecR'!AR55-'FY19 Aurora Prices for SecR'!AD55</f>
        <v>0.027719176200157847</v>
      </c>
      <c r="AW56" s="23">
        <f>'FY19 Aurora Prices for SecR'!AS55-'FY19 Aurora Prices for SecR'!AE55</f>
        <v>0.001093571394360282</v>
      </c>
      <c r="AX56" s="23">
        <f>'FY19 Aurora Prices for SecR'!AT55-'FY19 Aurora Prices for SecR'!AF55</f>
        <v>0.05053871011214994</v>
      </c>
      <c r="AY56" s="23">
        <f>'FY19 Aurora Prices for SecR'!AU55-'FY19 Aurora Prices for SecR'!AG55</f>
        <v>-0.014962610890780326</v>
      </c>
      <c r="AZ56" s="23">
        <f>'FY19 Aurora Prices for SecR'!AV55-'FY19 Aurora Prices for SecR'!AH55</f>
        <v>-0.00024414743700873487</v>
      </c>
      <c r="BA56" s="23">
        <f>'FY19 Aurora Prices for SecR'!AW55-'FY19 Aurora Prices for SecR'!AI55</f>
        <v>-0.01598622327216148</v>
      </c>
      <c r="BB56" s="23">
        <f>'FY19 Aurora Prices for SecR'!AX55-'FY19 Aurora Prices for SecR'!AJ55</f>
        <v>1.7057388204998318</v>
      </c>
      <c r="BC56" s="23">
        <f>'FY19 Aurora Prices for SecR'!AY55-'FY19 Aurora Prices for SecR'!AK55</f>
        <v>1.3302402733474477</v>
      </c>
      <c r="BD56" s="23">
        <f>'FY19 Aurora Prices for SecR'!AZ55-'FY19 Aurora Prices for SecR'!AL55</f>
        <v>0.7866917106840745</v>
      </c>
      <c r="BE56" s="23">
        <f>'FY19 Aurora Prices for SecR'!BA55-'FY19 Aurora Prices for SecR'!AM55</f>
        <v>-0.06189140453139075</v>
      </c>
      <c r="BF56" s="23">
        <f>'FY19 Aurora Prices for SecR'!BB55-'FY19 Aurora Prices for SecR'!AN55</f>
        <v>0.18938769986552373</v>
      </c>
      <c r="BG56" s="24">
        <f>'FY19 Aurora Prices for SecR'!BC55-'FY19 Aurora Prices for SecR'!AO55</f>
        <v>-0.015659112930286767</v>
      </c>
      <c r="BI56" s="16">
        <v>1979</v>
      </c>
      <c r="BJ56" s="41">
        <f t="shared" si="17"/>
        <v>14646.98829633839</v>
      </c>
      <c r="BK56" s="41">
        <f t="shared" si="18"/>
        <v>269.7785943849973</v>
      </c>
      <c r="BL56" s="41">
        <f t="shared" si="19"/>
        <v>-13442.418640569958</v>
      </c>
      <c r="BM56" s="41">
        <f t="shared" si="20"/>
        <v>-8963.712665878988</v>
      </c>
      <c r="BN56" s="41">
        <f t="shared" si="21"/>
        <v>31.476556817374796</v>
      </c>
      <c r="BO56" s="41">
        <f t="shared" si="22"/>
        <v>-21440.723387721202</v>
      </c>
      <c r="BP56" s="41">
        <f t="shared" si="29"/>
        <v>505133.2445291722</v>
      </c>
      <c r="BQ56" s="41">
        <f t="shared" si="23"/>
        <v>3419521.48074241</v>
      </c>
      <c r="BR56" s="41">
        <f t="shared" si="24"/>
        <v>779873.9179111308</v>
      </c>
      <c r="BS56" s="41">
        <f t="shared" si="25"/>
        <v>6397.224374640428</v>
      </c>
      <c r="BT56" s="41">
        <f t="shared" si="26"/>
        <v>46914.57310603765</v>
      </c>
      <c r="BU56" s="41">
        <f t="shared" si="27"/>
        <v>-3727.316123981496</v>
      </c>
      <c r="BV56" s="42">
        <f t="shared" si="28"/>
        <v>4725214.513292779</v>
      </c>
    </row>
    <row r="57" spans="2:74" ht="15">
      <c r="B57" s="16">
        <v>1980</v>
      </c>
      <c r="C57" s="33">
        <v>152.27767158867582</v>
      </c>
      <c r="D57" s="33">
        <v>330.2205208171892</v>
      </c>
      <c r="E57" s="33">
        <v>-772.3027584500769</v>
      </c>
      <c r="F57" s="33">
        <v>411.1305589477859</v>
      </c>
      <c r="G57" s="33">
        <v>30.581984051386236</v>
      </c>
      <c r="H57" s="33">
        <v>310.2345305724144</v>
      </c>
      <c r="I57" s="33">
        <v>2620.8845121800605</v>
      </c>
      <c r="J57" s="33">
        <v>5683.264995061179</v>
      </c>
      <c r="K57" s="33">
        <v>4675.44168496558</v>
      </c>
      <c r="L57" s="33">
        <v>1773.9844643246404</v>
      </c>
      <c r="M57" s="33">
        <v>355.4943142576684</v>
      </c>
      <c r="N57" s="33">
        <v>414.5265947585147</v>
      </c>
      <c r="O57" s="34">
        <f t="shared" si="2"/>
        <v>1335.4134924658729</v>
      </c>
      <c r="Q57" s="16">
        <v>1980</v>
      </c>
      <c r="R57" s="33">
        <f>('FY19 Spill Cost'!C57-'FY19 Spill Cost'!T57)*(1-$S$3)</f>
        <v>0</v>
      </c>
      <c r="S57" s="33">
        <f>('FY19 Spill Cost'!D57-'FY19 Spill Cost'!U57)*(1-$S$3)</f>
        <v>0</v>
      </c>
      <c r="T57" s="33">
        <f>('FY19 Spill Cost'!E57-'FY19 Spill Cost'!V57)*(1-$S$3)</f>
        <v>0</v>
      </c>
      <c r="U57" s="33">
        <f>('FY19 Spill Cost'!F57-'FY19 Spill Cost'!W57)*(1-$S$3)</f>
        <v>0</v>
      </c>
      <c r="V57" s="33">
        <f>('FY19 Spill Cost'!G57-'FY19 Spill Cost'!X57)*(1-$S$3)</f>
        <v>0</v>
      </c>
      <c r="W57" s="33">
        <f>('FY19 Spill Cost'!H57-'FY19 Spill Cost'!Y57)*(1-$S$3)</f>
        <v>0</v>
      </c>
      <c r="X57" s="33">
        <f>(('FY19 Spill Cost'!I57-'FY19 Spill Cost'!Z57)*15/30+('FY19 Spill Cost'!J57-'FY19 Spill Cost'!AA57)*15/30)*(1-$S$3)</f>
        <v>843.7250640000001</v>
      </c>
      <c r="Y57" s="33">
        <f>('FY19 Spill Cost'!K57-'FY19 Spill Cost'!AB57)*(1-$S$3)</f>
        <v>676.0617500000001</v>
      </c>
      <c r="Z57" s="33">
        <f>('FY19 Spill Cost'!L57-'FY19 Spill Cost'!AC57)*(1-$S$3)</f>
        <v>528.487128</v>
      </c>
      <c r="AA57" s="33">
        <f>('FY19 Spill Cost'!M57-'FY19 Spill Cost'!AD57)*(1-$S$3)</f>
        <v>-54.857582</v>
      </c>
      <c r="AB57" s="33">
        <f>(('FY19 Spill Cost'!N57-'FY19 Spill Cost'!AE57)*15/31+('FY19 Spill Cost'!O57-'FY19 Spill Cost'!AF57)*16/31)*(1-$S$3)</f>
        <v>100.56807967741936</v>
      </c>
      <c r="AC57" s="33">
        <f>('FY19 Spill Cost'!P57-'FY19 Spill Cost'!AG57)*(1-$S$3)</f>
        <v>0</v>
      </c>
      <c r="AD57" s="34">
        <f t="shared" si="3"/>
        <v>174.0857683232877</v>
      </c>
      <c r="AF57" s="16">
        <v>1980</v>
      </c>
      <c r="AG57" s="33">
        <f t="shared" si="4"/>
        <v>152.27767158867582</v>
      </c>
      <c r="AH57" s="33">
        <f t="shared" si="5"/>
        <v>330.2205208171892</v>
      </c>
      <c r="AI57" s="33">
        <f t="shared" si="6"/>
        <v>-772.3027584500769</v>
      </c>
      <c r="AJ57" s="33">
        <f t="shared" si="7"/>
        <v>411.1305589477859</v>
      </c>
      <c r="AK57" s="33">
        <f t="shared" si="8"/>
        <v>30.581984051386236</v>
      </c>
      <c r="AL57" s="33">
        <f t="shared" si="9"/>
        <v>310.2345305724144</v>
      </c>
      <c r="AM57" s="33">
        <f t="shared" si="10"/>
        <v>1777.1594481800603</v>
      </c>
      <c r="AN57" s="33">
        <f t="shared" si="11"/>
        <v>5007.20324506118</v>
      </c>
      <c r="AO57" s="33">
        <f t="shared" si="12"/>
        <v>4146.95455696558</v>
      </c>
      <c r="AP57" s="33">
        <f t="shared" si="13"/>
        <v>1828.8420463246405</v>
      </c>
      <c r="AQ57" s="33">
        <f t="shared" si="14"/>
        <v>254.92623458024906</v>
      </c>
      <c r="AR57" s="33">
        <f t="shared" si="15"/>
        <v>414.5265947585147</v>
      </c>
      <c r="AS57" s="34">
        <f t="shared" si="16"/>
        <v>1161.327724142585</v>
      </c>
      <c r="AT57" s="33"/>
      <c r="AU57" s="16">
        <v>1980</v>
      </c>
      <c r="AV57" s="23">
        <f>'FY19 Aurora Prices for SecR'!AR56-'FY19 Aurora Prices for SecR'!AD56</f>
        <v>-0.006805755246102052</v>
      </c>
      <c r="AW57" s="23">
        <f>'FY19 Aurora Prices for SecR'!AS56-'FY19 Aurora Prices for SecR'!AE56</f>
        <v>-0.018495330367432672</v>
      </c>
      <c r="AX57" s="23">
        <f>'FY19 Aurora Prices for SecR'!AT56-'FY19 Aurora Prices for SecR'!AF56</f>
        <v>0.03076570316030569</v>
      </c>
      <c r="AY57" s="23">
        <f>'FY19 Aurora Prices for SecR'!AU56-'FY19 Aurora Prices for SecR'!AG56</f>
        <v>0.0064531285275357675</v>
      </c>
      <c r="AZ57" s="23">
        <f>'FY19 Aurora Prices for SecR'!AV56-'FY19 Aurora Prices for SecR'!AH56</f>
        <v>-0.009644828523899918</v>
      </c>
      <c r="BA57" s="23">
        <f>'FY19 Aurora Prices for SecR'!AW56-'FY19 Aurora Prices for SecR'!AI56</f>
        <v>0.0030319077811142847</v>
      </c>
      <c r="BB57" s="23">
        <f>'FY19 Aurora Prices for SecR'!AX56-'FY19 Aurora Prices for SecR'!AJ56</f>
        <v>0.8942306984795394</v>
      </c>
      <c r="BC57" s="23">
        <f>'FY19 Aurora Prices for SecR'!AY56-'FY19 Aurora Prices for SecR'!AK56</f>
        <v>2.794253331751319</v>
      </c>
      <c r="BD57" s="23">
        <f>'FY19 Aurora Prices for SecR'!AZ56-'FY19 Aurora Prices for SecR'!AL56</f>
        <v>1.628199907475036</v>
      </c>
      <c r="BE57" s="23">
        <f>'FY19 Aurora Prices for SecR'!BA56-'FY19 Aurora Prices for SecR'!AM56</f>
        <v>-0.24984904079028425</v>
      </c>
      <c r="BF57" s="23">
        <f>'FY19 Aurora Prices for SecR'!BB56-'FY19 Aurora Prices for SecR'!AN56</f>
        <v>-0.068450166333065</v>
      </c>
      <c r="BG57" s="24">
        <f>'FY19 Aurora Prices for SecR'!BC56-'FY19 Aurora Prices for SecR'!AO56</f>
        <v>-0.13699533303581646</v>
      </c>
      <c r="BI57" s="16">
        <v>1980</v>
      </c>
      <c r="BJ57" s="41">
        <f t="shared" si="17"/>
        <v>-771.0552343354539</v>
      </c>
      <c r="BK57" s="41">
        <f t="shared" si="18"/>
        <v>-4403.534628792726</v>
      </c>
      <c r="BL57" s="41">
        <f t="shared" si="19"/>
        <v>-17677.76543777209</v>
      </c>
      <c r="BM57" s="41">
        <f t="shared" si="20"/>
        <v>1973.8902838348358</v>
      </c>
      <c r="BN57" s="41">
        <f t="shared" si="21"/>
        <v>-198.2117706886883</v>
      </c>
      <c r="BO57" s="41">
        <f t="shared" si="22"/>
        <v>698.8676479991407</v>
      </c>
      <c r="BP57" s="41">
        <f t="shared" si="29"/>
        <v>1144217.184952009</v>
      </c>
      <c r="BQ57" s="41">
        <f t="shared" si="23"/>
        <v>10409597.396599554</v>
      </c>
      <c r="BR57" s="41">
        <f t="shared" si="24"/>
        <v>4861491.138687266</v>
      </c>
      <c r="BS57" s="41">
        <f t="shared" si="25"/>
        <v>-339959.21668717713</v>
      </c>
      <c r="BT57" s="41">
        <f t="shared" si="26"/>
        <v>-12982.608910801915</v>
      </c>
      <c r="BU57" s="41">
        <f t="shared" si="27"/>
        <v>-40887.51040882487</v>
      </c>
      <c r="BV57" s="42">
        <f t="shared" si="28"/>
        <v>16001098.575092271</v>
      </c>
    </row>
    <row r="58" spans="2:74" ht="15">
      <c r="B58" s="16">
        <v>1981</v>
      </c>
      <c r="C58" s="33">
        <v>67.69783970181456</v>
      </c>
      <c r="D58" s="33">
        <v>326.39744784039533</v>
      </c>
      <c r="E58" s="33">
        <v>2216.106741135699</v>
      </c>
      <c r="F58" s="33">
        <v>3502.7948065326555</v>
      </c>
      <c r="G58" s="33">
        <v>3368.7417407741295</v>
      </c>
      <c r="H58" s="33">
        <v>1629.425695917987</v>
      </c>
      <c r="I58" s="33">
        <v>712.6255840914927</v>
      </c>
      <c r="J58" s="33">
        <v>3648.9874405947203</v>
      </c>
      <c r="K58" s="33">
        <v>5646.691412910428</v>
      </c>
      <c r="L58" s="33">
        <v>3914.6048752267116</v>
      </c>
      <c r="M58" s="33">
        <v>2759.353269831575</v>
      </c>
      <c r="N58" s="33">
        <v>545.7564415184553</v>
      </c>
      <c r="O58" s="34">
        <f t="shared" si="2"/>
        <v>2359.240255413712</v>
      </c>
      <c r="Q58" s="16">
        <v>1981</v>
      </c>
      <c r="R58" s="33">
        <f>('FY19 Spill Cost'!C58-'FY19 Spill Cost'!T58)*(1-$S$3)</f>
        <v>0</v>
      </c>
      <c r="S58" s="33">
        <f>('FY19 Spill Cost'!D58-'FY19 Spill Cost'!U58)*(1-$S$3)</f>
        <v>0</v>
      </c>
      <c r="T58" s="33">
        <f>('FY19 Spill Cost'!E58-'FY19 Spill Cost'!V58)*(1-$S$3)</f>
        <v>0</v>
      </c>
      <c r="U58" s="33">
        <f>('FY19 Spill Cost'!F58-'FY19 Spill Cost'!W58)*(1-$S$3)</f>
        <v>0</v>
      </c>
      <c r="V58" s="33">
        <f>('FY19 Spill Cost'!G58-'FY19 Spill Cost'!X58)*(1-$S$3)</f>
        <v>0</v>
      </c>
      <c r="W58" s="33">
        <f>('FY19 Spill Cost'!H58-'FY19 Spill Cost'!Y58)*(1-$S$3)</f>
        <v>0</v>
      </c>
      <c r="X58" s="33">
        <f>(('FY19 Spill Cost'!I58-'FY19 Spill Cost'!Z58)*15/30+('FY19 Spill Cost'!J58-'FY19 Spill Cost'!AA58)*15/30)*(1-$S$3)</f>
        <v>862.654793</v>
      </c>
      <c r="Y58" s="33">
        <f>('FY19 Spill Cost'!K58-'FY19 Spill Cost'!AB58)*(1-$S$3)</f>
        <v>1005.9798840000001</v>
      </c>
      <c r="Z58" s="33">
        <f>('FY19 Spill Cost'!L58-'FY19 Spill Cost'!AC58)*(1-$S$3)</f>
        <v>480.583324</v>
      </c>
      <c r="AA58" s="33">
        <f>('FY19 Spill Cost'!M58-'FY19 Spill Cost'!AD58)*(1-$S$3)</f>
        <v>-17.770766000000002</v>
      </c>
      <c r="AB58" s="33">
        <f>(('FY19 Spill Cost'!N58-'FY19 Spill Cost'!AE58)*15/31+('FY19 Spill Cost'!O58-'FY19 Spill Cost'!AF58)*16/31)*(1-$S$3)</f>
        <v>148.77097090322582</v>
      </c>
      <c r="AC58" s="33">
        <f>('FY19 Spill Cost'!P58-'FY19 Spill Cost'!AG58)*(1-$S$3)</f>
        <v>0</v>
      </c>
      <c r="AD58" s="34">
        <f t="shared" si="3"/>
        <v>206.9685651123288</v>
      </c>
      <c r="AF58" s="16">
        <v>1981</v>
      </c>
      <c r="AG58" s="33">
        <f t="shared" si="4"/>
        <v>67.69783970181456</v>
      </c>
      <c r="AH58" s="33">
        <f t="shared" si="5"/>
        <v>326.39744784039533</v>
      </c>
      <c r="AI58" s="33">
        <f t="shared" si="6"/>
        <v>2216.106741135699</v>
      </c>
      <c r="AJ58" s="33">
        <f t="shared" si="7"/>
        <v>3502.7948065326555</v>
      </c>
      <c r="AK58" s="33">
        <f t="shared" si="8"/>
        <v>3368.7417407741295</v>
      </c>
      <c r="AL58" s="33">
        <f t="shared" si="9"/>
        <v>1629.425695917987</v>
      </c>
      <c r="AM58" s="33">
        <f t="shared" si="10"/>
        <v>-150.02920890850737</v>
      </c>
      <c r="AN58" s="33">
        <f t="shared" si="11"/>
        <v>2643.00755659472</v>
      </c>
      <c r="AO58" s="33">
        <f t="shared" si="12"/>
        <v>5166.108088910428</v>
      </c>
      <c r="AP58" s="33">
        <f t="shared" si="13"/>
        <v>3932.3756412267117</v>
      </c>
      <c r="AQ58" s="33">
        <f t="shared" si="14"/>
        <v>2610.582298928349</v>
      </c>
      <c r="AR58" s="33">
        <f t="shared" si="15"/>
        <v>545.7564415184553</v>
      </c>
      <c r="AS58" s="34">
        <f t="shared" si="16"/>
        <v>2152.271690301384</v>
      </c>
      <c r="AT58" s="33"/>
      <c r="AU58" s="16">
        <v>1981</v>
      </c>
      <c r="AV58" s="23">
        <f>'FY19 Aurora Prices for SecR'!AR57-'FY19 Aurora Prices for SecR'!AD57</f>
        <v>-0.10086899803530258</v>
      </c>
      <c r="AW58" s="23">
        <f>'FY19 Aurora Prices for SecR'!AS57-'FY19 Aurora Prices for SecR'!AE57</f>
        <v>-0.10561382608505099</v>
      </c>
      <c r="AX58" s="23">
        <f>'FY19 Aurora Prices for SecR'!AT57-'FY19 Aurora Prices for SecR'!AF57</f>
        <v>0.025856722298449597</v>
      </c>
      <c r="AY58" s="23">
        <f>'FY19 Aurora Prices for SecR'!AU57-'FY19 Aurora Prices for SecR'!AG57</f>
        <v>0.0758957034797696</v>
      </c>
      <c r="AZ58" s="23">
        <f>'FY19 Aurora Prices for SecR'!AV57-'FY19 Aurora Prices for SecR'!AH57</f>
        <v>0.04293255124769857</v>
      </c>
      <c r="BA58" s="23">
        <f>'FY19 Aurora Prices for SecR'!AW57-'FY19 Aurora Prices for SecR'!AI57</f>
        <v>0.09219761623185363</v>
      </c>
      <c r="BB58" s="23">
        <f>'FY19 Aurora Prices for SecR'!AX57-'FY19 Aurora Prices for SecR'!AJ57</f>
        <v>1.5276736699210574</v>
      </c>
      <c r="BC58" s="23">
        <f>'FY19 Aurora Prices for SecR'!AY57-'FY19 Aurora Prices for SecR'!AK57</f>
        <v>1.0449699653092104</v>
      </c>
      <c r="BD58" s="23">
        <f>'FY19 Aurora Prices for SecR'!AZ57-'FY19 Aurora Prices for SecR'!AL57</f>
        <v>2.2431486788723483</v>
      </c>
      <c r="BE58" s="23">
        <f>'FY19 Aurora Prices for SecR'!BA57-'FY19 Aurora Prices for SecR'!AM57</f>
        <v>-0.14612873344007582</v>
      </c>
      <c r="BF58" s="23">
        <f>'FY19 Aurora Prices for SecR'!BB57-'FY19 Aurora Prices for SecR'!AN57</f>
        <v>0.3252010114730979</v>
      </c>
      <c r="BG58" s="24">
        <f>'FY19 Aurora Prices for SecR'!BC57-'FY19 Aurora Prices for SecR'!AO57</f>
        <v>-0.023616948127752835</v>
      </c>
      <c r="BI58" s="16">
        <v>1981</v>
      </c>
      <c r="BJ58" s="41">
        <f t="shared" si="17"/>
        <v>-5080.488265348162</v>
      </c>
      <c r="BK58" s="41">
        <f t="shared" si="18"/>
        <v>-24854.37205268123</v>
      </c>
      <c r="BL58" s="41">
        <f t="shared" si="19"/>
        <v>42632.13490241532</v>
      </c>
      <c r="BM58" s="41">
        <f t="shared" si="20"/>
        <v>197790.22453438703</v>
      </c>
      <c r="BN58" s="41">
        <f t="shared" si="21"/>
        <v>97190.47123030333</v>
      </c>
      <c r="BO58" s="41">
        <f t="shared" si="22"/>
        <v>111620.26958799173</v>
      </c>
      <c r="BP58" s="41">
        <f t="shared" si="29"/>
        <v>-165020.88396140095</v>
      </c>
      <c r="BQ58" s="41">
        <f t="shared" si="23"/>
        <v>2054826.4549567134</v>
      </c>
      <c r="BR58" s="41">
        <f t="shared" si="24"/>
        <v>8343610.944876848</v>
      </c>
      <c r="BS58" s="41">
        <f t="shared" si="25"/>
        <v>-427527.0054661206</v>
      </c>
      <c r="BT58" s="41">
        <f t="shared" si="26"/>
        <v>631629.2190840766</v>
      </c>
      <c r="BU58" s="41">
        <f t="shared" si="27"/>
        <v>-9280.153130204399</v>
      </c>
      <c r="BV58" s="42">
        <f t="shared" si="28"/>
        <v>10847536.816296982</v>
      </c>
    </row>
    <row r="59" spans="2:74" ht="15">
      <c r="B59" s="16">
        <v>1982</v>
      </c>
      <c r="C59" s="33">
        <v>379.59595151130463</v>
      </c>
      <c r="D59" s="33">
        <v>602.4096627589122</v>
      </c>
      <c r="E59" s="33">
        <v>869.2019357019996</v>
      </c>
      <c r="F59" s="33">
        <v>2717.3811899840334</v>
      </c>
      <c r="G59" s="33">
        <v>5479.595419621046</v>
      </c>
      <c r="H59" s="33">
        <v>5641.915572569547</v>
      </c>
      <c r="I59" s="33">
        <v>3847.020168821302</v>
      </c>
      <c r="J59" s="33">
        <v>5509.3756926615115</v>
      </c>
      <c r="K59" s="33">
        <v>5771.525110614766</v>
      </c>
      <c r="L59" s="33">
        <v>5083.431651738125</v>
      </c>
      <c r="M59" s="33">
        <v>2875.59918280341</v>
      </c>
      <c r="N59" s="33">
        <v>1539.6243086967415</v>
      </c>
      <c r="O59" s="34">
        <f t="shared" si="2"/>
        <v>3346.3222091761645</v>
      </c>
      <c r="Q59" s="16">
        <v>1982</v>
      </c>
      <c r="R59" s="33">
        <f>('FY19 Spill Cost'!C59-'FY19 Spill Cost'!T59)*(1-$S$3)</f>
        <v>0</v>
      </c>
      <c r="S59" s="33">
        <f>('FY19 Spill Cost'!D59-'FY19 Spill Cost'!U59)*(1-$S$3)</f>
        <v>0</v>
      </c>
      <c r="T59" s="33">
        <f>('FY19 Spill Cost'!E59-'FY19 Spill Cost'!V59)*(1-$S$3)</f>
        <v>0</v>
      </c>
      <c r="U59" s="33">
        <f>('FY19 Spill Cost'!F59-'FY19 Spill Cost'!W59)*(1-$S$3)</f>
        <v>0</v>
      </c>
      <c r="V59" s="33">
        <f>('FY19 Spill Cost'!G59-'FY19 Spill Cost'!X59)*(1-$S$3)</f>
        <v>0</v>
      </c>
      <c r="W59" s="33">
        <f>('FY19 Spill Cost'!H59-'FY19 Spill Cost'!Y59)*(1-$S$3)</f>
        <v>0</v>
      </c>
      <c r="X59" s="33">
        <f>(('FY19 Spill Cost'!I59-'FY19 Spill Cost'!Z59)*15/30+('FY19 Spill Cost'!J59-'FY19 Spill Cost'!AA59)*15/30)*(1-$S$3)</f>
        <v>672.971182</v>
      </c>
      <c r="Y59" s="33">
        <f>('FY19 Spill Cost'!K59-'FY19 Spill Cost'!AB59)*(1-$S$3)</f>
        <v>662.9268360000001</v>
      </c>
      <c r="Z59" s="33">
        <f>('FY19 Spill Cost'!L59-'FY19 Spill Cost'!AC59)*(1-$S$3)</f>
        <v>231.79260000000002</v>
      </c>
      <c r="AA59" s="33">
        <f>('FY19 Spill Cost'!M59-'FY19 Spill Cost'!AD59)*(1-$S$3)</f>
        <v>29.360396</v>
      </c>
      <c r="AB59" s="33">
        <f>(('FY19 Spill Cost'!N59-'FY19 Spill Cost'!AE59)*15/31+('FY19 Spill Cost'!O59-'FY19 Spill Cost'!AF59)*16/31)*(1-$S$3)</f>
        <v>134.0907729032258</v>
      </c>
      <c r="AC59" s="33">
        <f>('FY19 Spill Cost'!P59-'FY19 Spill Cost'!AG59)*(1-$S$3)</f>
        <v>0</v>
      </c>
      <c r="AD59" s="34">
        <f t="shared" si="3"/>
        <v>144.54967564931505</v>
      </c>
      <c r="AF59" s="16">
        <v>1982</v>
      </c>
      <c r="AG59" s="33">
        <f t="shared" si="4"/>
        <v>379.59595151130463</v>
      </c>
      <c r="AH59" s="33">
        <f t="shared" si="5"/>
        <v>602.4096627589122</v>
      </c>
      <c r="AI59" s="33">
        <f t="shared" si="6"/>
        <v>869.2019357019996</v>
      </c>
      <c r="AJ59" s="33">
        <f t="shared" si="7"/>
        <v>2717.3811899840334</v>
      </c>
      <c r="AK59" s="33">
        <f t="shared" si="8"/>
        <v>5479.595419621046</v>
      </c>
      <c r="AL59" s="33">
        <f t="shared" si="9"/>
        <v>5641.915572569547</v>
      </c>
      <c r="AM59" s="33">
        <f t="shared" si="10"/>
        <v>3174.0489868213017</v>
      </c>
      <c r="AN59" s="33">
        <f t="shared" si="11"/>
        <v>4846.448856661511</v>
      </c>
      <c r="AO59" s="33">
        <f t="shared" si="12"/>
        <v>5539.732510614766</v>
      </c>
      <c r="AP59" s="33">
        <f t="shared" si="13"/>
        <v>5054.071255738125</v>
      </c>
      <c r="AQ59" s="33">
        <f t="shared" si="14"/>
        <v>2741.5084099001842</v>
      </c>
      <c r="AR59" s="33">
        <f t="shared" si="15"/>
        <v>1539.6243086967415</v>
      </c>
      <c r="AS59" s="34">
        <f t="shared" si="16"/>
        <v>3201.7725335268497</v>
      </c>
      <c r="AT59" s="33"/>
      <c r="AU59" s="16">
        <v>1982</v>
      </c>
      <c r="AV59" s="23">
        <f>'FY19 Aurora Prices for SecR'!AR58-'FY19 Aurora Prices for SecR'!AD58</f>
        <v>-0.05855574530938412</v>
      </c>
      <c r="AW59" s="23">
        <f>'FY19 Aurora Prices for SecR'!AS58-'FY19 Aurora Prices for SecR'!AE58</f>
        <v>-0.01673583785969157</v>
      </c>
      <c r="AX59" s="23">
        <f>'FY19 Aurora Prices for SecR'!AT58-'FY19 Aurora Prices for SecR'!AF58</f>
        <v>0.019242810177537706</v>
      </c>
      <c r="AY59" s="23">
        <f>'FY19 Aurora Prices for SecR'!AU58-'FY19 Aurora Prices for SecR'!AG58</f>
        <v>-0.011993772240050049</v>
      </c>
      <c r="AZ59" s="23">
        <f>'FY19 Aurora Prices for SecR'!AV58-'FY19 Aurora Prices for SecR'!AH58</f>
        <v>0.32287380445211866</v>
      </c>
      <c r="BA59" s="23">
        <f>'FY19 Aurora Prices for SecR'!AW58-'FY19 Aurora Prices for SecR'!AI58</f>
        <v>0.26085644118881746</v>
      </c>
      <c r="BB59" s="23">
        <f>'FY19 Aurora Prices for SecR'!AX58-'FY19 Aurora Prices for SecR'!AJ58</f>
        <v>0.9280716254975729</v>
      </c>
      <c r="BC59" s="23">
        <f>'FY19 Aurora Prices for SecR'!AY58-'FY19 Aurora Prices for SecR'!AK58</f>
        <v>2.0941675641203084</v>
      </c>
      <c r="BD59" s="23">
        <f>'FY19 Aurora Prices for SecR'!AZ58-'FY19 Aurora Prices for SecR'!AL58</f>
        <v>1.072337286091484</v>
      </c>
      <c r="BE59" s="23">
        <f>'FY19 Aurora Prices for SecR'!BA58-'FY19 Aurora Prices for SecR'!AM58</f>
        <v>0.16285805772712258</v>
      </c>
      <c r="BF59" s="23">
        <f>'FY19 Aurora Prices for SecR'!BB58-'FY19 Aurora Prices for SecR'!AN58</f>
        <v>0.068126095494911</v>
      </c>
      <c r="BG59" s="24">
        <f>'FY19 Aurora Prices for SecR'!BC58-'FY19 Aurora Prices for SecR'!AO58</f>
        <v>-0.10651382446285851</v>
      </c>
      <c r="BI59" s="16">
        <v>1982</v>
      </c>
      <c r="BJ59" s="41">
        <f t="shared" si="17"/>
        <v>-16537.27774973394</v>
      </c>
      <c r="BK59" s="41">
        <f t="shared" si="18"/>
        <v>-7268.999747993182</v>
      </c>
      <c r="BL59" s="41">
        <f t="shared" si="19"/>
        <v>12444.060563868463</v>
      </c>
      <c r="BM59" s="41">
        <f t="shared" si="20"/>
        <v>-24248.188405056113</v>
      </c>
      <c r="BN59" s="41">
        <f t="shared" si="21"/>
        <v>1188914.3750342547</v>
      </c>
      <c r="BO59" s="41">
        <f t="shared" si="22"/>
        <v>1093495.4031869583</v>
      </c>
      <c r="BP59" s="41">
        <f t="shared" si="29"/>
        <v>2120936.257877882</v>
      </c>
      <c r="BQ59" s="41">
        <f t="shared" si="23"/>
        <v>7551061.341610637</v>
      </c>
      <c r="BR59" s="41">
        <f t="shared" si="24"/>
        <v>4277132.4427958885</v>
      </c>
      <c r="BS59" s="41">
        <f t="shared" si="25"/>
        <v>612383.5938730489</v>
      </c>
      <c r="BT59" s="41">
        <f t="shared" si="26"/>
        <v>138955.5882173234</v>
      </c>
      <c r="BU59" s="41">
        <f t="shared" si="27"/>
        <v>-118073.71681579773</v>
      </c>
      <c r="BV59" s="42">
        <f t="shared" si="28"/>
        <v>16829194.88044128</v>
      </c>
    </row>
    <row r="60" spans="2:74" ht="15">
      <c r="B60" s="16">
        <v>1983</v>
      </c>
      <c r="C60" s="33">
        <v>1244.685870156432</v>
      </c>
      <c r="D60" s="33">
        <v>674.9399477679073</v>
      </c>
      <c r="E60" s="33">
        <v>1361.990862969439</v>
      </c>
      <c r="F60" s="33">
        <v>3333.0551026553294</v>
      </c>
      <c r="G60" s="33">
        <v>3642.257205996832</v>
      </c>
      <c r="H60" s="33">
        <v>4565.936247424017</v>
      </c>
      <c r="I60" s="33">
        <v>2995.8805054087507</v>
      </c>
      <c r="J60" s="33">
        <v>4575.939718352281</v>
      </c>
      <c r="K60" s="33">
        <v>4644.277254923597</v>
      </c>
      <c r="L60" s="33">
        <v>4369.461718663581</v>
      </c>
      <c r="M60" s="33">
        <v>2277.9196610120644</v>
      </c>
      <c r="N60" s="33">
        <v>893.8463115238801</v>
      </c>
      <c r="O60" s="34">
        <f t="shared" si="2"/>
        <v>2881.337156517928</v>
      </c>
      <c r="Q60" s="16">
        <v>1983</v>
      </c>
      <c r="R60" s="33">
        <f>('FY19 Spill Cost'!C60-'FY19 Spill Cost'!T60)*(1-$S$3)</f>
        <v>0</v>
      </c>
      <c r="S60" s="33">
        <f>('FY19 Spill Cost'!D60-'FY19 Spill Cost'!U60)*(1-$S$3)</f>
        <v>0</v>
      </c>
      <c r="T60" s="33">
        <f>('FY19 Spill Cost'!E60-'FY19 Spill Cost'!V60)*(1-$S$3)</f>
        <v>0</v>
      </c>
      <c r="U60" s="33">
        <f>('FY19 Spill Cost'!F60-'FY19 Spill Cost'!W60)*(1-$S$3)</f>
        <v>0</v>
      </c>
      <c r="V60" s="33">
        <f>('FY19 Spill Cost'!G60-'FY19 Spill Cost'!X60)*(1-$S$3)</f>
        <v>0</v>
      </c>
      <c r="W60" s="33">
        <f>('FY19 Spill Cost'!H60-'FY19 Spill Cost'!Y60)*(1-$S$3)</f>
        <v>0</v>
      </c>
      <c r="X60" s="33">
        <f>(('FY19 Spill Cost'!I60-'FY19 Spill Cost'!Z60)*15/30+('FY19 Spill Cost'!J60-'FY19 Spill Cost'!AA60)*15/30)*(1-$S$3)</f>
        <v>752.9396290000001</v>
      </c>
      <c r="Y60" s="33">
        <f>('FY19 Spill Cost'!K60-'FY19 Spill Cost'!AB60)*(1-$S$3)</f>
        <v>820.5458040000001</v>
      </c>
      <c r="Z60" s="33">
        <f>('FY19 Spill Cost'!L60-'FY19 Spill Cost'!AC60)*(1-$S$3)</f>
        <v>509.94372000000004</v>
      </c>
      <c r="AA60" s="33">
        <f>('FY19 Spill Cost'!M60-'FY19 Spill Cost'!AD60)*(1-$S$3)</f>
        <v>-98.898176</v>
      </c>
      <c r="AB60" s="33">
        <f>(('FY19 Spill Cost'!N60-'FY19 Spill Cost'!AE60)*15/31+('FY19 Spill Cost'!O60-'FY19 Spill Cost'!AF60)*16/31)*(1-$S$3)</f>
        <v>132.5704128387097</v>
      </c>
      <c r="AC60" s="33">
        <f>('FY19 Spill Cost'!P60-'FY19 Spill Cost'!AG60)*(1-$S$3)</f>
        <v>0</v>
      </c>
      <c r="AD60" s="34">
        <f t="shared" si="3"/>
        <v>176.3486568109589</v>
      </c>
      <c r="AF60" s="16">
        <v>1983</v>
      </c>
      <c r="AG60" s="33">
        <f t="shared" si="4"/>
        <v>1244.685870156432</v>
      </c>
      <c r="AH60" s="33">
        <f t="shared" si="5"/>
        <v>674.9399477679073</v>
      </c>
      <c r="AI60" s="33">
        <f t="shared" si="6"/>
        <v>1361.990862969439</v>
      </c>
      <c r="AJ60" s="33">
        <f t="shared" si="7"/>
        <v>3333.0551026553294</v>
      </c>
      <c r="AK60" s="33">
        <f t="shared" si="8"/>
        <v>3642.257205996832</v>
      </c>
      <c r="AL60" s="33">
        <f t="shared" si="9"/>
        <v>4565.936247424017</v>
      </c>
      <c r="AM60" s="33">
        <f t="shared" si="10"/>
        <v>2242.9408764087507</v>
      </c>
      <c r="AN60" s="33">
        <f t="shared" si="11"/>
        <v>3755.3939143522803</v>
      </c>
      <c r="AO60" s="33">
        <f t="shared" si="12"/>
        <v>4134.333534923597</v>
      </c>
      <c r="AP60" s="33">
        <f t="shared" si="13"/>
        <v>4468.359894663581</v>
      </c>
      <c r="AQ60" s="33">
        <f t="shared" si="14"/>
        <v>2145.3492481733547</v>
      </c>
      <c r="AR60" s="33">
        <f t="shared" si="15"/>
        <v>893.8463115238801</v>
      </c>
      <c r="AS60" s="34">
        <f t="shared" si="16"/>
        <v>2704.9884997069694</v>
      </c>
      <c r="AT60" s="33"/>
      <c r="AU60" s="16">
        <v>1983</v>
      </c>
      <c r="AV60" s="23">
        <f>'FY19 Aurora Prices for SecR'!AR59-'FY19 Aurora Prices for SecR'!AD59</f>
        <v>-0.07469469424217579</v>
      </c>
      <c r="AW60" s="23">
        <f>'FY19 Aurora Prices for SecR'!AS59-'FY19 Aurora Prices for SecR'!AE59</f>
        <v>-0.034408853917145876</v>
      </c>
      <c r="AX60" s="23">
        <f>'FY19 Aurora Prices for SecR'!AT59-'FY19 Aurora Prices for SecR'!AF59</f>
        <v>-0.019346288455469818</v>
      </c>
      <c r="AY60" s="23">
        <f>'FY19 Aurora Prices for SecR'!AU59-'FY19 Aurora Prices for SecR'!AG59</f>
        <v>0.025452307475497093</v>
      </c>
      <c r="AZ60" s="23">
        <f>'FY19 Aurora Prices for SecR'!AV59-'FY19 Aurora Prices for SecR'!AH59</f>
        <v>0.02045806816645168</v>
      </c>
      <c r="BA60" s="23">
        <f>'FY19 Aurora Prices for SecR'!AW59-'FY19 Aurora Prices for SecR'!AI59</f>
        <v>0.04119903094678534</v>
      </c>
      <c r="BB60" s="23">
        <f>'FY19 Aurora Prices for SecR'!AX59-'FY19 Aurora Prices for SecR'!AJ59</f>
        <v>0.8994504886202961</v>
      </c>
      <c r="BC60" s="23">
        <f>'FY19 Aurora Prices for SecR'!AY59-'FY19 Aurora Prices for SecR'!AK59</f>
        <v>1.6115857485801879</v>
      </c>
      <c r="BD60" s="23">
        <f>'FY19 Aurora Prices for SecR'!AZ59-'FY19 Aurora Prices for SecR'!AL59</f>
        <v>1.4301883882946598</v>
      </c>
      <c r="BE60" s="23">
        <f>'FY19 Aurora Prices for SecR'!BA59-'FY19 Aurora Prices for SecR'!AM59</f>
        <v>-0.14748171644824737</v>
      </c>
      <c r="BF60" s="23">
        <f>'FY19 Aurora Prices for SecR'!BB59-'FY19 Aurora Prices for SecR'!AN59</f>
        <v>0.2982067185063286</v>
      </c>
      <c r="BG60" s="24">
        <f>'FY19 Aurora Prices for SecR'!BC59-'FY19 Aurora Prices for SecR'!AO59</f>
        <v>-0.021253630320249073</v>
      </c>
      <c r="BI60" s="16">
        <v>1983</v>
      </c>
      <c r="BJ60" s="41">
        <f t="shared" si="17"/>
        <v>-69170.74429117504</v>
      </c>
      <c r="BK60" s="41">
        <f t="shared" si="18"/>
        <v>-16744.439157291825</v>
      </c>
      <c r="BL60" s="41">
        <f t="shared" si="19"/>
        <v>-19604.004272888447</v>
      </c>
      <c r="BM60" s="41">
        <f t="shared" si="20"/>
        <v>63116.453819335125</v>
      </c>
      <c r="BN60" s="41">
        <f t="shared" si="21"/>
        <v>50073.1030464222</v>
      </c>
      <c r="BO60" s="41">
        <f t="shared" si="22"/>
        <v>139767.32652769255</v>
      </c>
      <c r="BP60" s="41">
        <f t="shared" si="29"/>
        <v>1452538.2724072458</v>
      </c>
      <c r="BQ60" s="41">
        <f t="shared" si="23"/>
        <v>4502791.648630126</v>
      </c>
      <c r="BR60" s="41">
        <f t="shared" si="24"/>
        <v>4257270.586789158</v>
      </c>
      <c r="BS60" s="41">
        <f t="shared" si="25"/>
        <v>-490297.0319082801</v>
      </c>
      <c r="BT60" s="41">
        <f t="shared" si="26"/>
        <v>475979.62415475975</v>
      </c>
      <c r="BU60" s="41">
        <f t="shared" si="27"/>
        <v>-13678.184929137651</v>
      </c>
      <c r="BV60" s="42">
        <f t="shared" si="28"/>
        <v>10332042.610815967</v>
      </c>
    </row>
    <row r="61" spans="2:74" ht="15">
      <c r="B61" s="16">
        <v>1984</v>
      </c>
      <c r="C61" s="33">
        <v>541.3698396617564</v>
      </c>
      <c r="D61" s="33">
        <v>2208.1603446473605</v>
      </c>
      <c r="E61" s="33">
        <v>1698.2863260509876</v>
      </c>
      <c r="F61" s="33">
        <v>2605.627360359433</v>
      </c>
      <c r="G61" s="33">
        <v>2981.983199056666</v>
      </c>
      <c r="H61" s="33">
        <v>3056.6208498013248</v>
      </c>
      <c r="I61" s="33">
        <v>4840.134538197325</v>
      </c>
      <c r="J61" s="33">
        <v>4735.11446855332</v>
      </c>
      <c r="K61" s="33">
        <v>5513.581825253719</v>
      </c>
      <c r="L61" s="33">
        <v>3807.1104577934325</v>
      </c>
      <c r="M61" s="33">
        <v>1756.176037082238</v>
      </c>
      <c r="N61" s="33">
        <v>845.6891924878719</v>
      </c>
      <c r="O61" s="34">
        <f t="shared" si="2"/>
        <v>2876.429094763025</v>
      </c>
      <c r="Q61" s="16">
        <v>1984</v>
      </c>
      <c r="R61" s="33">
        <f>('FY19 Spill Cost'!C61-'FY19 Spill Cost'!T61)*(1-$S$3)</f>
        <v>0</v>
      </c>
      <c r="S61" s="33">
        <f>('FY19 Spill Cost'!D61-'FY19 Spill Cost'!U61)*(1-$S$3)</f>
        <v>0</v>
      </c>
      <c r="T61" s="33">
        <f>('FY19 Spill Cost'!E61-'FY19 Spill Cost'!V61)*(1-$S$3)</f>
        <v>0</v>
      </c>
      <c r="U61" s="33">
        <f>('FY19 Spill Cost'!F61-'FY19 Spill Cost'!W61)*(1-$S$3)</f>
        <v>0</v>
      </c>
      <c r="V61" s="33">
        <f>('FY19 Spill Cost'!G61-'FY19 Spill Cost'!X61)*(1-$S$3)</f>
        <v>0</v>
      </c>
      <c r="W61" s="33">
        <f>('FY19 Spill Cost'!H61-'FY19 Spill Cost'!Y61)*(1-$S$3)</f>
        <v>0</v>
      </c>
      <c r="X61" s="33">
        <f>(('FY19 Spill Cost'!I61-'FY19 Spill Cost'!Z61)*15/30+('FY19 Spill Cost'!J61-'FY19 Spill Cost'!AA61)*15/30)*(1-$S$3)</f>
        <v>537.758832</v>
      </c>
      <c r="Y61" s="33">
        <f>('FY19 Spill Cost'!K61-'FY19 Spill Cost'!AB61)*(1-$S$3)</f>
        <v>701.558936</v>
      </c>
      <c r="Z61" s="33">
        <f>('FY19 Spill Cost'!L61-'FY19 Spill Cost'!AC61)*(1-$S$3)</f>
        <v>213.24919200000002</v>
      </c>
      <c r="AA61" s="33">
        <f>('FY19 Spill Cost'!M61-'FY19 Spill Cost'!AD61)*(1-$S$3)</f>
        <v>-98.125534</v>
      </c>
      <c r="AB61" s="33">
        <f>(('FY19 Spill Cost'!N61-'FY19 Spill Cost'!AE61)*15/31+('FY19 Spill Cost'!O61-'FY19 Spill Cost'!AF61)*16/31)*(1-$S$3)</f>
        <v>115.29812554838712</v>
      </c>
      <c r="AC61" s="33">
        <f>('FY19 Spill Cost'!P61-'FY19 Spill Cost'!AG61)*(1-$S$3)</f>
        <v>0</v>
      </c>
      <c r="AD61" s="34">
        <f t="shared" si="3"/>
        <v>122.7696385589041</v>
      </c>
      <c r="AF61" s="16">
        <v>1984</v>
      </c>
      <c r="AG61" s="33">
        <f t="shared" si="4"/>
        <v>541.3698396617564</v>
      </c>
      <c r="AH61" s="33">
        <f t="shared" si="5"/>
        <v>2208.1603446473605</v>
      </c>
      <c r="AI61" s="33">
        <f t="shared" si="6"/>
        <v>1698.2863260509876</v>
      </c>
      <c r="AJ61" s="33">
        <f t="shared" si="7"/>
        <v>2605.627360359433</v>
      </c>
      <c r="AK61" s="33">
        <f t="shared" si="8"/>
        <v>2981.983199056666</v>
      </c>
      <c r="AL61" s="33">
        <f t="shared" si="9"/>
        <v>3056.6208498013248</v>
      </c>
      <c r="AM61" s="33">
        <f t="shared" si="10"/>
        <v>4302.375706197325</v>
      </c>
      <c r="AN61" s="33">
        <f t="shared" si="11"/>
        <v>4033.55553255332</v>
      </c>
      <c r="AO61" s="33">
        <f t="shared" si="12"/>
        <v>5300.332633253719</v>
      </c>
      <c r="AP61" s="33">
        <f t="shared" si="13"/>
        <v>3905.2359917934323</v>
      </c>
      <c r="AQ61" s="33">
        <f t="shared" si="14"/>
        <v>1640.877911533851</v>
      </c>
      <c r="AR61" s="33">
        <f t="shared" si="15"/>
        <v>845.6891924878719</v>
      </c>
      <c r="AS61" s="34">
        <f t="shared" si="16"/>
        <v>2753.6594562041214</v>
      </c>
      <c r="AT61" s="33"/>
      <c r="AU61" s="16">
        <v>1984</v>
      </c>
      <c r="AV61" s="23">
        <f>'FY19 Aurora Prices for SecR'!AR60-'FY19 Aurora Prices for SecR'!AD60</f>
        <v>-0.007162776300972951</v>
      </c>
      <c r="AW61" s="23">
        <f>'FY19 Aurora Prices for SecR'!AS60-'FY19 Aurora Prices for SecR'!AE60</f>
        <v>0.029845965553402465</v>
      </c>
      <c r="AX61" s="23">
        <f>'FY19 Aurora Prices for SecR'!AT60-'FY19 Aurora Prices for SecR'!AF60</f>
        <v>-0.0169768941018269</v>
      </c>
      <c r="AY61" s="23">
        <f>'FY19 Aurora Prices for SecR'!AU60-'FY19 Aurora Prices for SecR'!AG60</f>
        <v>0.025185884198858588</v>
      </c>
      <c r="AZ61" s="23">
        <f>'FY19 Aurora Prices for SecR'!AV60-'FY19 Aurora Prices for SecR'!AH60</f>
        <v>0.009425623076332101</v>
      </c>
      <c r="BA61" s="23">
        <f>'FY19 Aurora Prices for SecR'!AW60-'FY19 Aurora Prices for SecR'!AI60</f>
        <v>0.01570431406376116</v>
      </c>
      <c r="BB61" s="23">
        <f>'FY19 Aurora Prices for SecR'!AX60-'FY19 Aurora Prices for SecR'!AJ60</f>
        <v>0.8357443864146497</v>
      </c>
      <c r="BC61" s="23">
        <f>'FY19 Aurora Prices for SecR'!AY60-'FY19 Aurora Prices for SecR'!AK60</f>
        <v>1.126714221636469</v>
      </c>
      <c r="BD61" s="23">
        <f>'FY19 Aurora Prices for SecR'!AZ60-'FY19 Aurora Prices for SecR'!AL60</f>
        <v>0.8000060460634089</v>
      </c>
      <c r="BE61" s="23">
        <f>'FY19 Aurora Prices for SecR'!BA60-'FY19 Aurora Prices for SecR'!AM60</f>
        <v>-0.31097128200595137</v>
      </c>
      <c r="BF61" s="23">
        <f>'FY19 Aurora Prices for SecR'!BB60-'FY19 Aurora Prices for SecR'!AN60</f>
        <v>0.09786893090894822</v>
      </c>
      <c r="BG61" s="24">
        <f>'FY19 Aurora Prices for SecR'!BC60-'FY19 Aurora Prices for SecR'!AO60</f>
        <v>-0.05405555248264449</v>
      </c>
      <c r="BI61" s="16">
        <v>1984</v>
      </c>
      <c r="BJ61" s="41">
        <f t="shared" si="17"/>
        <v>-2885.0170268475217</v>
      </c>
      <c r="BK61" s="41">
        <f t="shared" si="18"/>
        <v>47517.272537151526</v>
      </c>
      <c r="BL61" s="41">
        <f t="shared" si="19"/>
        <v>-21450.730571289525</v>
      </c>
      <c r="BM61" s="41">
        <f t="shared" si="20"/>
        <v>48825.02154876236</v>
      </c>
      <c r="BN61" s="41">
        <f t="shared" si="21"/>
        <v>18887.937367664825</v>
      </c>
      <c r="BO61" s="41">
        <f t="shared" si="22"/>
        <v>35665.58541274656</v>
      </c>
      <c r="BP61" s="41">
        <f t="shared" si="29"/>
        <v>2588894.168184848</v>
      </c>
      <c r="BQ61" s="41">
        <f t="shared" si="23"/>
        <v>3381230.3004224855</v>
      </c>
      <c r="BR61" s="41">
        <f t="shared" si="24"/>
        <v>3053014.669980118</v>
      </c>
      <c r="BS61" s="41">
        <f t="shared" si="25"/>
        <v>-903525.6847204173</v>
      </c>
      <c r="BT61" s="41">
        <f t="shared" si="26"/>
        <v>119479.67941372072</v>
      </c>
      <c r="BU61" s="41">
        <f t="shared" si="27"/>
        <v>-32914.221500544045</v>
      </c>
      <c r="BV61" s="42">
        <f t="shared" si="28"/>
        <v>8332738.9810484</v>
      </c>
    </row>
    <row r="62" spans="2:74" ht="15">
      <c r="B62" s="16">
        <v>1985</v>
      </c>
      <c r="C62" s="33">
        <v>549.4818951757993</v>
      </c>
      <c r="D62" s="33">
        <v>675.6660071025987</v>
      </c>
      <c r="E62" s="33">
        <v>740.9555225699328</v>
      </c>
      <c r="F62" s="33">
        <v>959.1817213706387</v>
      </c>
      <c r="G62" s="33">
        <v>892.7702853066173</v>
      </c>
      <c r="H62" s="33">
        <v>882.279040281864</v>
      </c>
      <c r="I62" s="33">
        <v>3227.5287289947255</v>
      </c>
      <c r="J62" s="33">
        <v>3848.054181672782</v>
      </c>
      <c r="K62" s="33">
        <v>1880.3032116424274</v>
      </c>
      <c r="L62" s="33">
        <v>845.6446587960976</v>
      </c>
      <c r="M62" s="33">
        <v>-196.561355831218</v>
      </c>
      <c r="N62" s="33">
        <v>315.39425303271116</v>
      </c>
      <c r="O62" s="34">
        <f t="shared" si="2"/>
        <v>1217.6872074533956</v>
      </c>
      <c r="Q62" s="16">
        <v>1985</v>
      </c>
      <c r="R62" s="33">
        <f>('FY19 Spill Cost'!C62-'FY19 Spill Cost'!T62)*(1-$S$3)</f>
        <v>0</v>
      </c>
      <c r="S62" s="33">
        <f>('FY19 Spill Cost'!D62-'FY19 Spill Cost'!U62)*(1-$S$3)</f>
        <v>0</v>
      </c>
      <c r="T62" s="33">
        <f>('FY19 Spill Cost'!E62-'FY19 Spill Cost'!V62)*(1-$S$3)</f>
        <v>0</v>
      </c>
      <c r="U62" s="33">
        <f>('FY19 Spill Cost'!F62-'FY19 Spill Cost'!W62)*(1-$S$3)</f>
        <v>0</v>
      </c>
      <c r="V62" s="33">
        <f>('FY19 Spill Cost'!G62-'FY19 Spill Cost'!X62)*(1-$S$3)</f>
        <v>0</v>
      </c>
      <c r="W62" s="33">
        <f>('FY19 Spill Cost'!H62-'FY19 Spill Cost'!Y62)*(1-$S$3)</f>
        <v>0</v>
      </c>
      <c r="X62" s="33">
        <f>(('FY19 Spill Cost'!I62-'FY19 Spill Cost'!Z62)*15/30+('FY19 Spill Cost'!J62-'FY19 Spill Cost'!AA62)*15/30)*(1-$S$3)</f>
        <v>728.601406</v>
      </c>
      <c r="Y62" s="33">
        <f>('FY19 Spill Cost'!K62-'FY19 Spill Cost'!AB62)*(1-$S$3)</f>
        <v>936.4421040000001</v>
      </c>
      <c r="Z62" s="33">
        <f>('FY19 Spill Cost'!L62-'FY19 Spill Cost'!AC62)*(1-$S$3)</f>
        <v>657.5183420000001</v>
      </c>
      <c r="AA62" s="33">
        <f>('FY19 Spill Cost'!M62-'FY19 Spill Cost'!AD62)*(1-$S$3)</f>
        <v>-0.772642</v>
      </c>
      <c r="AB62" s="33">
        <f>(('FY19 Spill Cost'!N62-'FY19 Spill Cost'!AE62)*15/31+('FY19 Spill Cost'!O62-'FY19 Spill Cost'!AF62)*16/31)*(1-$S$3)</f>
        <v>74.946274</v>
      </c>
      <c r="AC62" s="33">
        <f>('FY19 Spill Cost'!P62-'FY19 Spill Cost'!AG62)*(1-$S$3)</f>
        <v>0</v>
      </c>
      <c r="AD62" s="34">
        <f t="shared" si="3"/>
        <v>199.76076782465753</v>
      </c>
      <c r="AF62" s="16">
        <v>1985</v>
      </c>
      <c r="AG62" s="33">
        <f t="shared" si="4"/>
        <v>549.4818951757993</v>
      </c>
      <c r="AH62" s="33">
        <f t="shared" si="5"/>
        <v>675.6660071025987</v>
      </c>
      <c r="AI62" s="33">
        <f t="shared" si="6"/>
        <v>740.9555225699328</v>
      </c>
      <c r="AJ62" s="33">
        <f t="shared" si="7"/>
        <v>959.1817213706387</v>
      </c>
      <c r="AK62" s="33">
        <f t="shared" si="8"/>
        <v>892.7702853066173</v>
      </c>
      <c r="AL62" s="33">
        <f t="shared" si="9"/>
        <v>882.279040281864</v>
      </c>
      <c r="AM62" s="33">
        <f t="shared" si="10"/>
        <v>2498.9273229947257</v>
      </c>
      <c r="AN62" s="33">
        <f t="shared" si="11"/>
        <v>2911.6120776727817</v>
      </c>
      <c r="AO62" s="33">
        <f t="shared" si="12"/>
        <v>1222.7848696424273</v>
      </c>
      <c r="AP62" s="33">
        <f t="shared" si="13"/>
        <v>846.4173007960976</v>
      </c>
      <c r="AQ62" s="33">
        <f t="shared" si="14"/>
        <v>-271.507629831218</v>
      </c>
      <c r="AR62" s="33">
        <f t="shared" si="15"/>
        <v>315.39425303271116</v>
      </c>
      <c r="AS62" s="34">
        <f t="shared" si="16"/>
        <v>1017.9264396287384</v>
      </c>
      <c r="AT62" s="33"/>
      <c r="AU62" s="16">
        <v>1985</v>
      </c>
      <c r="AV62" s="23">
        <f>'FY19 Aurora Prices for SecR'!AR61-'FY19 Aurora Prices for SecR'!AD61</f>
        <v>-0.07701763260750383</v>
      </c>
      <c r="AW62" s="23">
        <f>'FY19 Aurora Prices for SecR'!AS61-'FY19 Aurora Prices for SecR'!AE61</f>
        <v>-0.01505589782776795</v>
      </c>
      <c r="AX62" s="23">
        <f>'FY19 Aurora Prices for SecR'!AT61-'FY19 Aurora Prices for SecR'!AF61</f>
        <v>0.0384278087205594</v>
      </c>
      <c r="AY62" s="23">
        <f>'FY19 Aurora Prices for SecR'!AU61-'FY19 Aurora Prices for SecR'!AG61</f>
        <v>0.03604244109124366</v>
      </c>
      <c r="AZ62" s="23">
        <f>'FY19 Aurora Prices for SecR'!AV61-'FY19 Aurora Prices for SecR'!AH61</f>
        <v>0.023728200367479246</v>
      </c>
      <c r="BA62" s="23">
        <f>'FY19 Aurora Prices for SecR'!AW61-'FY19 Aurora Prices for SecR'!AI61</f>
        <v>0.051206179229968285</v>
      </c>
      <c r="BB62" s="23">
        <f>'FY19 Aurora Prices for SecR'!AX61-'FY19 Aurora Prices for SecR'!AJ61</f>
        <v>0.7951079034804884</v>
      </c>
      <c r="BC62" s="23">
        <f>'FY19 Aurora Prices for SecR'!AY61-'FY19 Aurora Prices for SecR'!AK61</f>
        <v>1.3614967296200131</v>
      </c>
      <c r="BD62" s="23">
        <f>'FY19 Aurora Prices for SecR'!AZ61-'FY19 Aurora Prices for SecR'!AL61</f>
        <v>0.7281742440329673</v>
      </c>
      <c r="BE62" s="23">
        <f>'FY19 Aurora Prices for SecR'!BA61-'FY19 Aurora Prices for SecR'!AM61</f>
        <v>-0.042104525976252916</v>
      </c>
      <c r="BF62" s="23">
        <f>'FY19 Aurora Prices for SecR'!BB61-'FY19 Aurora Prices for SecR'!AN61</f>
        <v>0.16091230607798224</v>
      </c>
      <c r="BG62" s="24">
        <f>'FY19 Aurora Prices for SecR'!BC61-'FY19 Aurora Prices for SecR'!AO61</f>
        <v>-0.003261016209954448</v>
      </c>
      <c r="BI62" s="16">
        <v>1985</v>
      </c>
      <c r="BJ62" s="41">
        <f t="shared" si="17"/>
        <v>-31485.927276980732</v>
      </c>
      <c r="BK62" s="41">
        <f t="shared" si="18"/>
        <v>-7334.558783784147</v>
      </c>
      <c r="BL62" s="41">
        <f t="shared" si="19"/>
        <v>21184.13303626907</v>
      </c>
      <c r="BM62" s="41">
        <f t="shared" si="20"/>
        <v>25721.01051209441</v>
      </c>
      <c r="BN62" s="41">
        <f t="shared" si="21"/>
        <v>14235.535246388083</v>
      </c>
      <c r="BO62" s="41">
        <f t="shared" si="22"/>
        <v>33567.35702996553</v>
      </c>
      <c r="BP62" s="41">
        <f t="shared" si="29"/>
        <v>1430580.142610241</v>
      </c>
      <c r="BQ62" s="41">
        <f t="shared" si="23"/>
        <v>2949327.839325176</v>
      </c>
      <c r="BR62" s="41">
        <f t="shared" si="24"/>
        <v>641088.322608114</v>
      </c>
      <c r="BS62" s="41">
        <f t="shared" si="25"/>
        <v>-26514.671425720662</v>
      </c>
      <c r="BT62" s="41">
        <f t="shared" si="26"/>
        <v>-32504.555612427892</v>
      </c>
      <c r="BU62" s="41">
        <f t="shared" si="27"/>
        <v>-740.524155599625</v>
      </c>
      <c r="BV62" s="42">
        <f t="shared" si="28"/>
        <v>5017124.103113734</v>
      </c>
    </row>
    <row r="63" spans="2:74" ht="15">
      <c r="B63" s="16">
        <v>1986</v>
      </c>
      <c r="C63" s="33">
        <v>124.59231228042313</v>
      </c>
      <c r="D63" s="33">
        <v>1627.4405126397844</v>
      </c>
      <c r="E63" s="33">
        <v>926.5867381887035</v>
      </c>
      <c r="F63" s="33">
        <v>2456.9257448327053</v>
      </c>
      <c r="G63" s="33">
        <v>3236.4042364070574</v>
      </c>
      <c r="H63" s="33">
        <v>5508.08312289405</v>
      </c>
      <c r="I63" s="33">
        <v>4857.846714300909</v>
      </c>
      <c r="J63" s="33">
        <v>3449.763711702416</v>
      </c>
      <c r="K63" s="33">
        <v>3682.584950512788</v>
      </c>
      <c r="L63" s="33">
        <v>1799.1486715246676</v>
      </c>
      <c r="M63" s="33">
        <v>597.5663367990719</v>
      </c>
      <c r="N63" s="33">
        <v>7.810200711483695</v>
      </c>
      <c r="O63" s="34">
        <f t="shared" si="2"/>
        <v>2346.495239197633</v>
      </c>
      <c r="Q63" s="16">
        <v>1986</v>
      </c>
      <c r="R63" s="33">
        <f>('FY19 Spill Cost'!C63-'FY19 Spill Cost'!T63)*(1-$S$3)</f>
        <v>0</v>
      </c>
      <c r="S63" s="33">
        <f>('FY19 Spill Cost'!D63-'FY19 Spill Cost'!U63)*(1-$S$3)</f>
        <v>0</v>
      </c>
      <c r="T63" s="33">
        <f>('FY19 Spill Cost'!E63-'FY19 Spill Cost'!V63)*(1-$S$3)</f>
        <v>0</v>
      </c>
      <c r="U63" s="33">
        <f>('FY19 Spill Cost'!F63-'FY19 Spill Cost'!W63)*(1-$S$3)</f>
        <v>0</v>
      </c>
      <c r="V63" s="33">
        <f>('FY19 Spill Cost'!G63-'FY19 Spill Cost'!X63)*(1-$S$3)</f>
        <v>0</v>
      </c>
      <c r="W63" s="33">
        <f>('FY19 Spill Cost'!H63-'FY19 Spill Cost'!Y63)*(1-$S$3)</f>
        <v>0</v>
      </c>
      <c r="X63" s="33">
        <f>(('FY19 Spill Cost'!I63-'FY19 Spill Cost'!Z63)*15/30+('FY19 Spill Cost'!J63-'FY19 Spill Cost'!AA63)*15/30)*(1-$S$3)</f>
        <v>574.0730060000001</v>
      </c>
      <c r="Y63" s="33">
        <f>('FY19 Spill Cost'!K63-'FY19 Spill Cost'!AB63)*(1-$S$3)</f>
        <v>995.9355380000001</v>
      </c>
      <c r="Z63" s="33">
        <f>('FY19 Spill Cost'!L63-'FY19 Spill Cost'!AC63)*(1-$S$3)</f>
        <v>533.895622</v>
      </c>
      <c r="AA63" s="33">
        <f>('FY19 Spill Cost'!M63-'FY19 Spill Cost'!AD63)*(1-$S$3)</f>
        <v>-25.497186000000003</v>
      </c>
      <c r="AB63" s="33">
        <f>(('FY19 Spill Cost'!N63-'FY19 Spill Cost'!AE63)*15/31+('FY19 Spill Cost'!O63-'FY19 Spill Cost'!AF63)*16/31)*(1-$S$3)</f>
        <v>108.19480393548388</v>
      </c>
      <c r="AC63" s="33">
        <f>('FY19 Spill Cost'!P63-'FY19 Spill Cost'!AG63)*(1-$S$3)</f>
        <v>0</v>
      </c>
      <c r="AD63" s="34">
        <f t="shared" si="3"/>
        <v>182.67585390136986</v>
      </c>
      <c r="AF63" s="16">
        <v>1986</v>
      </c>
      <c r="AG63" s="33">
        <f t="shared" si="4"/>
        <v>124.59231228042313</v>
      </c>
      <c r="AH63" s="33">
        <f t="shared" si="5"/>
        <v>1627.4405126397844</v>
      </c>
      <c r="AI63" s="33">
        <f t="shared" si="6"/>
        <v>926.5867381887035</v>
      </c>
      <c r="AJ63" s="33">
        <f t="shared" si="7"/>
        <v>2456.9257448327053</v>
      </c>
      <c r="AK63" s="33">
        <f t="shared" si="8"/>
        <v>3236.4042364070574</v>
      </c>
      <c r="AL63" s="33">
        <f t="shared" si="9"/>
        <v>5508.08312289405</v>
      </c>
      <c r="AM63" s="33">
        <f t="shared" si="10"/>
        <v>4283.773708300909</v>
      </c>
      <c r="AN63" s="33">
        <f t="shared" si="11"/>
        <v>2453.828173702416</v>
      </c>
      <c r="AO63" s="33">
        <f t="shared" si="12"/>
        <v>3148.689328512788</v>
      </c>
      <c r="AP63" s="33">
        <f t="shared" si="13"/>
        <v>1824.6458575246677</v>
      </c>
      <c r="AQ63" s="33">
        <f t="shared" si="14"/>
        <v>489.371532863588</v>
      </c>
      <c r="AR63" s="33">
        <f t="shared" si="15"/>
        <v>7.810200711483695</v>
      </c>
      <c r="AS63" s="34">
        <f t="shared" si="16"/>
        <v>2163.819385296262</v>
      </c>
      <c r="AT63" s="33"/>
      <c r="AU63" s="16">
        <v>1986</v>
      </c>
      <c r="AV63" s="23">
        <f>'FY19 Aurora Prices for SecR'!AR62-'FY19 Aurora Prices for SecR'!AD62</f>
        <v>-0.015304710019034218</v>
      </c>
      <c r="AW63" s="23">
        <f>'FY19 Aurora Prices for SecR'!AS62-'FY19 Aurora Prices for SecR'!AE62</f>
        <v>0.0009515246802997979</v>
      </c>
      <c r="AX63" s="23">
        <f>'FY19 Aurora Prices for SecR'!AT62-'FY19 Aurora Prices for SecR'!AF62</f>
        <v>0.0028101951845016515</v>
      </c>
      <c r="AY63" s="23">
        <f>'FY19 Aurora Prices for SecR'!AU62-'FY19 Aurora Prices for SecR'!AG62</f>
        <v>-0.0017568962548253353</v>
      </c>
      <c r="AZ63" s="23">
        <f>'FY19 Aurora Prices for SecR'!AV62-'FY19 Aurora Prices for SecR'!AH62</f>
        <v>0.019969970839394335</v>
      </c>
      <c r="BA63" s="23">
        <f>'FY19 Aurora Prices for SecR'!AW62-'FY19 Aurora Prices for SecR'!AI62</f>
        <v>0.07780464531233733</v>
      </c>
      <c r="BB63" s="23">
        <f>'FY19 Aurora Prices for SecR'!AX62-'FY19 Aurora Prices for SecR'!AJ62</f>
        <v>1.314849565823879</v>
      </c>
      <c r="BC63" s="23">
        <f>'FY19 Aurora Prices for SecR'!AY62-'FY19 Aurora Prices for SecR'!AK62</f>
        <v>1.318768212359398</v>
      </c>
      <c r="BD63" s="23">
        <f>'FY19 Aurora Prices for SecR'!AZ62-'FY19 Aurora Prices for SecR'!AL62</f>
        <v>0.8577265739440563</v>
      </c>
      <c r="BE63" s="23">
        <f>'FY19 Aurora Prices for SecR'!BA62-'FY19 Aurora Prices for SecR'!AM62</f>
        <v>-0.007955466547318935</v>
      </c>
      <c r="BF63" s="23">
        <f>'FY19 Aurora Prices for SecR'!BB62-'FY19 Aurora Prices for SecR'!AN62</f>
        <v>0.17850424628103667</v>
      </c>
      <c r="BG63" s="24">
        <f>'FY19 Aurora Prices for SecR'!BC62-'FY19 Aurora Prices for SecR'!AO62</f>
        <v>-0.0027794933318645576</v>
      </c>
      <c r="BI63" s="16">
        <v>1986</v>
      </c>
      <c r="BJ63" s="41">
        <f t="shared" si="17"/>
        <v>-1418.695812279307</v>
      </c>
      <c r="BK63" s="41">
        <f t="shared" si="18"/>
        <v>1116.5044155309836</v>
      </c>
      <c r="BL63" s="41">
        <f t="shared" si="19"/>
        <v>1937.2938547226543</v>
      </c>
      <c r="BM63" s="41">
        <f t="shared" si="20"/>
        <v>-3211.5233477735123</v>
      </c>
      <c r="BN63" s="41">
        <f t="shared" si="21"/>
        <v>43431.9636075637</v>
      </c>
      <c r="BO63" s="41">
        <f t="shared" si="22"/>
        <v>318415.95911963866</v>
      </c>
      <c r="BP63" s="41">
        <f t="shared" si="29"/>
        <v>4055412.960321983</v>
      </c>
      <c r="BQ63" s="41">
        <f t="shared" si="23"/>
        <v>2407606.7619885723</v>
      </c>
      <c r="BR63" s="41">
        <f t="shared" si="24"/>
        <v>1944514.447314829</v>
      </c>
      <c r="BS63" s="41">
        <f t="shared" si="25"/>
        <v>-10799.836355699723</v>
      </c>
      <c r="BT63" s="41">
        <f t="shared" si="26"/>
        <v>64992.0430891565</v>
      </c>
      <c r="BU63" s="41">
        <f t="shared" si="27"/>
        <v>-15.630048574626784</v>
      </c>
      <c r="BV63" s="42">
        <f t="shared" si="28"/>
        <v>8821982.24814767</v>
      </c>
    </row>
    <row r="64" spans="2:74" ht="15">
      <c r="B64" s="16">
        <v>1987</v>
      </c>
      <c r="C64" s="33">
        <v>-77.29857821209718</v>
      </c>
      <c r="D64" s="33">
        <v>512.2902919557807</v>
      </c>
      <c r="E64" s="33">
        <v>821.4333273358076</v>
      </c>
      <c r="F64" s="33">
        <v>537.1548222887204</v>
      </c>
      <c r="G64" s="33">
        <v>-173.082920226177</v>
      </c>
      <c r="H64" s="33">
        <v>1399.5612085772727</v>
      </c>
      <c r="I64" s="33">
        <v>919.3548056547115</v>
      </c>
      <c r="J64" s="33">
        <v>3739.344521666927</v>
      </c>
      <c r="K64" s="33">
        <v>1734.4987151859018</v>
      </c>
      <c r="L64" s="33">
        <v>172.94749079593518</v>
      </c>
      <c r="M64" s="33">
        <v>3.1824418925901305</v>
      </c>
      <c r="N64" s="33">
        <v>35.96857062886418</v>
      </c>
      <c r="O64" s="34">
        <f t="shared" si="2"/>
        <v>810.0442804920513</v>
      </c>
      <c r="Q64" s="16">
        <v>1987</v>
      </c>
      <c r="R64" s="33">
        <f>('FY19 Spill Cost'!C64-'FY19 Spill Cost'!T64)*(1-$S$3)</f>
        <v>0</v>
      </c>
      <c r="S64" s="33">
        <f>('FY19 Spill Cost'!D64-'FY19 Spill Cost'!U64)*(1-$S$3)</f>
        <v>0</v>
      </c>
      <c r="T64" s="33">
        <f>('FY19 Spill Cost'!E64-'FY19 Spill Cost'!V64)*(1-$S$3)</f>
        <v>0</v>
      </c>
      <c r="U64" s="33">
        <f>('FY19 Spill Cost'!F64-'FY19 Spill Cost'!W64)*(1-$S$3)</f>
        <v>0</v>
      </c>
      <c r="V64" s="33">
        <f>('FY19 Spill Cost'!G64-'FY19 Spill Cost'!X64)*(1-$S$3)</f>
        <v>0</v>
      </c>
      <c r="W64" s="33">
        <f>('FY19 Spill Cost'!H64-'FY19 Spill Cost'!Y64)*(1-$S$3)</f>
        <v>0</v>
      </c>
      <c r="X64" s="33">
        <f>(('FY19 Spill Cost'!I64-'FY19 Spill Cost'!Z64)*15/30+('FY19 Spill Cost'!J64-'FY19 Spill Cost'!AA64)*15/30)*(1-$S$3)</f>
        <v>885.834053</v>
      </c>
      <c r="Y64" s="33">
        <f>('FY19 Spill Cost'!K64-'FY19 Spill Cost'!AB64)*(1-$S$3)</f>
        <v>896.26472</v>
      </c>
      <c r="Z64" s="33">
        <f>('FY19 Spill Cost'!L64-'FY19 Spill Cost'!AC64)*(1-$S$3)</f>
        <v>521.53335</v>
      </c>
      <c r="AA64" s="33">
        <f>('FY19 Spill Cost'!M64-'FY19 Spill Cost'!AD64)*(1-$S$3)</f>
        <v>2.317926</v>
      </c>
      <c r="AB64" s="33">
        <f>(('FY19 Spill Cost'!N64-'FY19 Spill Cost'!AE64)*15/31+('FY19 Spill Cost'!O64-'FY19 Spill Cost'!AF64)*16/31)*(1-$S$3)</f>
        <v>81.62588870967743</v>
      </c>
      <c r="AC64" s="33">
        <f>('FY19 Spill Cost'!P64-'FY19 Spill Cost'!AG64)*(1-$S$3)</f>
        <v>0</v>
      </c>
      <c r="AD64" s="34">
        <f t="shared" si="3"/>
        <v>198.92462100273974</v>
      </c>
      <c r="AF64" s="16">
        <v>1987</v>
      </c>
      <c r="AG64" s="33">
        <f t="shared" si="4"/>
        <v>-77.29857821209718</v>
      </c>
      <c r="AH64" s="33">
        <f t="shared" si="5"/>
        <v>512.2902919557807</v>
      </c>
      <c r="AI64" s="33">
        <f t="shared" si="6"/>
        <v>821.4333273358076</v>
      </c>
      <c r="AJ64" s="33">
        <f t="shared" si="7"/>
        <v>537.1548222887204</v>
      </c>
      <c r="AK64" s="33">
        <f t="shared" si="8"/>
        <v>-173.082920226177</v>
      </c>
      <c r="AL64" s="33">
        <f t="shared" si="9"/>
        <v>1399.5612085772727</v>
      </c>
      <c r="AM64" s="33">
        <f t="shared" si="10"/>
        <v>33.52075265471149</v>
      </c>
      <c r="AN64" s="33">
        <f t="shared" si="11"/>
        <v>2843.079801666927</v>
      </c>
      <c r="AO64" s="33">
        <f t="shared" si="12"/>
        <v>1212.9653651859016</v>
      </c>
      <c r="AP64" s="33">
        <f t="shared" si="13"/>
        <v>170.62956479593518</v>
      </c>
      <c r="AQ64" s="33">
        <f t="shared" si="14"/>
        <v>-78.44344681708729</v>
      </c>
      <c r="AR64" s="33">
        <f t="shared" si="15"/>
        <v>35.96857062886418</v>
      </c>
      <c r="AS64" s="34">
        <f t="shared" si="16"/>
        <v>611.1196594893116</v>
      </c>
      <c r="AT64" s="33"/>
      <c r="AU64" s="16">
        <v>1987</v>
      </c>
      <c r="AV64" s="23">
        <f>'FY19 Aurora Prices for SecR'!AR63-'FY19 Aurora Prices for SecR'!AD63</f>
        <v>0.02363172961815252</v>
      </c>
      <c r="AW64" s="23">
        <f>'FY19 Aurora Prices for SecR'!AS63-'FY19 Aurora Prices for SecR'!AE63</f>
        <v>-0.0009334526842614821</v>
      </c>
      <c r="AX64" s="23">
        <f>'FY19 Aurora Prices for SecR'!AT63-'FY19 Aurora Prices for SecR'!AF63</f>
        <v>0.05099607949614793</v>
      </c>
      <c r="AY64" s="23">
        <f>'FY19 Aurora Prices for SecR'!AU63-'FY19 Aurora Prices for SecR'!AG63</f>
        <v>-0.021927783309763527</v>
      </c>
      <c r="AZ64" s="23">
        <f>'FY19 Aurora Prices for SecR'!AV63-'FY19 Aurora Prices for SecR'!AH63</f>
        <v>0.0032870497022656764</v>
      </c>
      <c r="BA64" s="23">
        <f>'FY19 Aurora Prices for SecR'!AW63-'FY19 Aurora Prices for SecR'!AI63</f>
        <v>0.039280640196530214</v>
      </c>
      <c r="BB64" s="23">
        <f>'FY19 Aurora Prices for SecR'!AX63-'FY19 Aurora Prices for SecR'!AJ63</f>
        <v>1.6754939990573803</v>
      </c>
      <c r="BC64" s="23">
        <f>'FY19 Aurora Prices for SecR'!AY63-'FY19 Aurora Prices for SecR'!AK63</f>
        <v>1.0020858307039013</v>
      </c>
      <c r="BD64" s="23">
        <f>'FY19 Aurora Prices for SecR'!AZ63-'FY19 Aurora Prices for SecR'!AL63</f>
        <v>0.4799124585258028</v>
      </c>
      <c r="BE64" s="23">
        <f>'FY19 Aurora Prices for SecR'!BA63-'FY19 Aurora Prices for SecR'!AM63</f>
        <v>-0.07093556363092901</v>
      </c>
      <c r="BF64" s="23">
        <f>'FY19 Aurora Prices for SecR'!BB63-'FY19 Aurora Prices for SecR'!AN63</f>
        <v>0.13711901941601923</v>
      </c>
      <c r="BG64" s="24">
        <f>'FY19 Aurora Prices for SecR'!BC63-'FY19 Aurora Prices for SecR'!AO63</f>
        <v>0.010836938222212211</v>
      </c>
      <c r="BI64" s="16">
        <v>1987</v>
      </c>
      <c r="BJ64" s="41">
        <f t="shared" si="17"/>
        <v>-1359.0641305308666</v>
      </c>
      <c r="BK64" s="41">
        <f t="shared" si="18"/>
        <v>-344.78129741414693</v>
      </c>
      <c r="BL64" s="41">
        <f t="shared" si="19"/>
        <v>31166.070170631992</v>
      </c>
      <c r="BM64" s="41">
        <f t="shared" si="20"/>
        <v>-8763.289222924548</v>
      </c>
      <c r="BN64" s="41">
        <f t="shared" si="21"/>
        <v>-382.32241245860183</v>
      </c>
      <c r="BO64" s="41">
        <f t="shared" si="22"/>
        <v>40846.91557848861</v>
      </c>
      <c r="BP64" s="41">
        <f t="shared" si="29"/>
        <v>40437.95034013621</v>
      </c>
      <c r="BQ64" s="41">
        <f t="shared" si="23"/>
        <v>2119663.4286992988</v>
      </c>
      <c r="BR64" s="41">
        <f t="shared" si="24"/>
        <v>419124.37716937024</v>
      </c>
      <c r="BS64" s="41">
        <f t="shared" si="25"/>
        <v>-9005.15603706944</v>
      </c>
      <c r="BT64" s="41">
        <f t="shared" si="26"/>
        <v>-8002.529849335718</v>
      </c>
      <c r="BU64" s="41">
        <f t="shared" si="27"/>
        <v>280.64820804932</v>
      </c>
      <c r="BV64" s="42">
        <f t="shared" si="28"/>
        <v>2623662.247216242</v>
      </c>
    </row>
    <row r="65" spans="2:74" ht="15">
      <c r="B65" s="16">
        <v>1988</v>
      </c>
      <c r="C65" s="33">
        <v>120.02684032640806</v>
      </c>
      <c r="D65" s="33">
        <v>236.1189721736278</v>
      </c>
      <c r="E65" s="33">
        <v>-745.1913785160543</v>
      </c>
      <c r="F65" s="33">
        <v>-871.5895686361155</v>
      </c>
      <c r="G65" s="33">
        <v>-1260.0610953041282</v>
      </c>
      <c r="H65" s="33">
        <v>122.66509223339847</v>
      </c>
      <c r="I65" s="33">
        <v>793.0741668363096</v>
      </c>
      <c r="J65" s="33">
        <v>2066.152568788511</v>
      </c>
      <c r="K65" s="33">
        <v>441.3577611883212</v>
      </c>
      <c r="L65" s="33">
        <v>1114.7517049587536</v>
      </c>
      <c r="M65" s="33">
        <v>476.22233767586766</v>
      </c>
      <c r="N65" s="33">
        <v>70.74746381588999</v>
      </c>
      <c r="O65" s="34">
        <f t="shared" si="2"/>
        <v>223.93461095523344</v>
      </c>
      <c r="Q65" s="16">
        <v>1988</v>
      </c>
      <c r="R65" s="33">
        <f>('FY19 Spill Cost'!C65-'FY19 Spill Cost'!T65)*(1-$S$3)</f>
        <v>0</v>
      </c>
      <c r="S65" s="33">
        <f>('FY19 Spill Cost'!D65-'FY19 Spill Cost'!U65)*(1-$S$3)</f>
        <v>0</v>
      </c>
      <c r="T65" s="33">
        <f>('FY19 Spill Cost'!E65-'FY19 Spill Cost'!V65)*(1-$S$3)</f>
        <v>0</v>
      </c>
      <c r="U65" s="33">
        <f>('FY19 Spill Cost'!F65-'FY19 Spill Cost'!W65)*(1-$S$3)</f>
        <v>0</v>
      </c>
      <c r="V65" s="33">
        <f>('FY19 Spill Cost'!G65-'FY19 Spill Cost'!X65)*(1-$S$3)</f>
        <v>0</v>
      </c>
      <c r="W65" s="33">
        <f>('FY19 Spill Cost'!H65-'FY19 Spill Cost'!Y65)*(1-$S$3)</f>
        <v>0</v>
      </c>
      <c r="X65" s="33">
        <f>(('FY19 Spill Cost'!I65-'FY19 Spill Cost'!Z65)*15/30+('FY19 Spill Cost'!J65-'FY19 Spill Cost'!AA65)*15/30)*(1-$S$3)</f>
        <v>892.7878310000001</v>
      </c>
      <c r="Y65" s="33">
        <f>('FY19 Spill Cost'!K65-'FY19 Spill Cost'!AB65)*(1-$S$3)</f>
        <v>1089.42522</v>
      </c>
      <c r="Z65" s="33">
        <f>('FY19 Spill Cost'!L65-'FY19 Spill Cost'!AC65)*(1-$S$3)</f>
        <v>650.564564</v>
      </c>
      <c r="AA65" s="33">
        <f>('FY19 Spill Cost'!M65-'FY19 Spill Cost'!AD65)*(1-$S$3)</f>
        <v>16.225482</v>
      </c>
      <c r="AB65" s="33">
        <f>(('FY19 Spill Cost'!N65-'FY19 Spill Cost'!AE65)*15/31+('FY19 Spill Cost'!O65-'FY19 Spill Cost'!AF65)*16/31)*(1-$S$3)</f>
        <v>92.14378948387098</v>
      </c>
      <c r="AC65" s="33">
        <f>('FY19 Spill Cost'!P65-'FY19 Spill Cost'!AG65)*(1-$S$3)</f>
        <v>0</v>
      </c>
      <c r="AD65" s="34">
        <f t="shared" si="3"/>
        <v>228.58137283835615</v>
      </c>
      <c r="AF65" s="16">
        <v>1988</v>
      </c>
      <c r="AG65" s="33">
        <f t="shared" si="4"/>
        <v>120.02684032640806</v>
      </c>
      <c r="AH65" s="33">
        <f t="shared" si="5"/>
        <v>236.1189721736278</v>
      </c>
      <c r="AI65" s="33">
        <f t="shared" si="6"/>
        <v>-745.1913785160543</v>
      </c>
      <c r="AJ65" s="33">
        <f t="shared" si="7"/>
        <v>-871.5895686361155</v>
      </c>
      <c r="AK65" s="33">
        <f t="shared" si="8"/>
        <v>-1260.0610953041282</v>
      </c>
      <c r="AL65" s="33">
        <f t="shared" si="9"/>
        <v>122.66509223339847</v>
      </c>
      <c r="AM65" s="33">
        <f t="shared" si="10"/>
        <v>-99.71366416369051</v>
      </c>
      <c r="AN65" s="33">
        <f t="shared" si="11"/>
        <v>976.7273487885109</v>
      </c>
      <c r="AO65" s="33">
        <f t="shared" si="12"/>
        <v>-209.2068028116788</v>
      </c>
      <c r="AP65" s="33">
        <f t="shared" si="13"/>
        <v>1098.5262229587536</v>
      </c>
      <c r="AQ65" s="33">
        <f t="shared" si="14"/>
        <v>384.0785481919967</v>
      </c>
      <c r="AR65" s="33">
        <f t="shared" si="15"/>
        <v>70.74746381588999</v>
      </c>
      <c r="AS65" s="34">
        <f t="shared" si="16"/>
        <v>-4.646761883122726</v>
      </c>
      <c r="AT65" s="33"/>
      <c r="AU65" s="16">
        <v>1988</v>
      </c>
      <c r="AV65" s="23">
        <f>'FY19 Aurora Prices for SecR'!AR64-'FY19 Aurora Prices for SecR'!AD64</f>
        <v>0.0003728074412165938</v>
      </c>
      <c r="AW65" s="23">
        <f>'FY19 Aurora Prices for SecR'!AS64-'FY19 Aurora Prices for SecR'!AE64</f>
        <v>-0.0035715572712007315</v>
      </c>
      <c r="AX65" s="23">
        <f>'FY19 Aurora Prices for SecR'!AT64-'FY19 Aurora Prices for SecR'!AF64</f>
        <v>-0.011692325017808258</v>
      </c>
      <c r="AY65" s="23">
        <f>'FY19 Aurora Prices for SecR'!AU64-'FY19 Aurora Prices for SecR'!AG64</f>
        <v>0.014646977250293958</v>
      </c>
      <c r="AZ65" s="23">
        <f>'FY19 Aurora Prices for SecR'!AV64-'FY19 Aurora Prices for SecR'!AH64</f>
        <v>-0.046646758488208206</v>
      </c>
      <c r="BA65" s="23">
        <f>'FY19 Aurora Prices for SecR'!AW64-'FY19 Aurora Prices for SecR'!AI64</f>
        <v>0.01235180308653483</v>
      </c>
      <c r="BB65" s="23">
        <f>'FY19 Aurora Prices for SecR'!AX64-'FY19 Aurora Prices for SecR'!AJ64</f>
        <v>1.3972956630918496</v>
      </c>
      <c r="BC65" s="23">
        <f>'FY19 Aurora Prices for SecR'!AY64-'FY19 Aurora Prices for SecR'!AK64</f>
        <v>0.912674656221963</v>
      </c>
      <c r="BD65" s="23">
        <f>'FY19 Aurora Prices for SecR'!AZ64-'FY19 Aurora Prices for SecR'!AL64</f>
        <v>0.8325384298959868</v>
      </c>
      <c r="BE65" s="23">
        <f>'FY19 Aurora Prices for SecR'!BA64-'FY19 Aurora Prices for SecR'!AM64</f>
        <v>-0.09688467056519556</v>
      </c>
      <c r="BF65" s="23">
        <f>'FY19 Aurora Prices for SecR'!BB64-'FY19 Aurora Prices for SecR'!AN64</f>
        <v>0.12689299814166333</v>
      </c>
      <c r="BG65" s="24">
        <f>'FY19 Aurora Prices for SecR'!BC64-'FY19 Aurora Prices for SecR'!AO64</f>
        <v>-0.02029988129934779</v>
      </c>
      <c r="BI65" s="16">
        <v>1988</v>
      </c>
      <c r="BJ65" s="41">
        <f t="shared" si="17"/>
        <v>33.291693019234245</v>
      </c>
      <c r="BK65" s="41">
        <f t="shared" si="18"/>
        <v>-608.0282634252529</v>
      </c>
      <c r="BL65" s="41">
        <f t="shared" si="19"/>
        <v>6482.486729770244</v>
      </c>
      <c r="BM65" s="41">
        <f t="shared" si="20"/>
        <v>-9498.017522054592</v>
      </c>
      <c r="BN65" s="41">
        <f t="shared" si="21"/>
        <v>39498.658478522055</v>
      </c>
      <c r="BO65" s="41">
        <f t="shared" si="22"/>
        <v>1125.745353189918</v>
      </c>
      <c r="BP65" s="41">
        <f t="shared" si="29"/>
        <v>-100317.2187505838</v>
      </c>
      <c r="BQ65" s="41">
        <f t="shared" si="23"/>
        <v>663227.1171749388</v>
      </c>
      <c r="BR65" s="41">
        <f t="shared" si="24"/>
        <v>-125404.34625820398</v>
      </c>
      <c r="BS65" s="41">
        <f t="shared" si="25"/>
        <v>-79184.18130662903</v>
      </c>
      <c r="BT65" s="41">
        <f t="shared" si="26"/>
        <v>36260.23760547296</v>
      </c>
      <c r="BU65" s="41">
        <f t="shared" si="27"/>
        <v>-1034.038884738578</v>
      </c>
      <c r="BV65" s="42">
        <f t="shared" si="28"/>
        <v>430581.70604927803</v>
      </c>
    </row>
    <row r="66" spans="2:74" ht="15">
      <c r="B66" s="16">
        <v>1989</v>
      </c>
      <c r="C66" s="33">
        <v>10.467932140263368</v>
      </c>
      <c r="D66" s="33">
        <v>571.3479339359451</v>
      </c>
      <c r="E66" s="33">
        <v>-18.721975142164418</v>
      </c>
      <c r="F66" s="33">
        <v>-331.14275520700664</v>
      </c>
      <c r="G66" s="33">
        <v>-654.431525429151</v>
      </c>
      <c r="H66" s="33">
        <v>1356.4531443397918</v>
      </c>
      <c r="I66" s="33">
        <v>3568.2593653567346</v>
      </c>
      <c r="J66" s="33">
        <v>3571.00770211989</v>
      </c>
      <c r="K66" s="33">
        <v>2158.1124313016016</v>
      </c>
      <c r="L66" s="33">
        <v>678.53678510442</v>
      </c>
      <c r="M66" s="33">
        <v>252.86658404746635</v>
      </c>
      <c r="N66" s="33">
        <v>150.53350044673488</v>
      </c>
      <c r="O66" s="34">
        <f t="shared" si="2"/>
        <v>948.4775107988947</v>
      </c>
      <c r="Q66" s="16">
        <v>1989</v>
      </c>
      <c r="R66" s="33">
        <f>('FY19 Spill Cost'!C66-'FY19 Spill Cost'!T66)*(1-$S$3)</f>
        <v>0</v>
      </c>
      <c r="S66" s="33">
        <f>('FY19 Spill Cost'!D66-'FY19 Spill Cost'!U66)*(1-$S$3)</f>
        <v>0</v>
      </c>
      <c r="T66" s="33">
        <f>('FY19 Spill Cost'!E66-'FY19 Spill Cost'!V66)*(1-$S$3)</f>
        <v>0</v>
      </c>
      <c r="U66" s="33">
        <f>('FY19 Spill Cost'!F66-'FY19 Spill Cost'!W66)*(1-$S$3)</f>
        <v>0</v>
      </c>
      <c r="V66" s="33">
        <f>('FY19 Spill Cost'!G66-'FY19 Spill Cost'!X66)*(1-$S$3)</f>
        <v>0</v>
      </c>
      <c r="W66" s="33">
        <f>('FY19 Spill Cost'!H66-'FY19 Spill Cost'!Y66)*(1-$S$3)</f>
        <v>0</v>
      </c>
      <c r="X66" s="33">
        <f>(('FY19 Spill Cost'!I66-'FY19 Spill Cost'!Z66)*15/30+('FY19 Spill Cost'!J66-'FY19 Spill Cost'!AA66)*15/30)*(1-$S$3)</f>
        <v>647.860317</v>
      </c>
      <c r="Y66" s="33">
        <f>('FY19 Spill Cost'!K66-'FY19 Spill Cost'!AB66)*(1-$S$3)</f>
        <v>952.667586</v>
      </c>
      <c r="Z66" s="33">
        <f>('FY19 Spill Cost'!L66-'FY19 Spill Cost'!AC66)*(1-$S$3)</f>
        <v>637.42965</v>
      </c>
      <c r="AA66" s="33">
        <f>('FY19 Spill Cost'!M66-'FY19 Spill Cost'!AD66)*(1-$S$3)</f>
        <v>-18.543408</v>
      </c>
      <c r="AB66" s="33">
        <f>(('FY19 Spill Cost'!N66-'FY19 Spill Cost'!AE66)*15/31+('FY19 Spill Cost'!O66-'FY19 Spill Cost'!AF66)*16/31)*(1-$S$3)</f>
        <v>96.13161916129033</v>
      </c>
      <c r="AC66" s="33">
        <f>('FY19 Spill Cost'!P66-'FY19 Spill Cost'!AG66)*(1-$S$3)</f>
        <v>0</v>
      </c>
      <c r="AD66" s="34">
        <f t="shared" si="3"/>
        <v>193.14144855342468</v>
      </c>
      <c r="AF66" s="16">
        <v>1989</v>
      </c>
      <c r="AG66" s="33">
        <f t="shared" si="4"/>
        <v>10.467932140263368</v>
      </c>
      <c r="AH66" s="33">
        <f t="shared" si="5"/>
        <v>571.3479339359451</v>
      </c>
      <c r="AI66" s="33">
        <f t="shared" si="6"/>
        <v>-18.721975142164418</v>
      </c>
      <c r="AJ66" s="33">
        <f t="shared" si="7"/>
        <v>-331.14275520700664</v>
      </c>
      <c r="AK66" s="33">
        <f t="shared" si="8"/>
        <v>-654.431525429151</v>
      </c>
      <c r="AL66" s="33">
        <f t="shared" si="9"/>
        <v>1356.4531443397918</v>
      </c>
      <c r="AM66" s="33">
        <f t="shared" si="10"/>
        <v>2920.3990483567345</v>
      </c>
      <c r="AN66" s="33">
        <f t="shared" si="11"/>
        <v>2618.34011611989</v>
      </c>
      <c r="AO66" s="33">
        <f t="shared" si="12"/>
        <v>1520.6827813016016</v>
      </c>
      <c r="AP66" s="33">
        <f t="shared" si="13"/>
        <v>697.08019310442</v>
      </c>
      <c r="AQ66" s="33">
        <f t="shared" si="14"/>
        <v>156.73496488617602</v>
      </c>
      <c r="AR66" s="33">
        <f t="shared" si="15"/>
        <v>150.53350044673488</v>
      </c>
      <c r="AS66" s="34">
        <f t="shared" si="16"/>
        <v>755.3360622454701</v>
      </c>
      <c r="AT66" s="33"/>
      <c r="AU66" s="16">
        <v>1989</v>
      </c>
      <c r="AV66" s="23">
        <f>'FY19 Aurora Prices for SecR'!AR65-'FY19 Aurora Prices for SecR'!AD65</f>
        <v>-0.0017892160723746997</v>
      </c>
      <c r="AW66" s="23">
        <f>'FY19 Aurora Prices for SecR'!AS65-'FY19 Aurora Prices for SecR'!AE65</f>
        <v>-0.010980092536698294</v>
      </c>
      <c r="AX66" s="23">
        <f>'FY19 Aurora Prices for SecR'!AT65-'FY19 Aurora Prices for SecR'!AF65</f>
        <v>0.01318383421945768</v>
      </c>
      <c r="AY66" s="23">
        <f>'FY19 Aurora Prices for SecR'!AU65-'FY19 Aurora Prices for SecR'!AG65</f>
        <v>0.02643858848081493</v>
      </c>
      <c r="AZ66" s="23">
        <f>'FY19 Aurora Prices for SecR'!AV65-'FY19 Aurora Prices for SecR'!AH65</f>
        <v>-0.006370108468225055</v>
      </c>
      <c r="BA66" s="23">
        <f>'FY19 Aurora Prices for SecR'!AW65-'FY19 Aurora Prices for SecR'!AI65</f>
        <v>-0.007861717103480714</v>
      </c>
      <c r="BB66" s="23">
        <f>'FY19 Aurora Prices for SecR'!AX65-'FY19 Aurora Prices for SecR'!AJ65</f>
        <v>0.7488221894370035</v>
      </c>
      <c r="BC66" s="23">
        <f>'FY19 Aurora Prices for SecR'!AY65-'FY19 Aurora Prices for SecR'!AK65</f>
        <v>1.168659164508174</v>
      </c>
      <c r="BD66" s="23">
        <f>'FY19 Aurora Prices for SecR'!AZ65-'FY19 Aurora Prices for SecR'!AL65</f>
        <v>0.6148673110538319</v>
      </c>
      <c r="BE66" s="23">
        <f>'FY19 Aurora Prices for SecR'!BA65-'FY19 Aurora Prices for SecR'!AM65</f>
        <v>-0.0706074883860559</v>
      </c>
      <c r="BF66" s="23">
        <f>'FY19 Aurora Prices for SecR'!BB65-'FY19 Aurora Prices for SecR'!AN65</f>
        <v>0.18462846817513068</v>
      </c>
      <c r="BG66" s="24">
        <f>'FY19 Aurora Prices for SecR'!BC65-'FY19 Aurora Prices for SecR'!AO65</f>
        <v>-0.011625946362816109</v>
      </c>
      <c r="BI66" s="16">
        <v>1989</v>
      </c>
      <c r="BJ66" s="41">
        <f t="shared" si="17"/>
        <v>-13.93466796783586</v>
      </c>
      <c r="BK66" s="41">
        <f t="shared" si="18"/>
        <v>-4523.159746578272</v>
      </c>
      <c r="BL66" s="41">
        <f t="shared" si="19"/>
        <v>-183.63959790211686</v>
      </c>
      <c r="BM66" s="41">
        <f t="shared" si="20"/>
        <v>-6513.6805927910345</v>
      </c>
      <c r="BN66" s="41">
        <f t="shared" si="21"/>
        <v>2801.4334669505015</v>
      </c>
      <c r="BO66" s="41">
        <f t="shared" si="22"/>
        <v>-7923.389807500267</v>
      </c>
      <c r="BP66" s="41">
        <f t="shared" si="29"/>
        <v>1574538.9187825667</v>
      </c>
      <c r="BQ66" s="41">
        <f t="shared" si="23"/>
        <v>2276600.6963421623</v>
      </c>
      <c r="BR66" s="41">
        <f t="shared" si="24"/>
        <v>673213.0555474401</v>
      </c>
      <c r="BS66" s="41">
        <f t="shared" si="25"/>
        <v>-36618.99673924484</v>
      </c>
      <c r="BT66" s="41">
        <f t="shared" si="26"/>
        <v>21529.675938454675</v>
      </c>
      <c r="BU66" s="41">
        <f t="shared" si="27"/>
        <v>-1260.0679694405</v>
      </c>
      <c r="BV66" s="42">
        <f t="shared" si="28"/>
        <v>4491646.910956149</v>
      </c>
    </row>
    <row r="67" spans="2:74" ht="15">
      <c r="B67" s="16">
        <v>1990</v>
      </c>
      <c r="C67" s="33">
        <v>204.0636573119698</v>
      </c>
      <c r="D67" s="33">
        <v>494.8555130558416</v>
      </c>
      <c r="E67" s="33">
        <v>1186.0995322976075</v>
      </c>
      <c r="F67" s="33">
        <v>2093.9756516842617</v>
      </c>
      <c r="G67" s="33">
        <v>2483.2967153629284</v>
      </c>
      <c r="H67" s="33">
        <v>2832.5661081328944</v>
      </c>
      <c r="I67" s="33">
        <v>3256.207629224318</v>
      </c>
      <c r="J67" s="33">
        <v>2841.87054441414</v>
      </c>
      <c r="K67" s="33">
        <v>4398.613868166714</v>
      </c>
      <c r="L67" s="33">
        <v>2502.3626553877793</v>
      </c>
      <c r="M67" s="33">
        <v>2049.8767416502715</v>
      </c>
      <c r="N67" s="33">
        <v>143.0184023649318</v>
      </c>
      <c r="O67" s="34">
        <f t="shared" si="2"/>
        <v>2036.3041847222867</v>
      </c>
      <c r="Q67" s="16">
        <v>1990</v>
      </c>
      <c r="R67" s="33">
        <f>('FY19 Spill Cost'!C67-'FY19 Spill Cost'!T67)*(1-$S$3)</f>
        <v>0</v>
      </c>
      <c r="S67" s="33">
        <f>('FY19 Spill Cost'!D67-'FY19 Spill Cost'!U67)*(1-$S$3)</f>
        <v>0</v>
      </c>
      <c r="T67" s="33">
        <f>('FY19 Spill Cost'!E67-'FY19 Spill Cost'!V67)*(1-$S$3)</f>
        <v>0</v>
      </c>
      <c r="U67" s="33">
        <f>('FY19 Spill Cost'!F67-'FY19 Spill Cost'!W67)*(1-$S$3)</f>
        <v>0</v>
      </c>
      <c r="V67" s="33">
        <f>('FY19 Spill Cost'!G67-'FY19 Spill Cost'!X67)*(1-$S$3)</f>
        <v>0</v>
      </c>
      <c r="W67" s="33">
        <f>('FY19 Spill Cost'!H67-'FY19 Spill Cost'!Y67)*(1-$S$3)</f>
        <v>0</v>
      </c>
      <c r="X67" s="33">
        <f>(('FY19 Spill Cost'!I67-'FY19 Spill Cost'!Z67)*15/30+('FY19 Spill Cost'!J67-'FY19 Spill Cost'!AA67)*15/30)*(1-$S$3)</f>
        <v>727.8287640000001</v>
      </c>
      <c r="Y67" s="33">
        <f>('FY19 Spill Cost'!K67-'FY19 Spill Cost'!AB67)*(1-$S$3)</f>
        <v>1041.521416</v>
      </c>
      <c r="Z67" s="33">
        <f>('FY19 Spill Cost'!L67-'FY19 Spill Cost'!AC67)*(1-$S$3)</f>
        <v>502.2173</v>
      </c>
      <c r="AA67" s="33">
        <f>('FY19 Spill Cost'!M67-'FY19 Spill Cost'!AD67)*(1-$S$3)</f>
        <v>-9.271704</v>
      </c>
      <c r="AB67" s="33">
        <f>(('FY19 Spill Cost'!N67-'FY19 Spill Cost'!AE67)*15/31+('FY19 Spill Cost'!O67-'FY19 Spill Cost'!AF67)*16/31)*(1-$S$3)</f>
        <v>142.31567161290326</v>
      </c>
      <c r="AC67" s="33">
        <f>('FY19 Spill Cost'!P67-'FY19 Spill Cost'!AG67)*(1-$S$3)</f>
        <v>0</v>
      </c>
      <c r="AD67" s="34">
        <f t="shared" si="3"/>
        <v>200.85728441643838</v>
      </c>
      <c r="AF67" s="16">
        <v>1990</v>
      </c>
      <c r="AG67" s="33">
        <f t="shared" si="4"/>
        <v>204.0636573119698</v>
      </c>
      <c r="AH67" s="33">
        <f t="shared" si="5"/>
        <v>494.8555130558416</v>
      </c>
      <c r="AI67" s="33">
        <f t="shared" si="6"/>
        <v>1186.0995322976075</v>
      </c>
      <c r="AJ67" s="33">
        <f t="shared" si="7"/>
        <v>2093.9756516842617</v>
      </c>
      <c r="AK67" s="33">
        <f t="shared" si="8"/>
        <v>2483.2967153629284</v>
      </c>
      <c r="AL67" s="33">
        <f t="shared" si="9"/>
        <v>2832.5661081328944</v>
      </c>
      <c r="AM67" s="33">
        <f t="shared" si="10"/>
        <v>2528.3788652243184</v>
      </c>
      <c r="AN67" s="33">
        <f t="shared" si="11"/>
        <v>1800.34912841414</v>
      </c>
      <c r="AO67" s="33">
        <f t="shared" si="12"/>
        <v>3896.396568166714</v>
      </c>
      <c r="AP67" s="33">
        <f t="shared" si="13"/>
        <v>2511.634359387779</v>
      </c>
      <c r="AQ67" s="33">
        <f t="shared" si="14"/>
        <v>1907.5610700373682</v>
      </c>
      <c r="AR67" s="33">
        <f t="shared" si="15"/>
        <v>143.0184023649318</v>
      </c>
      <c r="AS67" s="34">
        <f t="shared" si="16"/>
        <v>1835.4469003058482</v>
      </c>
      <c r="AT67" s="33"/>
      <c r="AU67" s="16">
        <v>1990</v>
      </c>
      <c r="AV67" s="23">
        <f>'FY19 Aurora Prices for SecR'!AR66-'FY19 Aurora Prices for SecR'!AD66</f>
        <v>0.010359209583604922</v>
      </c>
      <c r="AW67" s="23">
        <f>'FY19 Aurora Prices for SecR'!AS66-'FY19 Aurora Prices for SecR'!AE66</f>
        <v>-0.0012058632384146506</v>
      </c>
      <c r="AX67" s="23">
        <f>'FY19 Aurora Prices for SecR'!AT66-'FY19 Aurora Prices for SecR'!AF66</f>
        <v>0.007271420058426514</v>
      </c>
      <c r="AY67" s="23">
        <f>'FY19 Aurora Prices for SecR'!AU66-'FY19 Aurora Prices for SecR'!AG66</f>
        <v>-0.0033666620972425676</v>
      </c>
      <c r="AZ67" s="23">
        <f>'FY19 Aurora Prices for SecR'!AV66-'FY19 Aurora Prices for SecR'!AH66</f>
        <v>-0.025094556808461732</v>
      </c>
      <c r="BA67" s="23">
        <f>'FY19 Aurora Prices for SecR'!AW66-'FY19 Aurora Prices for SecR'!AI66</f>
        <v>-0.008246757268597804</v>
      </c>
      <c r="BB67" s="23">
        <f>'FY19 Aurora Prices for SecR'!AX66-'FY19 Aurora Prices for SecR'!AJ66</f>
        <v>0.8226360585954708</v>
      </c>
      <c r="BC67" s="23">
        <f>'FY19 Aurora Prices for SecR'!AY66-'FY19 Aurora Prices for SecR'!AK66</f>
        <v>1.0369251602439746</v>
      </c>
      <c r="BD67" s="23">
        <f>'FY19 Aurora Prices for SecR'!AZ66-'FY19 Aurora Prices for SecR'!AL66</f>
        <v>1.4114956845011992</v>
      </c>
      <c r="BE67" s="23">
        <f>'FY19 Aurora Prices for SecR'!BA66-'FY19 Aurora Prices for SecR'!AM66</f>
        <v>-0.02588092255333052</v>
      </c>
      <c r="BF67" s="23">
        <f>'FY19 Aurora Prices for SecR'!BB66-'FY19 Aurora Prices for SecR'!AN66</f>
        <v>0.2306311991907144</v>
      </c>
      <c r="BG67" s="24">
        <f>'FY19 Aurora Prices for SecR'!BC66-'FY19 Aurora Prices for SecR'!AO66</f>
        <v>0.014480183919303613</v>
      </c>
      <c r="BI67" s="16">
        <v>1990</v>
      </c>
      <c r="BJ67" s="41">
        <f t="shared" si="17"/>
        <v>1572.7700167017713</v>
      </c>
      <c r="BK67" s="41">
        <f t="shared" si="18"/>
        <v>-430.2409395665405</v>
      </c>
      <c r="BL67" s="41">
        <f t="shared" si="19"/>
        <v>6416.723180246713</v>
      </c>
      <c r="BM67" s="41">
        <f t="shared" si="20"/>
        <v>-5244.983093551211</v>
      </c>
      <c r="BN67" s="41">
        <f t="shared" si="21"/>
        <v>-41877.17889327264</v>
      </c>
      <c r="BO67" s="41">
        <f t="shared" si="22"/>
        <v>-17356.097459784352</v>
      </c>
      <c r="BP67" s="41">
        <f t="shared" si="29"/>
        <v>1497553.6495134402</v>
      </c>
      <c r="BQ67" s="41">
        <f t="shared" si="23"/>
        <v>1388919.5175060937</v>
      </c>
      <c r="BR67" s="41">
        <f t="shared" si="24"/>
        <v>3959817.797572272</v>
      </c>
      <c r="BS67" s="41">
        <f t="shared" si="25"/>
        <v>-48362.540267173674</v>
      </c>
      <c r="BT67" s="41">
        <f t="shared" si="26"/>
        <v>327317.66425150697</v>
      </c>
      <c r="BU67" s="41">
        <f t="shared" si="27"/>
        <v>1491.071594464209</v>
      </c>
      <c r="BV67" s="42">
        <f t="shared" si="28"/>
        <v>7069818.152981377</v>
      </c>
    </row>
    <row r="68" spans="2:74" ht="15">
      <c r="B68" s="16">
        <v>1991</v>
      </c>
      <c r="C68" s="33">
        <v>8.785501129506784</v>
      </c>
      <c r="D68" s="33">
        <v>1908.968527537491</v>
      </c>
      <c r="E68" s="33">
        <v>1969.7445532706254</v>
      </c>
      <c r="F68" s="33">
        <v>3101.665107351614</v>
      </c>
      <c r="G68" s="33">
        <v>2928.5410521232475</v>
      </c>
      <c r="H68" s="33">
        <v>3339.75397170369</v>
      </c>
      <c r="I68" s="33">
        <v>2683.912341288619</v>
      </c>
      <c r="J68" s="33">
        <v>3825.8864730534724</v>
      </c>
      <c r="K68" s="33">
        <v>4123.868129820124</v>
      </c>
      <c r="L68" s="33">
        <v>4216.898040497931</v>
      </c>
      <c r="M68" s="33">
        <v>2418.007548782104</v>
      </c>
      <c r="N68" s="33">
        <v>114.39656113693866</v>
      </c>
      <c r="O68" s="34">
        <f t="shared" si="2"/>
        <v>2553.9092527732323</v>
      </c>
      <c r="Q68" s="16">
        <v>1991</v>
      </c>
      <c r="R68" s="33">
        <f>('FY19 Spill Cost'!C68-'FY19 Spill Cost'!T68)*(1-$S$3)</f>
        <v>0</v>
      </c>
      <c r="S68" s="33">
        <f>('FY19 Spill Cost'!D68-'FY19 Spill Cost'!U68)*(1-$S$3)</f>
        <v>0</v>
      </c>
      <c r="T68" s="33">
        <f>('FY19 Spill Cost'!E68-'FY19 Spill Cost'!V68)*(1-$S$3)</f>
        <v>0</v>
      </c>
      <c r="U68" s="33">
        <f>('FY19 Spill Cost'!F68-'FY19 Spill Cost'!W68)*(1-$S$3)</f>
        <v>0</v>
      </c>
      <c r="V68" s="33">
        <f>('FY19 Spill Cost'!G68-'FY19 Spill Cost'!X68)*(1-$S$3)</f>
        <v>0</v>
      </c>
      <c r="W68" s="33">
        <f>('FY19 Spill Cost'!H68-'FY19 Spill Cost'!Y68)*(1-$S$3)</f>
        <v>0</v>
      </c>
      <c r="X68" s="33">
        <f>(('FY19 Spill Cost'!I68-'FY19 Spill Cost'!Z68)*15/30+('FY19 Spill Cost'!J68-'FY19 Spill Cost'!AA68)*15/30)*(1-$S$3)</f>
        <v>857.246299</v>
      </c>
      <c r="Y68" s="33">
        <f>('FY19 Spill Cost'!K68-'FY19 Spill Cost'!AB68)*(1-$S$3)</f>
        <v>910.944918</v>
      </c>
      <c r="Z68" s="33">
        <f>('FY19 Spill Cost'!L68-'FY19 Spill Cost'!AC68)*(1-$S$3)</f>
        <v>535.440906</v>
      </c>
      <c r="AA68" s="33">
        <f>('FY19 Spill Cost'!M68-'FY19 Spill Cost'!AD68)*(1-$S$3)</f>
        <v>-14.680198</v>
      </c>
      <c r="AB68" s="33">
        <f>(('FY19 Spill Cost'!N68-'FY19 Spill Cost'!AE68)*15/31+('FY19 Spill Cost'!O68-'FY19 Spill Cost'!AF68)*16/31)*(1-$S$3)</f>
        <v>143.56186838709678</v>
      </c>
      <c r="AC68" s="33">
        <f>('FY19 Spill Cost'!P68-'FY19 Spill Cost'!AG68)*(1-$S$3)</f>
        <v>0</v>
      </c>
      <c r="AD68" s="34">
        <f t="shared" si="3"/>
        <v>202.78148052054794</v>
      </c>
      <c r="AF68" s="16">
        <v>1991</v>
      </c>
      <c r="AG68" s="33">
        <f t="shared" si="4"/>
        <v>8.785501129506784</v>
      </c>
      <c r="AH68" s="33">
        <f t="shared" si="5"/>
        <v>1908.968527537491</v>
      </c>
      <c r="AI68" s="33">
        <f t="shared" si="6"/>
        <v>1969.7445532706254</v>
      </c>
      <c r="AJ68" s="33">
        <f t="shared" si="7"/>
        <v>3101.665107351614</v>
      </c>
      <c r="AK68" s="33">
        <f t="shared" si="8"/>
        <v>2928.5410521232475</v>
      </c>
      <c r="AL68" s="33">
        <f t="shared" si="9"/>
        <v>3339.75397170369</v>
      </c>
      <c r="AM68" s="33">
        <f t="shared" si="10"/>
        <v>1826.6660422886189</v>
      </c>
      <c r="AN68" s="33">
        <f t="shared" si="11"/>
        <v>2914.9415550534723</v>
      </c>
      <c r="AO68" s="33">
        <f t="shared" si="12"/>
        <v>3588.427223820124</v>
      </c>
      <c r="AP68" s="33">
        <f t="shared" si="13"/>
        <v>4231.578238497931</v>
      </c>
      <c r="AQ68" s="33">
        <f t="shared" si="14"/>
        <v>2274.4456803950075</v>
      </c>
      <c r="AR68" s="33">
        <f t="shared" si="15"/>
        <v>114.39656113693866</v>
      </c>
      <c r="AS68" s="34">
        <f t="shared" si="16"/>
        <v>2351.1277722526843</v>
      </c>
      <c r="AT68" s="33"/>
      <c r="AU68" s="16">
        <v>1991</v>
      </c>
      <c r="AV68" s="23">
        <f>'FY19 Aurora Prices for SecR'!AR67-'FY19 Aurora Prices for SecR'!AD67</f>
        <v>0.042307529910914354</v>
      </c>
      <c r="AW68" s="23">
        <f>'FY19 Aurora Prices for SecR'!AS67-'FY19 Aurora Prices for SecR'!AE67</f>
        <v>0.013661415633162477</v>
      </c>
      <c r="AX68" s="23">
        <f>'FY19 Aurora Prices for SecR'!AT67-'FY19 Aurora Prices for SecR'!AF67</f>
        <v>-0.01568265653425982</v>
      </c>
      <c r="AY68" s="23">
        <f>'FY19 Aurora Prices for SecR'!AU67-'FY19 Aurora Prices for SecR'!AG67</f>
        <v>-0.007779051924263314</v>
      </c>
      <c r="AZ68" s="23">
        <f>'FY19 Aurora Prices for SecR'!AV67-'FY19 Aurora Prices for SecR'!AH67</f>
        <v>0.020492839813194053</v>
      </c>
      <c r="BA68" s="23">
        <f>'FY19 Aurora Prices for SecR'!AW67-'FY19 Aurora Prices for SecR'!AI67</f>
        <v>0.009765829757562017</v>
      </c>
      <c r="BB68" s="23">
        <f>'FY19 Aurora Prices for SecR'!AX67-'FY19 Aurora Prices for SecR'!AJ67</f>
        <v>0.9528165700700804</v>
      </c>
      <c r="BC68" s="23">
        <f>'FY19 Aurora Prices for SecR'!AY67-'FY19 Aurora Prices for SecR'!AK67</f>
        <v>1.153584984040986</v>
      </c>
      <c r="BD68" s="23">
        <f>'FY19 Aurora Prices for SecR'!AZ67-'FY19 Aurora Prices for SecR'!AL67</f>
        <v>1.0291361239220898</v>
      </c>
      <c r="BE68" s="23">
        <f>'FY19 Aurora Prices for SecR'!BA67-'FY19 Aurora Prices for SecR'!AM67</f>
        <v>-0.039090828805825595</v>
      </c>
      <c r="BF68" s="23">
        <f>'FY19 Aurora Prices for SecR'!BB67-'FY19 Aurora Prices for SecR'!AN67</f>
        <v>0.24864779595403164</v>
      </c>
      <c r="BG68" s="24">
        <f>'FY19 Aurora Prices for SecR'!BC67-'FY19 Aurora Prices for SecR'!AO67</f>
        <v>0.004636678695707275</v>
      </c>
      <c r="BI68" s="16">
        <v>1991</v>
      </c>
      <c r="BJ68" s="41">
        <f t="shared" si="17"/>
        <v>276.53948175332124</v>
      </c>
      <c r="BK68" s="41">
        <f t="shared" si="18"/>
        <v>18803.112201912714</v>
      </c>
      <c r="BL68" s="41">
        <f t="shared" si="19"/>
        <v>-22982.775503144167</v>
      </c>
      <c r="BM68" s="41">
        <f t="shared" si="20"/>
        <v>-17951.24235779238</v>
      </c>
      <c r="BN68" s="41">
        <f t="shared" si="21"/>
        <v>40329.49043257646</v>
      </c>
      <c r="BO68" s="41">
        <f t="shared" si="22"/>
        <v>24233.29325881127</v>
      </c>
      <c r="BP68" s="41">
        <f t="shared" si="29"/>
        <v>1253143.9246153897</v>
      </c>
      <c r="BQ68" s="41">
        <f t="shared" si="23"/>
        <v>2501798.808606474</v>
      </c>
      <c r="BR68" s="41">
        <f t="shared" si="24"/>
        <v>2658945.660551098</v>
      </c>
      <c r="BS68" s="41">
        <f t="shared" si="25"/>
        <v>-123069.42997168726</v>
      </c>
      <c r="BT68" s="41">
        <f t="shared" si="26"/>
        <v>420758.71365285554</v>
      </c>
      <c r="BU68" s="41">
        <f t="shared" si="27"/>
        <v>381.90247047778917</v>
      </c>
      <c r="BV68" s="42">
        <f>SUM(BJ68:BU68)</f>
        <v>6754667.997438725</v>
      </c>
    </row>
    <row r="69" spans="2:74" ht="15">
      <c r="B69" s="16">
        <v>1992</v>
      </c>
      <c r="C69" s="33">
        <v>249.09901903307022</v>
      </c>
      <c r="D69" s="33">
        <v>334.34931490589344</v>
      </c>
      <c r="E69" s="33">
        <v>-695.0353273439554</v>
      </c>
      <c r="F69" s="33">
        <v>0.3975812290404079</v>
      </c>
      <c r="G69" s="33">
        <v>163.92632478666533</v>
      </c>
      <c r="H69" s="33">
        <v>1580.689460747868</v>
      </c>
      <c r="I69" s="33">
        <v>89.01454621488874</v>
      </c>
      <c r="J69" s="33">
        <v>2040.1993381173827</v>
      </c>
      <c r="K69" s="33">
        <v>15.465515824443248</v>
      </c>
      <c r="L69" s="33">
        <v>174.66304154263491</v>
      </c>
      <c r="M69" s="33">
        <v>275.08522996126305</v>
      </c>
      <c r="N69" s="33">
        <v>-81.0386126103115</v>
      </c>
      <c r="O69" s="34">
        <f t="shared" si="2"/>
        <v>349.7254187029326</v>
      </c>
      <c r="Q69" s="16">
        <v>1992</v>
      </c>
      <c r="R69" s="33">
        <f>('FY19 Spill Cost'!C69-'FY19 Spill Cost'!T69)*(1-$S$3)</f>
        <v>0</v>
      </c>
      <c r="S69" s="33">
        <f>('FY19 Spill Cost'!D69-'FY19 Spill Cost'!U69)*(1-$S$3)</f>
        <v>0</v>
      </c>
      <c r="T69" s="33">
        <f>('FY19 Spill Cost'!E69-'FY19 Spill Cost'!V69)*(1-$S$3)</f>
        <v>0</v>
      </c>
      <c r="U69" s="33">
        <f>('FY19 Spill Cost'!F69-'FY19 Spill Cost'!W69)*(1-$S$3)</f>
        <v>0</v>
      </c>
      <c r="V69" s="33">
        <f>('FY19 Spill Cost'!G69-'FY19 Spill Cost'!X69)*(1-$S$3)</f>
        <v>0</v>
      </c>
      <c r="W69" s="33">
        <f>('FY19 Spill Cost'!H69-'FY19 Spill Cost'!Y69)*(1-$S$3)</f>
        <v>0</v>
      </c>
      <c r="X69" s="33">
        <f>(('FY19 Spill Cost'!I69-'FY19 Spill Cost'!Z69)*15/30+('FY19 Spill Cost'!J69-'FY19 Spill Cost'!AA69)*15/30)*(1-$S$3)</f>
        <v>782.300025</v>
      </c>
      <c r="Y69" s="33">
        <f>('FY19 Spill Cost'!K69-'FY19 Spill Cost'!AB69)*(1-$S$3)</f>
        <v>1067.018602</v>
      </c>
      <c r="Z69" s="33">
        <f>('FY19 Spill Cost'!L69-'FY19 Spill Cost'!AC69)*(1-$S$3)</f>
        <v>455.086138</v>
      </c>
      <c r="AA69" s="33">
        <f>('FY19 Spill Cost'!M69-'FY19 Spill Cost'!AD69)*(1-$S$3)</f>
        <v>5.408494</v>
      </c>
      <c r="AB69" s="33">
        <f>(('FY19 Spill Cost'!N69-'FY19 Spill Cost'!AE69)*15/31+('FY19 Spill Cost'!O69-'FY19 Spill Cost'!AF69)*16/31)*(1-$S$3)</f>
        <v>81.72558445161292</v>
      </c>
      <c r="AC69" s="33">
        <f>('FY19 Spill Cost'!P69-'FY19 Spill Cost'!AG69)*(1-$S$3)</f>
        <v>0</v>
      </c>
      <c r="AD69" s="34">
        <f t="shared" si="3"/>
        <v>199.7268985863014</v>
      </c>
      <c r="AF69" s="16">
        <v>1992</v>
      </c>
      <c r="AG69" s="33">
        <f t="shared" si="4"/>
        <v>249.09901903307022</v>
      </c>
      <c r="AH69" s="33">
        <f t="shared" si="5"/>
        <v>334.34931490589344</v>
      </c>
      <c r="AI69" s="33">
        <f t="shared" si="6"/>
        <v>-695.0353273439554</v>
      </c>
      <c r="AJ69" s="33">
        <f t="shared" si="7"/>
        <v>0.3975812290404079</v>
      </c>
      <c r="AK69" s="33">
        <f t="shared" si="8"/>
        <v>163.92632478666533</v>
      </c>
      <c r="AL69" s="33">
        <f t="shared" si="9"/>
        <v>1580.689460747868</v>
      </c>
      <c r="AM69" s="33">
        <f t="shared" si="10"/>
        <v>-693.2854787851113</v>
      </c>
      <c r="AN69" s="33">
        <f t="shared" si="11"/>
        <v>973.1807361173826</v>
      </c>
      <c r="AO69" s="33">
        <f t="shared" si="12"/>
        <v>-439.6206221755568</v>
      </c>
      <c r="AP69" s="33">
        <f t="shared" si="13"/>
        <v>169.25454754263492</v>
      </c>
      <c r="AQ69" s="33">
        <f t="shared" si="14"/>
        <v>193.35964550965014</v>
      </c>
      <c r="AR69" s="33">
        <f t="shared" si="15"/>
        <v>-81.0386126103115</v>
      </c>
      <c r="AS69" s="34">
        <f t="shared" si="16"/>
        <v>149.9985201166312</v>
      </c>
      <c r="AT69" s="33"/>
      <c r="AU69" s="16">
        <v>1992</v>
      </c>
      <c r="AV69" s="23">
        <f>'FY19 Aurora Prices for SecR'!AR68-'FY19 Aurora Prices for SecR'!AD68</f>
        <v>-0.05479504908286614</v>
      </c>
      <c r="AW69" s="23">
        <f>'FY19 Aurora Prices for SecR'!AS68-'FY19 Aurora Prices for SecR'!AE68</f>
        <v>-0.004123899179436563</v>
      </c>
      <c r="AX69" s="23">
        <f>'FY19 Aurora Prices for SecR'!AT68-'FY19 Aurora Prices for SecR'!AF68</f>
        <v>0.07883466289884922</v>
      </c>
      <c r="AY69" s="23">
        <f>'FY19 Aurora Prices for SecR'!AU68-'FY19 Aurora Prices for SecR'!AG68</f>
        <v>0.013343921271754766</v>
      </c>
      <c r="AZ69" s="23">
        <f>'FY19 Aurora Prices for SecR'!AV68-'FY19 Aurora Prices for SecR'!AH68</f>
        <v>0.037457445689565105</v>
      </c>
      <c r="BA69" s="23">
        <f>'FY19 Aurora Prices for SecR'!AW68-'FY19 Aurora Prices for SecR'!AI68</f>
        <v>0.005072048053772704</v>
      </c>
      <c r="BB69" s="23">
        <f>'FY19 Aurora Prices for SecR'!AX68-'FY19 Aurora Prices for SecR'!AJ68</f>
        <v>1.5416392172706956</v>
      </c>
      <c r="BC69" s="23">
        <f>'FY19 Aurora Prices for SecR'!AY68-'FY19 Aurora Prices for SecR'!AK68</f>
        <v>1.0108452573898994</v>
      </c>
      <c r="BD69" s="23">
        <f>'FY19 Aurora Prices for SecR'!AZ68-'FY19 Aurora Prices for SecR'!AL68</f>
        <v>0.6179933918846636</v>
      </c>
      <c r="BE69" s="23">
        <f>'FY19 Aurora Prices for SecR'!BA68-'FY19 Aurora Prices for SecR'!AM68</f>
        <v>-0.05187549206521069</v>
      </c>
      <c r="BF69" s="23">
        <f>'FY19 Aurora Prices for SecR'!BB68-'FY19 Aurora Prices for SecR'!AN68</f>
        <v>0.12248360572325367</v>
      </c>
      <c r="BG69" s="24">
        <f>'FY19 Aurora Prices for SecR'!BC68-'FY19 Aurora Prices for SecR'!AO68</f>
        <v>-0.010383116404195647</v>
      </c>
      <c r="BI69" s="16">
        <v>1992</v>
      </c>
      <c r="BJ69" s="41">
        <f t="shared" si="17"/>
        <v>-10155.148372961701</v>
      </c>
      <c r="BK69" s="41">
        <f t="shared" si="18"/>
        <v>-994.1312859430111</v>
      </c>
      <c r="BL69" s="41">
        <f t="shared" si="19"/>
        <v>-40765.89954606032</v>
      </c>
      <c r="BM69" s="41">
        <f t="shared" si="20"/>
        <v>3.9471377088653705</v>
      </c>
      <c r="BN69" s="41">
        <f t="shared" si="21"/>
        <v>4126.255666032546</v>
      </c>
      <c r="BO69" s="41">
        <f t="shared" si="22"/>
        <v>5956.8783469329</v>
      </c>
      <c r="BP69" s="41">
        <f t="shared" si="29"/>
        <v>-769533.1796587813</v>
      </c>
      <c r="BQ69" s="41">
        <f t="shared" si="23"/>
        <v>731898.9379754757</v>
      </c>
      <c r="BR69" s="41">
        <f t="shared" si="24"/>
        <v>-195611.50039731734</v>
      </c>
      <c r="BS69" s="41">
        <f t="shared" si="25"/>
        <v>-6532.441225908296</v>
      </c>
      <c r="BT69" s="41">
        <f t="shared" si="26"/>
        <v>17620.43961804371</v>
      </c>
      <c r="BU69" s="41">
        <f t="shared" si="27"/>
        <v>605.8320105365148</v>
      </c>
      <c r="BV69" s="42">
        <f t="shared" si="28"/>
        <v>-263380.00973224174</v>
      </c>
    </row>
    <row r="70" spans="2:74" ht="15">
      <c r="B70" s="16">
        <v>1993</v>
      </c>
      <c r="C70" s="33">
        <v>106.70111807364302</v>
      </c>
      <c r="D70" s="33">
        <v>473.6455849055662</v>
      </c>
      <c r="E70" s="33">
        <v>-285.7104916243951</v>
      </c>
      <c r="F70" s="33">
        <v>-1165.8475667784771</v>
      </c>
      <c r="G70" s="33">
        <v>-1348.9366534871388</v>
      </c>
      <c r="H70" s="33">
        <v>700.6075128686408</v>
      </c>
      <c r="I70" s="33">
        <v>1497.9445631558294</v>
      </c>
      <c r="J70" s="33">
        <v>4192.698130754542</v>
      </c>
      <c r="K70" s="33">
        <v>2899.0235909343655</v>
      </c>
      <c r="L70" s="33">
        <v>1102.7581538913623</v>
      </c>
      <c r="M70" s="33">
        <v>735.2940997521049</v>
      </c>
      <c r="N70" s="33">
        <v>350.7517996895452</v>
      </c>
      <c r="O70" s="34">
        <f t="shared" si="2"/>
        <v>783.1309939204956</v>
      </c>
      <c r="Q70" s="16">
        <v>1993</v>
      </c>
      <c r="R70" s="33">
        <f>('FY19 Spill Cost'!C70-'FY19 Spill Cost'!T70)*(1-$S$3)</f>
        <v>0</v>
      </c>
      <c r="S70" s="33">
        <f>('FY19 Spill Cost'!D70-'FY19 Spill Cost'!U70)*(1-$S$3)</f>
        <v>0</v>
      </c>
      <c r="T70" s="33">
        <f>('FY19 Spill Cost'!E70-'FY19 Spill Cost'!V70)*(1-$S$3)</f>
        <v>0</v>
      </c>
      <c r="U70" s="33">
        <f>('FY19 Spill Cost'!F70-'FY19 Spill Cost'!W70)*(1-$S$3)</f>
        <v>0</v>
      </c>
      <c r="V70" s="33">
        <f>('FY19 Spill Cost'!G70-'FY19 Spill Cost'!X70)*(1-$S$3)</f>
        <v>0</v>
      </c>
      <c r="W70" s="33">
        <f>('FY19 Spill Cost'!H70-'FY19 Spill Cost'!Y70)*(1-$S$3)</f>
        <v>0</v>
      </c>
      <c r="X70" s="33">
        <f>(('FY19 Spill Cost'!I70-'FY19 Spill Cost'!Z70)*15/30+('FY19 Spill Cost'!J70-'FY19 Spill Cost'!AA70)*15/30)*(1-$S$3)</f>
        <v>861.882151</v>
      </c>
      <c r="Y70" s="33">
        <f>('FY19 Spill Cost'!K70-'FY19 Spill Cost'!AB70)*(1-$S$3)</f>
        <v>862.2684720000001</v>
      </c>
      <c r="Z70" s="33">
        <f>('FY19 Spill Cost'!L70-'FY19 Spill Cost'!AC70)*(1-$S$3)</f>
        <v>601.8881180000001</v>
      </c>
      <c r="AA70" s="33">
        <f>('FY19 Spill Cost'!M70-'FY19 Spill Cost'!AD70)*(1-$S$3)</f>
        <v>-74.173632</v>
      </c>
      <c r="AB70" s="33">
        <f>(('FY19 Spill Cost'!N70-'FY19 Spill Cost'!AE70)*15/31+('FY19 Spill Cost'!O70-'FY19 Spill Cost'!AF70)*16/31)*(1-$S$3)</f>
        <v>114.89934258064515</v>
      </c>
      <c r="AC70" s="33">
        <f>('FY19 Spill Cost'!P70-'FY19 Spill Cost'!AG70)*(1-$S$3)</f>
        <v>0</v>
      </c>
      <c r="AD70" s="34">
        <f t="shared" si="3"/>
        <v>197.0025417260274</v>
      </c>
      <c r="AF70" s="16">
        <v>1993</v>
      </c>
      <c r="AG70" s="33">
        <f t="shared" si="4"/>
        <v>106.70111807364302</v>
      </c>
      <c r="AH70" s="33">
        <f t="shared" si="5"/>
        <v>473.6455849055662</v>
      </c>
      <c r="AI70" s="33">
        <f t="shared" si="6"/>
        <v>-285.7104916243951</v>
      </c>
      <c r="AJ70" s="33">
        <f t="shared" si="7"/>
        <v>-1165.8475667784771</v>
      </c>
      <c r="AK70" s="33">
        <f t="shared" si="8"/>
        <v>-1348.9366534871388</v>
      </c>
      <c r="AL70" s="33">
        <f t="shared" si="9"/>
        <v>700.6075128686408</v>
      </c>
      <c r="AM70" s="33">
        <f t="shared" si="10"/>
        <v>636.0624121558294</v>
      </c>
      <c r="AN70" s="33">
        <f t="shared" si="11"/>
        <v>3330.429658754542</v>
      </c>
      <c r="AO70" s="33">
        <f t="shared" si="12"/>
        <v>2297.1354729343657</v>
      </c>
      <c r="AP70" s="33">
        <f t="shared" si="13"/>
        <v>1176.9317858913623</v>
      </c>
      <c r="AQ70" s="33">
        <f t="shared" si="14"/>
        <v>620.3947571714598</v>
      </c>
      <c r="AR70" s="33">
        <f t="shared" si="15"/>
        <v>350.7517996895452</v>
      </c>
      <c r="AS70" s="34">
        <f t="shared" si="16"/>
        <v>586.1284521944682</v>
      </c>
      <c r="AT70" s="33"/>
      <c r="AU70" s="16">
        <v>1993</v>
      </c>
      <c r="AV70" s="23">
        <f>'FY19 Aurora Prices for SecR'!AR69-'FY19 Aurora Prices for SecR'!AD69</f>
        <v>0.0339392154448106</v>
      </c>
      <c r="AW70" s="23">
        <f>'FY19 Aurora Prices for SecR'!AS69-'FY19 Aurora Prices for SecR'!AE69</f>
        <v>-0.019766633619731522</v>
      </c>
      <c r="AX70" s="23">
        <f>'FY19 Aurora Prices for SecR'!AT69-'FY19 Aurora Prices for SecR'!AF69</f>
        <v>-0.0035891404716466013</v>
      </c>
      <c r="AY70" s="23">
        <f>'FY19 Aurora Prices for SecR'!AU69-'FY19 Aurora Prices for SecR'!AG69</f>
        <v>-0.014976593243204661</v>
      </c>
      <c r="AZ70" s="23">
        <f>'FY19 Aurora Prices for SecR'!AV69-'FY19 Aurora Prices for SecR'!AH69</f>
        <v>0.014657442910298357</v>
      </c>
      <c r="BA70" s="23">
        <f>'FY19 Aurora Prices for SecR'!AW69-'FY19 Aurora Prices for SecR'!AI69</f>
        <v>0.04390412718254311</v>
      </c>
      <c r="BB70" s="23">
        <f>'FY19 Aurora Prices for SecR'!AX69-'FY19 Aurora Prices for SecR'!AJ69</f>
        <v>0.9200377856360227</v>
      </c>
      <c r="BC70" s="23">
        <f>'FY19 Aurora Prices for SecR'!AY69-'FY19 Aurora Prices for SecR'!AK69</f>
        <v>1.1350859175446057</v>
      </c>
      <c r="BD70" s="23">
        <f>'FY19 Aurora Prices for SecR'!AZ69-'FY19 Aurora Prices for SecR'!AL69</f>
        <v>0.659674831231424</v>
      </c>
      <c r="BE70" s="23">
        <f>'FY19 Aurora Prices for SecR'!BA69-'FY19 Aurora Prices for SecR'!AM69</f>
        <v>-0.11810060752336327</v>
      </c>
      <c r="BF70" s="23">
        <f>'FY19 Aurora Prices for SecR'!BB69-'FY19 Aurora Prices for SecR'!AN69</f>
        <v>0.217222419092721</v>
      </c>
      <c r="BG70" s="24">
        <f>'FY19 Aurora Prices for SecR'!BC69-'FY19 Aurora Prices for SecR'!AO69</f>
        <v>-0.027276477813710898</v>
      </c>
      <c r="BI70" s="16">
        <v>1993</v>
      </c>
      <c r="BJ70" s="41">
        <f t="shared" si="17"/>
        <v>2694.2860624706373</v>
      </c>
      <c r="BK70" s="41">
        <f t="shared" si="18"/>
        <v>-6750.275073293303</v>
      </c>
      <c r="BL70" s="41">
        <f t="shared" si="19"/>
        <v>762.9385859653938</v>
      </c>
      <c r="BM70" s="41">
        <f t="shared" si="20"/>
        <v>12990.556044668525</v>
      </c>
      <c r="BN70" s="41">
        <f t="shared" si="21"/>
        <v>-13286.75845600095</v>
      </c>
      <c r="BO70" s="41">
        <f t="shared" si="22"/>
        <v>22854.3540830723</v>
      </c>
      <c r="BP70" s="41">
        <f t="shared" si="29"/>
        <v>421345.04630843265</v>
      </c>
      <c r="BQ70" s="41">
        <f t="shared" si="23"/>
        <v>2812560.9109387244</v>
      </c>
      <c r="BR70" s="41">
        <f t="shared" si="24"/>
        <v>1091060.9679050606</v>
      </c>
      <c r="BS70" s="41">
        <f t="shared" si="25"/>
        <v>-103413.29104193114</v>
      </c>
      <c r="BT70" s="41">
        <f t="shared" si="26"/>
        <v>100264.15555924793</v>
      </c>
      <c r="BU70" s="41">
        <f t="shared" si="27"/>
        <v>-6888.437051292755</v>
      </c>
      <c r="BV70" s="42">
        <f t="shared" si="28"/>
        <v>4334194.453865125</v>
      </c>
    </row>
    <row r="71" spans="2:74" ht="15">
      <c r="B71" s="16">
        <v>1994</v>
      </c>
      <c r="C71" s="33">
        <v>260.9057735698953</v>
      </c>
      <c r="D71" s="33">
        <v>635.4275295519118</v>
      </c>
      <c r="E71" s="33">
        <v>-105.25278579794276</v>
      </c>
      <c r="F71" s="33">
        <v>-1335.0253243884003</v>
      </c>
      <c r="G71" s="33">
        <v>-697.8843039196781</v>
      </c>
      <c r="H71" s="33">
        <v>-134.32050215507365</v>
      </c>
      <c r="I71" s="33">
        <v>705.9217005550443</v>
      </c>
      <c r="J71" s="33">
        <v>2982.569986824762</v>
      </c>
      <c r="K71" s="33">
        <v>1834.5966276419233</v>
      </c>
      <c r="L71" s="33">
        <v>946.9958352068886</v>
      </c>
      <c r="M71" s="33">
        <v>449.3718660322559</v>
      </c>
      <c r="N71" s="33">
        <v>273.4398857669707</v>
      </c>
      <c r="O71" s="34">
        <f aca="true" t="shared" si="30" ref="O71:O85">SUMPRODUCT($C$5:$N$5,C71:N71)/SUM($R$5:$AC$5)</f>
        <v>490.3985615299805</v>
      </c>
      <c r="Q71" s="16">
        <v>1994</v>
      </c>
      <c r="R71" s="33">
        <f>('FY19 Spill Cost'!C71-'FY19 Spill Cost'!T71)*(1-$S$3)</f>
        <v>0</v>
      </c>
      <c r="S71" s="33">
        <f>('FY19 Spill Cost'!D71-'FY19 Spill Cost'!U71)*(1-$S$3)</f>
        <v>0</v>
      </c>
      <c r="T71" s="33">
        <f>('FY19 Spill Cost'!E71-'FY19 Spill Cost'!V71)*(1-$S$3)</f>
        <v>0</v>
      </c>
      <c r="U71" s="33">
        <f>('FY19 Spill Cost'!F71-'FY19 Spill Cost'!W71)*(1-$S$3)</f>
        <v>0</v>
      </c>
      <c r="V71" s="33">
        <f>('FY19 Spill Cost'!G71-'FY19 Spill Cost'!X71)*(1-$S$3)</f>
        <v>0</v>
      </c>
      <c r="W71" s="33">
        <f>('FY19 Spill Cost'!H71-'FY19 Spill Cost'!Y71)*(1-$S$3)</f>
        <v>0</v>
      </c>
      <c r="X71" s="33">
        <f>(('FY19 Spill Cost'!I71-'FY19 Spill Cost'!Z71)*15/30+('FY19 Spill Cost'!J71-'FY19 Spill Cost'!AA71)*15/30)*(1-$S$3)</f>
        <v>889.697263</v>
      </c>
      <c r="Y71" s="33">
        <f>('FY19 Spill Cost'!K71-'FY19 Spill Cost'!AB71)*(1-$S$3)</f>
        <v>1048.475194</v>
      </c>
      <c r="Z71" s="33">
        <f>('FY19 Spill Cost'!L71-'FY19 Spill Cost'!AC71)*(1-$S$3)</f>
        <v>632.021156</v>
      </c>
      <c r="AA71" s="33">
        <f>('FY19 Spill Cost'!M71-'FY19 Spill Cost'!AD71)*(1-$S$3)</f>
        <v>3.8632100000000005</v>
      </c>
      <c r="AB71" s="33">
        <f>(('FY19 Spill Cost'!N71-'FY19 Spill Cost'!AE71)*15/31+('FY19 Spill Cost'!O71-'FY19 Spill Cost'!AF71)*16/31)*(1-$S$3)</f>
        <v>77.16450425806453</v>
      </c>
      <c r="AC71" s="33">
        <f>('FY19 Spill Cost'!P71-'FY19 Spill Cost'!AG71)*(1-$S$3)</f>
        <v>0</v>
      </c>
      <c r="AD71" s="34">
        <f aca="true" t="shared" si="31" ref="AD71:AD85">SUMPRODUCT($R$5:$AC$5,R71:AC71)/SUM($R$5:$AC$5)</f>
        <v>221.00313075616438</v>
      </c>
      <c r="AF71" s="16">
        <v>1994</v>
      </c>
      <c r="AG71" s="33">
        <f aca="true" t="shared" si="32" ref="AG71:AG85">C71-R71</f>
        <v>260.9057735698953</v>
      </c>
      <c r="AH71" s="33">
        <f aca="true" t="shared" si="33" ref="AH71:AH85">D71-S71</f>
        <v>635.4275295519118</v>
      </c>
      <c r="AI71" s="33">
        <f aca="true" t="shared" si="34" ref="AI71:AI85">E71-T71</f>
        <v>-105.25278579794276</v>
      </c>
      <c r="AJ71" s="33">
        <f aca="true" t="shared" si="35" ref="AJ71:AJ85">F71-U71</f>
        <v>-1335.0253243884003</v>
      </c>
      <c r="AK71" s="33">
        <f aca="true" t="shared" si="36" ref="AK71:AK85">G71-V71</f>
        <v>-697.8843039196781</v>
      </c>
      <c r="AL71" s="33">
        <f aca="true" t="shared" si="37" ref="AL71:AL85">H71-W71</f>
        <v>-134.32050215507365</v>
      </c>
      <c r="AM71" s="33">
        <f aca="true" t="shared" si="38" ref="AM71:AM85">I71-X71</f>
        <v>-183.77556244495577</v>
      </c>
      <c r="AN71" s="33">
        <f aca="true" t="shared" si="39" ref="AN71:AN85">J71-Y71</f>
        <v>1934.094792824762</v>
      </c>
      <c r="AO71" s="33">
        <f aca="true" t="shared" si="40" ref="AO71:AO85">K71-Z71</f>
        <v>1202.5754716419233</v>
      </c>
      <c r="AP71" s="33">
        <f aca="true" t="shared" si="41" ref="AP71:AP85">L71-AA71</f>
        <v>943.1326252068886</v>
      </c>
      <c r="AQ71" s="33">
        <f aca="true" t="shared" si="42" ref="AQ71:AQ85">M71-AB71</f>
        <v>372.2073617741914</v>
      </c>
      <c r="AR71" s="33">
        <f aca="true" t="shared" si="43" ref="AR71:AR85">N71-AC71</f>
        <v>273.4398857669707</v>
      </c>
      <c r="AS71" s="34">
        <f aca="true" t="shared" si="44" ref="AS71:AS85">SUMPRODUCT($AG$5:$AR$5,AG71:AR71)/SUM($R$5:$AC$5)</f>
        <v>269.39543077381614</v>
      </c>
      <c r="AT71" s="33"/>
      <c r="AU71" s="16">
        <v>1994</v>
      </c>
      <c r="AV71" s="23">
        <f>'FY19 Aurora Prices for SecR'!AR70-'FY19 Aurora Prices for SecR'!AD70</f>
        <v>0.02666475542132929</v>
      </c>
      <c r="AW71" s="23">
        <f>'FY19 Aurora Prices for SecR'!AS70-'FY19 Aurora Prices for SecR'!AE70</f>
        <v>0.0070240150708045235</v>
      </c>
      <c r="AX71" s="23">
        <f>'FY19 Aurora Prices for SecR'!AT70-'FY19 Aurora Prices for SecR'!AF70</f>
        <v>0.05181138182203071</v>
      </c>
      <c r="AY71" s="23">
        <f>'FY19 Aurora Prices for SecR'!AU70-'FY19 Aurora Prices for SecR'!AG70</f>
        <v>0.005235354105685985</v>
      </c>
      <c r="AZ71" s="23">
        <f>'FY19 Aurora Prices for SecR'!AV70-'FY19 Aurora Prices for SecR'!AH70</f>
        <v>0.010155296325724095</v>
      </c>
      <c r="BA71" s="23">
        <f>'FY19 Aurora Prices for SecR'!AW70-'FY19 Aurora Prices for SecR'!AI70</f>
        <v>0.02150538580571748</v>
      </c>
      <c r="BB71" s="23">
        <f>'FY19 Aurora Prices for SecR'!AX70-'FY19 Aurora Prices for SecR'!AJ70</f>
        <v>1.3782216914494576</v>
      </c>
      <c r="BC71" s="23">
        <f>'FY19 Aurora Prices for SecR'!AY70-'FY19 Aurora Prices for SecR'!AK70</f>
        <v>1.0318900144228778</v>
      </c>
      <c r="BD71" s="23">
        <f>'FY19 Aurora Prices for SecR'!AZ70-'FY19 Aurora Prices for SecR'!AL70</f>
        <v>0.5356190919875807</v>
      </c>
      <c r="BE71" s="23">
        <f>'FY19 Aurora Prices for SecR'!BA70-'FY19 Aurora Prices for SecR'!AM70</f>
        <v>-0.10109882713646812</v>
      </c>
      <c r="BF71" s="23">
        <f>'FY19 Aurora Prices for SecR'!BB70-'FY19 Aurora Prices for SecR'!AN70</f>
        <v>0.1283076047897076</v>
      </c>
      <c r="BG71" s="24">
        <f>'FY19 Aurora Prices for SecR'!BC70-'FY19 Aurora Prices for SecR'!AO70</f>
        <v>-0.014054058392844127</v>
      </c>
      <c r="BI71" s="16">
        <v>1994</v>
      </c>
      <c r="BJ71" s="41">
        <f aca="true" t="shared" si="45" ref="BJ71:BJ85">(BJ$5*AG71)*AV71</f>
        <v>5175.999548348959</v>
      </c>
      <c r="BK71" s="41">
        <f aca="true" t="shared" si="46" ref="BK71:BK85">(BK$5*AH71)*AW71</f>
        <v>3218.0050842072114</v>
      </c>
      <c r="BL71" s="41">
        <f aca="true" t="shared" si="47" ref="BL71:BL85">(BL$5*AI71)*AX71</f>
        <v>-4057.2494509703606</v>
      </c>
      <c r="BM71" s="41">
        <f aca="true" t="shared" si="48" ref="BM71:BM85">(BM$5*AJ71)*AY71</f>
        <v>-5200.061753044292</v>
      </c>
      <c r="BN71" s="41">
        <f aca="true" t="shared" si="49" ref="BN71:BN85">(BN$5*AK71)*AZ71</f>
        <v>-4762.613121756689</v>
      </c>
      <c r="BO71" s="41">
        <f aca="true" t="shared" si="50" ref="BO71:BO85">(BO$5*AL71)*BA71</f>
        <v>-2146.240365803686</v>
      </c>
      <c r="BP71" s="41">
        <f aca="true" t="shared" si="51" ref="BP71:BP85">(BP$5*AM71)*BB71</f>
        <v>-182364.0958943729</v>
      </c>
      <c r="BQ71" s="41">
        <f aca="true" t="shared" si="52" ref="BQ71:BQ85">(BQ$5*AN71)*BC71</f>
        <v>1484855.1891253884</v>
      </c>
      <c r="BR71" s="41">
        <f aca="true" t="shared" si="53" ref="BR71:BR85">(BR$5*AO71)*BD71</f>
        <v>463768.11516051623</v>
      </c>
      <c r="BS71" s="41">
        <f aca="true" t="shared" si="54" ref="BS71:BS85">(BS$5*AP71)*BE71</f>
        <v>-70940.10406846063</v>
      </c>
      <c r="BT71" s="41">
        <f aca="true" t="shared" si="55" ref="BT71:BT85">(BT$5*AQ71)*BF71</f>
        <v>35531.23409531094</v>
      </c>
      <c r="BU71" s="41">
        <f aca="true" t="shared" si="56" ref="BU71:BU85">(BU$5*AR71)*BG71</f>
        <v>-2766.916887481176</v>
      </c>
      <c r="BV71" s="42">
        <f aca="true" t="shared" si="57" ref="BV71:BV85">SUM(BJ71:BU71)</f>
        <v>1720311.261471882</v>
      </c>
    </row>
    <row r="72" spans="2:74" ht="15">
      <c r="B72" s="16">
        <v>1995</v>
      </c>
      <c r="C72" s="33">
        <v>182.7169393770351</v>
      </c>
      <c r="D72" s="33">
        <v>-52.98553735089182</v>
      </c>
      <c r="E72" s="33">
        <v>-296.54344100741685</v>
      </c>
      <c r="F72" s="33">
        <v>791.287707564192</v>
      </c>
      <c r="G72" s="33">
        <v>1529.6178692745991</v>
      </c>
      <c r="H72" s="33">
        <v>2620.7411099508067</v>
      </c>
      <c r="I72" s="33">
        <v>1500.8200791552329</v>
      </c>
      <c r="J72" s="33">
        <v>3366.801754829219</v>
      </c>
      <c r="K72" s="33">
        <v>4786.23429142261</v>
      </c>
      <c r="L72" s="33">
        <v>2169.042678576293</v>
      </c>
      <c r="M72" s="33">
        <v>701.325012644815</v>
      </c>
      <c r="N72" s="33">
        <v>723.3540392461629</v>
      </c>
      <c r="O72" s="34">
        <f t="shared" si="30"/>
        <v>1498.7317968682044</v>
      </c>
      <c r="Q72" s="16">
        <v>1995</v>
      </c>
      <c r="R72" s="33">
        <f>('FY19 Spill Cost'!C72-'FY19 Spill Cost'!T72)*(1-$S$3)</f>
        <v>0</v>
      </c>
      <c r="S72" s="33">
        <f>('FY19 Spill Cost'!D72-'FY19 Spill Cost'!U72)*(1-$S$3)</f>
        <v>0</v>
      </c>
      <c r="T72" s="33">
        <f>('FY19 Spill Cost'!E72-'FY19 Spill Cost'!V72)*(1-$S$3)</f>
        <v>0</v>
      </c>
      <c r="U72" s="33">
        <f>('FY19 Spill Cost'!F72-'FY19 Spill Cost'!W72)*(1-$S$3)</f>
        <v>0</v>
      </c>
      <c r="V72" s="33">
        <f>('FY19 Spill Cost'!G72-'FY19 Spill Cost'!X72)*(1-$S$3)</f>
        <v>0</v>
      </c>
      <c r="W72" s="33">
        <f>('FY19 Spill Cost'!H72-'FY19 Spill Cost'!Y72)*(1-$S$3)</f>
        <v>0</v>
      </c>
      <c r="X72" s="33">
        <f>(('FY19 Spill Cost'!I72-'FY19 Spill Cost'!Z72)*15/30+('FY19 Spill Cost'!J72-'FY19 Spill Cost'!AA72)*15/30)*(1-$S$3)</f>
        <v>863.813756</v>
      </c>
      <c r="Y72" s="33">
        <f>('FY19 Spill Cost'!K72-'FY19 Spill Cost'!AB72)*(1-$S$3)</f>
        <v>987.4364760000001</v>
      </c>
      <c r="Z72" s="33">
        <f>('FY19 Spill Cost'!L72-'FY19 Spill Cost'!AC72)*(1-$S$3)</f>
        <v>514.579572</v>
      </c>
      <c r="AA72" s="33">
        <f>('FY19 Spill Cost'!M72-'FY19 Spill Cost'!AD72)*(1-$S$3)</f>
        <v>-108.94252200000001</v>
      </c>
      <c r="AB72" s="33">
        <f>(('FY19 Spill Cost'!N72-'FY19 Spill Cost'!AE72)*15/31+('FY19 Spill Cost'!O72-'FY19 Spill Cost'!AF72)*16/31)*(1-$S$3)</f>
        <v>121.18017432258064</v>
      </c>
      <c r="AC72" s="33">
        <f>('FY19 Spill Cost'!P72-'FY19 Spill Cost'!AG72)*(1-$S$3)</f>
        <v>0</v>
      </c>
      <c r="AD72" s="34">
        <f t="shared" si="31"/>
        <v>198.1964323780822</v>
      </c>
      <c r="AF72" s="16">
        <v>1995</v>
      </c>
      <c r="AG72" s="33">
        <f t="shared" si="32"/>
        <v>182.7169393770351</v>
      </c>
      <c r="AH72" s="33">
        <f t="shared" si="33"/>
        <v>-52.98553735089182</v>
      </c>
      <c r="AI72" s="33">
        <f t="shared" si="34"/>
        <v>-296.54344100741685</v>
      </c>
      <c r="AJ72" s="33">
        <f t="shared" si="35"/>
        <v>791.287707564192</v>
      </c>
      <c r="AK72" s="33">
        <f t="shared" si="36"/>
        <v>1529.6178692745991</v>
      </c>
      <c r="AL72" s="33">
        <f t="shared" si="37"/>
        <v>2620.7411099508067</v>
      </c>
      <c r="AM72" s="33">
        <f t="shared" si="38"/>
        <v>637.0063231552328</v>
      </c>
      <c r="AN72" s="33">
        <f t="shared" si="39"/>
        <v>2379.3652788292193</v>
      </c>
      <c r="AO72" s="33">
        <f t="shared" si="40"/>
        <v>4271.6547194226105</v>
      </c>
      <c r="AP72" s="33">
        <f t="shared" si="41"/>
        <v>2277.9852005762928</v>
      </c>
      <c r="AQ72" s="33">
        <f t="shared" si="42"/>
        <v>580.1448383222344</v>
      </c>
      <c r="AR72" s="33">
        <f t="shared" si="43"/>
        <v>723.3540392461629</v>
      </c>
      <c r="AS72" s="34">
        <f t="shared" si="44"/>
        <v>1300.535364490122</v>
      </c>
      <c r="AT72" s="33"/>
      <c r="AU72" s="16">
        <v>1995</v>
      </c>
      <c r="AV72" s="23">
        <f>'FY19 Aurora Prices for SecR'!AR71-'FY19 Aurora Prices for SecR'!AD71</f>
        <v>-0.006413869703958852</v>
      </c>
      <c r="AW72" s="23">
        <f>'FY19 Aurora Prices for SecR'!AS71-'FY19 Aurora Prices for SecR'!AE71</f>
        <v>-0.017709530210023416</v>
      </c>
      <c r="AX72" s="23">
        <f>'FY19 Aurora Prices for SecR'!AT71-'FY19 Aurora Prices for SecR'!AF71</f>
        <v>-0.0215296940136831</v>
      </c>
      <c r="AY72" s="23">
        <f>'FY19 Aurora Prices for SecR'!AU71-'FY19 Aurora Prices for SecR'!AG71</f>
        <v>-0.016726804548685692</v>
      </c>
      <c r="AZ72" s="23">
        <f>'FY19 Aurora Prices for SecR'!AV71-'FY19 Aurora Prices for SecR'!AH71</f>
        <v>0.006541132926997761</v>
      </c>
      <c r="BA72" s="23">
        <f>'FY19 Aurora Prices for SecR'!AW71-'FY19 Aurora Prices for SecR'!AI71</f>
        <v>-0.018738429190186423</v>
      </c>
      <c r="BB72" s="23">
        <f>'FY19 Aurora Prices for SecR'!AX71-'FY19 Aurora Prices for SecR'!AJ71</f>
        <v>1.3169723807441152</v>
      </c>
      <c r="BC72" s="23">
        <f>'FY19 Aurora Prices for SecR'!AY71-'FY19 Aurora Prices for SecR'!AK71</f>
        <v>1.149985158058886</v>
      </c>
      <c r="BD72" s="23">
        <f>'FY19 Aurora Prices for SecR'!AZ71-'FY19 Aurora Prices for SecR'!AL71</f>
        <v>1.8851136781275564</v>
      </c>
      <c r="BE72" s="23">
        <f>'FY19 Aurora Prices for SecR'!BA71-'FY19 Aurora Prices for SecR'!AM71</f>
        <v>-0.35301176142952073</v>
      </c>
      <c r="BF72" s="23">
        <f>'FY19 Aurora Prices for SecR'!BB71-'FY19 Aurora Prices for SecR'!AN71</f>
        <v>0.12003982990017192</v>
      </c>
      <c r="BG72" s="24">
        <f>'FY19 Aurora Prices for SecR'!BC71-'FY19 Aurora Prices for SecR'!AO71</f>
        <v>-0.010578002929744201</v>
      </c>
      <c r="BI72" s="16">
        <v>1995</v>
      </c>
      <c r="BJ72" s="41">
        <f t="shared" si="45"/>
        <v>-871.9104455516159</v>
      </c>
      <c r="BK72" s="41">
        <f t="shared" si="46"/>
        <v>676.5496105495687</v>
      </c>
      <c r="BL72" s="41">
        <f t="shared" si="47"/>
        <v>4750.060222710851</v>
      </c>
      <c r="BM72" s="41">
        <f t="shared" si="48"/>
        <v>-9847.371830695629</v>
      </c>
      <c r="BN72" s="41">
        <f t="shared" si="49"/>
        <v>6723.651520613152</v>
      </c>
      <c r="BO72" s="41">
        <f t="shared" si="50"/>
        <v>-36487.668783965455</v>
      </c>
      <c r="BP72" s="41">
        <f t="shared" si="51"/>
        <v>604022.2084474575</v>
      </c>
      <c r="BQ72" s="41">
        <f t="shared" si="52"/>
        <v>2035758.6586531585</v>
      </c>
      <c r="BR72" s="41">
        <f t="shared" si="53"/>
        <v>5797839.412671618</v>
      </c>
      <c r="BS72" s="41">
        <f t="shared" si="54"/>
        <v>-598291.7427153679</v>
      </c>
      <c r="BT72" s="41">
        <f t="shared" si="55"/>
        <v>51812.52285598983</v>
      </c>
      <c r="BU72" s="41">
        <f t="shared" si="56"/>
        <v>-5509.181625399513</v>
      </c>
      <c r="BV72" s="42">
        <f t="shared" si="57"/>
        <v>7850575.1885811165</v>
      </c>
    </row>
    <row r="73" spans="2:74" ht="15">
      <c r="B73" s="16">
        <v>1996</v>
      </c>
      <c r="C73" s="33">
        <v>981.8609242864819</v>
      </c>
      <c r="D73" s="33">
        <v>2906.9711575801693</v>
      </c>
      <c r="E73" s="33">
        <v>5070.526048125799</v>
      </c>
      <c r="F73" s="33">
        <v>5146.617068779825</v>
      </c>
      <c r="G73" s="33">
        <v>5575.068363976043</v>
      </c>
      <c r="H73" s="33">
        <v>5801.5856825975</v>
      </c>
      <c r="I73" s="33">
        <v>5003.072776193345</v>
      </c>
      <c r="J73" s="33">
        <v>5547.379266849408</v>
      </c>
      <c r="K73" s="33">
        <v>4689.4791131833335</v>
      </c>
      <c r="L73" s="33">
        <v>4292.556235029519</v>
      </c>
      <c r="M73" s="33">
        <v>2350.9931778893306</v>
      </c>
      <c r="N73" s="33">
        <v>508.4952360231242</v>
      </c>
      <c r="O73" s="34">
        <f t="shared" si="30"/>
        <v>3983.9970527465202</v>
      </c>
      <c r="Q73" s="16">
        <v>1996</v>
      </c>
      <c r="R73" s="33">
        <f>('FY19 Spill Cost'!C73-'FY19 Spill Cost'!T73)*(1-$S$3)</f>
        <v>0</v>
      </c>
      <c r="S73" s="33">
        <f>('FY19 Spill Cost'!D73-'FY19 Spill Cost'!U73)*(1-$S$3)</f>
        <v>0</v>
      </c>
      <c r="T73" s="33">
        <f>('FY19 Spill Cost'!E73-'FY19 Spill Cost'!V73)*(1-$S$3)</f>
        <v>0</v>
      </c>
      <c r="U73" s="33">
        <f>('FY19 Spill Cost'!F73-'FY19 Spill Cost'!W73)*(1-$S$3)</f>
        <v>0</v>
      </c>
      <c r="V73" s="33">
        <f>('FY19 Spill Cost'!G73-'FY19 Spill Cost'!X73)*(1-$S$3)</f>
        <v>0</v>
      </c>
      <c r="W73" s="33">
        <f>('FY19 Spill Cost'!H73-'FY19 Spill Cost'!Y73)*(1-$S$3)</f>
        <v>0</v>
      </c>
      <c r="X73" s="33">
        <f>(('FY19 Spill Cost'!I73-'FY19 Spill Cost'!Z73)*15/30+('FY19 Spill Cost'!J73-'FY19 Spill Cost'!AA73)*15/30)*(1-$S$3)</f>
        <v>464.744163</v>
      </c>
      <c r="Y73" s="33">
        <f>('FY19 Spill Cost'!K73-'FY19 Spill Cost'!AB73)*(1-$S$3)</f>
        <v>644.3834280000001</v>
      </c>
      <c r="Z73" s="33">
        <f>('FY19 Spill Cost'!L73-'FY19 Spill Cost'!AC73)*(1-$S$3)</f>
        <v>339.189838</v>
      </c>
      <c r="AA73" s="33">
        <f>('FY19 Spill Cost'!M73-'FY19 Spill Cost'!AD73)*(1-$S$3)</f>
        <v>-66.44721200000001</v>
      </c>
      <c r="AB73" s="33">
        <f>(('FY19 Spill Cost'!N73-'FY19 Spill Cost'!AE73)*15/31+('FY19 Spill Cost'!O73-'FY19 Spill Cost'!AF73)*16/31)*(1-$S$3)</f>
        <v>140.72053974193548</v>
      </c>
      <c r="AC73" s="33">
        <f>('FY19 Spill Cost'!P73-'FY19 Spill Cost'!AG73)*(1-$S$3)</f>
        <v>0</v>
      </c>
      <c r="AD73" s="34">
        <f t="shared" si="31"/>
        <v>127.11336837808217</v>
      </c>
      <c r="AF73" s="16">
        <v>1996</v>
      </c>
      <c r="AG73" s="33">
        <f t="shared" si="32"/>
        <v>981.8609242864819</v>
      </c>
      <c r="AH73" s="33">
        <f t="shared" si="33"/>
        <v>2906.9711575801693</v>
      </c>
      <c r="AI73" s="33">
        <f t="shared" si="34"/>
        <v>5070.526048125799</v>
      </c>
      <c r="AJ73" s="33">
        <f t="shared" si="35"/>
        <v>5146.617068779825</v>
      </c>
      <c r="AK73" s="33">
        <f t="shared" si="36"/>
        <v>5575.068363976043</v>
      </c>
      <c r="AL73" s="33">
        <f t="shared" si="37"/>
        <v>5801.5856825975</v>
      </c>
      <c r="AM73" s="33">
        <f t="shared" si="38"/>
        <v>4538.328613193345</v>
      </c>
      <c r="AN73" s="33">
        <f t="shared" si="39"/>
        <v>4902.995838849408</v>
      </c>
      <c r="AO73" s="33">
        <f t="shared" si="40"/>
        <v>4350.289275183333</v>
      </c>
      <c r="AP73" s="33">
        <f t="shared" si="41"/>
        <v>4359.003447029519</v>
      </c>
      <c r="AQ73" s="33">
        <f t="shared" si="42"/>
        <v>2210.272638147395</v>
      </c>
      <c r="AR73" s="33">
        <f t="shared" si="43"/>
        <v>508.4952360231242</v>
      </c>
      <c r="AS73" s="34">
        <f t="shared" si="44"/>
        <v>3856.8836843684385</v>
      </c>
      <c r="AT73" s="33"/>
      <c r="AU73" s="16">
        <v>1996</v>
      </c>
      <c r="AV73" s="23">
        <f>'FY19 Aurora Prices for SecR'!AR72-'FY19 Aurora Prices for SecR'!AD72</f>
        <v>-0.007012356481258308</v>
      </c>
      <c r="AW73" s="23">
        <f>'FY19 Aurora Prices for SecR'!AS72-'FY19 Aurora Prices for SecR'!AE72</f>
        <v>0.033182998735263425</v>
      </c>
      <c r="AX73" s="23">
        <f>'FY19 Aurora Prices for SecR'!AT72-'FY19 Aurora Prices for SecR'!AF72</f>
        <v>0.39003524011183544</v>
      </c>
      <c r="AY73" s="23">
        <f>'FY19 Aurora Prices for SecR'!AU72-'FY19 Aurora Prices for SecR'!AG72</f>
        <v>0.38616060752382</v>
      </c>
      <c r="AZ73" s="23">
        <f>'FY19 Aurora Prices for SecR'!AV72-'FY19 Aurora Prices for SecR'!AH72</f>
        <v>0.5950900321560617</v>
      </c>
      <c r="BA73" s="23">
        <f>'FY19 Aurora Prices for SecR'!AW72-'FY19 Aurora Prices for SecR'!AI72</f>
        <v>0.4988903634240014</v>
      </c>
      <c r="BB73" s="23">
        <f>'FY19 Aurora Prices for SecR'!AX72-'FY19 Aurora Prices for SecR'!AJ72</f>
        <v>1.5306957971387796</v>
      </c>
      <c r="BC73" s="23">
        <f>'FY19 Aurora Prices for SecR'!AY72-'FY19 Aurora Prices for SecR'!AK72</f>
        <v>2.305556435162025</v>
      </c>
      <c r="BD73" s="23">
        <f>'FY19 Aurora Prices for SecR'!AZ72-'FY19 Aurora Prices for SecR'!AL72</f>
        <v>1.0085081729623742</v>
      </c>
      <c r="BE73" s="23">
        <f>'FY19 Aurora Prices for SecR'!BA72-'FY19 Aurora Prices for SecR'!AM72</f>
        <v>-0.1392282202679418</v>
      </c>
      <c r="BF73" s="23">
        <f>'FY19 Aurora Prices for SecR'!BB72-'FY19 Aurora Prices for SecR'!AN72</f>
        <v>0.09678443093449474</v>
      </c>
      <c r="BG73" s="24">
        <f>'FY19 Aurora Prices for SecR'!BC72-'FY19 Aurora Prices for SecR'!AO72</f>
        <v>-0.2327313597997609</v>
      </c>
      <c r="BI73" s="16">
        <v>1996</v>
      </c>
      <c r="BJ73" s="41">
        <f t="shared" si="45"/>
        <v>-5122.5581591892515</v>
      </c>
      <c r="BK73" s="41">
        <f t="shared" si="46"/>
        <v>69549.11659695503</v>
      </c>
      <c r="BL73" s="41">
        <f t="shared" si="47"/>
        <v>1471396.7804375023</v>
      </c>
      <c r="BM73" s="41">
        <f t="shared" si="48"/>
        <v>1478641.0558355243</v>
      </c>
      <c r="BN73" s="41">
        <f t="shared" si="49"/>
        <v>2229472.635257781</v>
      </c>
      <c r="BO73" s="41">
        <f t="shared" si="50"/>
        <v>2150505.9058925267</v>
      </c>
      <c r="BP73" s="41">
        <f t="shared" si="51"/>
        <v>5001696.384659798</v>
      </c>
      <c r="BQ73" s="41">
        <f t="shared" si="52"/>
        <v>8410275.40422692</v>
      </c>
      <c r="BR73" s="41">
        <f t="shared" si="53"/>
        <v>3158857.647916527</v>
      </c>
      <c r="BS73" s="41">
        <f t="shared" si="54"/>
        <v>-451530.84130137705</v>
      </c>
      <c r="BT73" s="41">
        <f t="shared" si="55"/>
        <v>159156.46474292592</v>
      </c>
      <c r="BU73" s="41">
        <f t="shared" si="56"/>
        <v>-85206.8071665807</v>
      </c>
      <c r="BV73" s="42">
        <f t="shared" si="57"/>
        <v>23587691.188939307</v>
      </c>
    </row>
    <row r="74" spans="2:74" ht="15">
      <c r="B74" s="16">
        <v>1997</v>
      </c>
      <c r="C74" s="33">
        <v>372.2821125540652</v>
      </c>
      <c r="D74" s="33">
        <v>558.7043781092178</v>
      </c>
      <c r="E74" s="33">
        <v>1849.1247768686942</v>
      </c>
      <c r="F74" s="33">
        <v>5502.20201494595</v>
      </c>
      <c r="G74" s="33">
        <v>5637.590851101945</v>
      </c>
      <c r="H74" s="33">
        <v>5979.685490145244</v>
      </c>
      <c r="I74" s="33">
        <v>5190.812547385949</v>
      </c>
      <c r="J74" s="33">
        <v>5817.611710534139</v>
      </c>
      <c r="K74" s="33">
        <v>5707.664878956408</v>
      </c>
      <c r="L74" s="33">
        <v>4567.547201607163</v>
      </c>
      <c r="M74" s="33">
        <v>2822.2764889947666</v>
      </c>
      <c r="N74" s="33">
        <v>1556.351433125008</v>
      </c>
      <c r="O74" s="34">
        <f t="shared" si="30"/>
        <v>3787.0281929049347</v>
      </c>
      <c r="Q74" s="16">
        <v>1997</v>
      </c>
      <c r="R74" s="33">
        <f>('FY19 Spill Cost'!C74-'FY19 Spill Cost'!T74)*(1-$S$3)</f>
        <v>0</v>
      </c>
      <c r="S74" s="33">
        <f>('FY19 Spill Cost'!D74-'FY19 Spill Cost'!U74)*(1-$S$3)</f>
        <v>0</v>
      </c>
      <c r="T74" s="33">
        <f>('FY19 Spill Cost'!E74-'FY19 Spill Cost'!V74)*(1-$S$3)</f>
        <v>0</v>
      </c>
      <c r="U74" s="33">
        <f>('FY19 Spill Cost'!F74-'FY19 Spill Cost'!W74)*(1-$S$3)</f>
        <v>0</v>
      </c>
      <c r="V74" s="33">
        <f>('FY19 Spill Cost'!G74-'FY19 Spill Cost'!X74)*(1-$S$3)</f>
        <v>0</v>
      </c>
      <c r="W74" s="33">
        <f>('FY19 Spill Cost'!H74-'FY19 Spill Cost'!Y74)*(1-$S$3)</f>
        <v>0</v>
      </c>
      <c r="X74" s="33">
        <f>(('FY19 Spill Cost'!I74-'FY19 Spill Cost'!Z74)*15/30+('FY19 Spill Cost'!J74-'FY19 Spill Cost'!AA74)*15/30)*(1-$S$3)</f>
        <v>309.0568</v>
      </c>
      <c r="Y74" s="33">
        <f>('FY19 Spill Cost'!K74-'FY19 Spill Cost'!AB74)*(1-$S$3)</f>
        <v>28.587754</v>
      </c>
      <c r="Z74" s="33">
        <f>('FY19 Spill Cost'!L74-'FY19 Spill Cost'!AC74)*(1-$S$3)</f>
        <v>19.31605</v>
      </c>
      <c r="AA74" s="33">
        <f>('FY19 Spill Cost'!M74-'FY19 Spill Cost'!AD74)*(1-$S$3)</f>
        <v>-58.720792</v>
      </c>
      <c r="AB74" s="33">
        <f>(('FY19 Spill Cost'!N74-'FY19 Spill Cost'!AE74)*15/31+('FY19 Spill Cost'!O74-'FY19 Spill Cost'!AF74)*16/31)*(1-$S$3)</f>
        <v>114.37593993548388</v>
      </c>
      <c r="AC74" s="33">
        <f>('FY19 Spill Cost'!P74-'FY19 Spill Cost'!AG74)*(1-$S$3)</f>
        <v>0</v>
      </c>
      <c r="AD74" s="34">
        <f t="shared" si="31"/>
        <v>34.14442591780823</v>
      </c>
      <c r="AF74" s="16">
        <v>1997</v>
      </c>
      <c r="AG74" s="33">
        <f t="shared" si="32"/>
        <v>372.2821125540652</v>
      </c>
      <c r="AH74" s="33">
        <f t="shared" si="33"/>
        <v>558.7043781092178</v>
      </c>
      <c r="AI74" s="33">
        <f t="shared" si="34"/>
        <v>1849.1247768686942</v>
      </c>
      <c r="AJ74" s="33">
        <f t="shared" si="35"/>
        <v>5502.20201494595</v>
      </c>
      <c r="AK74" s="33">
        <f t="shared" si="36"/>
        <v>5637.590851101945</v>
      </c>
      <c r="AL74" s="33">
        <f t="shared" si="37"/>
        <v>5979.685490145244</v>
      </c>
      <c r="AM74" s="33">
        <f t="shared" si="38"/>
        <v>4881.755747385949</v>
      </c>
      <c r="AN74" s="33">
        <f t="shared" si="39"/>
        <v>5789.023956534139</v>
      </c>
      <c r="AO74" s="33">
        <f t="shared" si="40"/>
        <v>5688.3488289564075</v>
      </c>
      <c r="AP74" s="33">
        <f t="shared" si="41"/>
        <v>4626.267993607163</v>
      </c>
      <c r="AQ74" s="33">
        <f t="shared" si="42"/>
        <v>2707.9005490592826</v>
      </c>
      <c r="AR74" s="33">
        <f t="shared" si="43"/>
        <v>1556.351433125008</v>
      </c>
      <c r="AS74" s="34">
        <f t="shared" si="44"/>
        <v>3752.8837669871264</v>
      </c>
      <c r="AT74" s="33"/>
      <c r="AU74" s="16">
        <v>1997</v>
      </c>
      <c r="AV74" s="23">
        <f>'FY19 Aurora Prices for SecR'!AR73-'FY19 Aurora Prices for SecR'!AD73</f>
        <v>-0.13148041771301067</v>
      </c>
      <c r="AW74" s="23">
        <f>'FY19 Aurora Prices for SecR'!AS73-'FY19 Aurora Prices for SecR'!AE73</f>
        <v>-0.08164483601445482</v>
      </c>
      <c r="AX74" s="23">
        <f>'FY19 Aurora Prices for SecR'!AT73-'FY19 Aurora Prices for SecR'!AF73</f>
        <v>0.03880236559018968</v>
      </c>
      <c r="AY74" s="23">
        <f>'FY19 Aurora Prices for SecR'!AU73-'FY19 Aurora Prices for SecR'!AG73</f>
        <v>0.5450534382494201</v>
      </c>
      <c r="AZ74" s="23">
        <f>'FY19 Aurora Prices for SecR'!AV73-'FY19 Aurora Prices for SecR'!AH73</f>
        <v>0.6271694183349972</v>
      </c>
      <c r="BA74" s="23">
        <f>'FY19 Aurora Prices for SecR'!AW73-'FY19 Aurora Prices for SecR'!AI73</f>
        <v>0.42473050436531246</v>
      </c>
      <c r="BB74" s="23">
        <f>'FY19 Aurora Prices for SecR'!AX73-'FY19 Aurora Prices for SecR'!AJ73</f>
        <v>1.3940837230947203</v>
      </c>
      <c r="BC74" s="23">
        <f>'FY19 Aurora Prices for SecR'!AY73-'FY19 Aurora Prices for SecR'!AK73</f>
        <v>0.2913993611250758</v>
      </c>
      <c r="BD74" s="23">
        <f>'FY19 Aurora Prices for SecR'!AZ73-'FY19 Aurora Prices for SecR'!AL73</f>
        <v>0.17304894551634842</v>
      </c>
      <c r="BE74" s="23">
        <f>'FY19 Aurora Prices for SecR'!BA73-'FY19 Aurora Prices for SecR'!AM73</f>
        <v>-0.31857624172522847</v>
      </c>
      <c r="BF74" s="23">
        <f>'FY19 Aurora Prices for SecR'!BB73-'FY19 Aurora Prices for SecR'!AN73</f>
        <v>0.2350633882706923</v>
      </c>
      <c r="BG74" s="24">
        <f>'FY19 Aurora Prices for SecR'!BC73-'FY19 Aurora Prices for SecR'!AO73</f>
        <v>-0.08878008842467366</v>
      </c>
      <c r="BI74" s="16">
        <v>1997</v>
      </c>
      <c r="BJ74" s="41">
        <f t="shared" si="45"/>
        <v>-36417.16890327376</v>
      </c>
      <c r="BK74" s="41">
        <f t="shared" si="46"/>
        <v>-32888.651005856525</v>
      </c>
      <c r="BL74" s="41">
        <f t="shared" si="47"/>
        <v>53382.30921676912</v>
      </c>
      <c r="BM74" s="41">
        <f t="shared" si="48"/>
        <v>2231251.6298847483</v>
      </c>
      <c r="BN74" s="41">
        <f t="shared" si="49"/>
        <v>2376006.9143303195</v>
      </c>
      <c r="BO74" s="41">
        <f t="shared" si="50"/>
        <v>1887037.8417922703</v>
      </c>
      <c r="BP74" s="41">
        <f t="shared" si="51"/>
        <v>4900014.883839494</v>
      </c>
      <c r="BQ74" s="41">
        <f t="shared" si="52"/>
        <v>1255066.9045590241</v>
      </c>
      <c r="BR74" s="41">
        <f t="shared" si="53"/>
        <v>708741.1919376444</v>
      </c>
      <c r="BS74" s="41">
        <f t="shared" si="54"/>
        <v>-1096521.3885391098</v>
      </c>
      <c r="BT74" s="41">
        <f t="shared" si="55"/>
        <v>473577.03895248554</v>
      </c>
      <c r="BU74" s="41">
        <f t="shared" si="56"/>
        <v>-99484.57285394816</v>
      </c>
      <c r="BV74" s="42">
        <f t="shared" si="57"/>
        <v>12619766.933210565</v>
      </c>
    </row>
    <row r="75" spans="2:74" ht="15">
      <c r="B75" s="16">
        <v>1998</v>
      </c>
      <c r="C75" s="33">
        <v>2646.632836680567</v>
      </c>
      <c r="D75" s="33">
        <v>1503.8053022509644</v>
      </c>
      <c r="E75" s="33">
        <v>761.2227287355565</v>
      </c>
      <c r="F75" s="33">
        <v>1472.828860481226</v>
      </c>
      <c r="G75" s="33">
        <v>1480.1506861453377</v>
      </c>
      <c r="H75" s="33">
        <v>1566.730093259239</v>
      </c>
      <c r="I75" s="33">
        <v>2200.692555097282</v>
      </c>
      <c r="J75" s="33">
        <v>5748.8043703110225</v>
      </c>
      <c r="K75" s="33">
        <v>5541.4812215258235</v>
      </c>
      <c r="L75" s="33">
        <v>2769.5953978428734</v>
      </c>
      <c r="M75" s="33">
        <v>1274.5390818645837</v>
      </c>
      <c r="N75" s="33">
        <v>182.7908012683921</v>
      </c>
      <c r="O75" s="34">
        <f t="shared" si="30"/>
        <v>2267.823693683503</v>
      </c>
      <c r="Q75" s="16">
        <v>1998</v>
      </c>
      <c r="R75" s="33">
        <f>('FY19 Spill Cost'!C75-'FY19 Spill Cost'!T75)*(1-$S$3)</f>
        <v>0</v>
      </c>
      <c r="S75" s="33">
        <f>('FY19 Spill Cost'!D75-'FY19 Spill Cost'!U75)*(1-$S$3)</f>
        <v>0</v>
      </c>
      <c r="T75" s="33">
        <f>('FY19 Spill Cost'!E75-'FY19 Spill Cost'!V75)*(1-$S$3)</f>
        <v>0</v>
      </c>
      <c r="U75" s="33">
        <f>('FY19 Spill Cost'!F75-'FY19 Spill Cost'!W75)*(1-$S$3)</f>
        <v>0</v>
      </c>
      <c r="V75" s="33">
        <f>('FY19 Spill Cost'!G75-'FY19 Spill Cost'!X75)*(1-$S$3)</f>
        <v>0</v>
      </c>
      <c r="W75" s="33">
        <f>('FY19 Spill Cost'!H75-'FY19 Spill Cost'!Y75)*(1-$S$3)</f>
        <v>0</v>
      </c>
      <c r="X75" s="33">
        <f>(('FY19 Spill Cost'!I75-'FY19 Spill Cost'!Z75)*15/30+('FY19 Spill Cost'!J75-'FY19 Spill Cost'!AA75)*15/30)*(1-$S$3)</f>
        <v>874.2444230000001</v>
      </c>
      <c r="Y75" s="33">
        <f>('FY19 Spill Cost'!K75-'FY19 Spill Cost'!AB75)*(1-$S$3)</f>
        <v>385.548358</v>
      </c>
      <c r="Z75" s="33">
        <f>('FY19 Spill Cost'!L75-'FY19 Spill Cost'!AC75)*(1-$S$3)</f>
        <v>474.402188</v>
      </c>
      <c r="AA75" s="33">
        <f>('FY19 Spill Cost'!M75-'FY19 Spill Cost'!AD75)*(1-$S$3)</f>
        <v>-79.582126</v>
      </c>
      <c r="AB75" s="33">
        <f>(('FY19 Spill Cost'!N75-'FY19 Spill Cost'!AE75)*15/31+('FY19 Spill Cost'!O75-'FY19 Spill Cost'!AF75)*16/31)*(1-$S$3)</f>
        <v>121.42941367741936</v>
      </c>
      <c r="AC75" s="33">
        <f>('FY19 Spill Cost'!P75-'FY19 Spill Cost'!AG75)*(1-$S$3)</f>
        <v>0</v>
      </c>
      <c r="AD75" s="34">
        <f t="shared" si="31"/>
        <v>147.14702286575343</v>
      </c>
      <c r="AF75" s="16">
        <v>1998</v>
      </c>
      <c r="AG75" s="33">
        <f t="shared" si="32"/>
        <v>2646.632836680567</v>
      </c>
      <c r="AH75" s="33">
        <f t="shared" si="33"/>
        <v>1503.8053022509644</v>
      </c>
      <c r="AI75" s="33">
        <f t="shared" si="34"/>
        <v>761.2227287355565</v>
      </c>
      <c r="AJ75" s="33">
        <f t="shared" si="35"/>
        <v>1472.828860481226</v>
      </c>
      <c r="AK75" s="33">
        <f t="shared" si="36"/>
        <v>1480.1506861453377</v>
      </c>
      <c r="AL75" s="33">
        <f t="shared" si="37"/>
        <v>1566.730093259239</v>
      </c>
      <c r="AM75" s="33">
        <f t="shared" si="38"/>
        <v>1326.4481320972818</v>
      </c>
      <c r="AN75" s="33">
        <f t="shared" si="39"/>
        <v>5363.2560123110225</v>
      </c>
      <c r="AO75" s="33">
        <f t="shared" si="40"/>
        <v>5067.079033525823</v>
      </c>
      <c r="AP75" s="33">
        <f t="shared" si="41"/>
        <v>2849.177523842873</v>
      </c>
      <c r="AQ75" s="33">
        <f t="shared" si="42"/>
        <v>1153.1096681871643</v>
      </c>
      <c r="AR75" s="33">
        <f t="shared" si="43"/>
        <v>182.7908012683921</v>
      </c>
      <c r="AS75" s="34">
        <f t="shared" si="44"/>
        <v>2120.6766708177493</v>
      </c>
      <c r="AT75" s="33"/>
      <c r="AU75" s="16">
        <v>1998</v>
      </c>
      <c r="AV75" s="23">
        <f>'FY19 Aurora Prices for SecR'!AR74-'FY19 Aurora Prices for SecR'!AD74</f>
        <v>0.055201578140213314</v>
      </c>
      <c r="AW75" s="23">
        <f>'FY19 Aurora Prices for SecR'!AS74-'FY19 Aurora Prices for SecR'!AE74</f>
        <v>0.01967706511653944</v>
      </c>
      <c r="AX75" s="23">
        <f>'FY19 Aurora Prices for SecR'!AT74-'FY19 Aurora Prices for SecR'!AF74</f>
        <v>-0.004912604567859802</v>
      </c>
      <c r="AY75" s="23">
        <f>'FY19 Aurora Prices for SecR'!AU74-'FY19 Aurora Prices for SecR'!AG74</f>
        <v>0.052703506715847226</v>
      </c>
      <c r="AZ75" s="23">
        <f>'FY19 Aurora Prices for SecR'!AV74-'FY19 Aurora Prices for SecR'!AH74</f>
        <v>-0.0028355598449252284</v>
      </c>
      <c r="BA75" s="23">
        <f>'FY19 Aurora Prices for SecR'!AW74-'FY19 Aurora Prices for SecR'!AI74</f>
        <v>0.05995092789869361</v>
      </c>
      <c r="BB75" s="23">
        <f>'FY19 Aurora Prices for SecR'!AX74-'FY19 Aurora Prices for SecR'!AJ74</f>
        <v>1.0593933958477848</v>
      </c>
      <c r="BC75" s="23">
        <f>'FY19 Aurora Prices for SecR'!AY74-'FY19 Aurora Prices for SecR'!AK74</f>
        <v>1.84190570664021</v>
      </c>
      <c r="BD75" s="23">
        <f>'FY19 Aurora Prices for SecR'!AZ74-'FY19 Aurora Prices for SecR'!AL74</f>
        <v>1.644132595178144</v>
      </c>
      <c r="BE75" s="23">
        <f>'FY19 Aurora Prices for SecR'!BA74-'FY19 Aurora Prices for SecR'!AM74</f>
        <v>-0.7283212397687855</v>
      </c>
      <c r="BF75" s="23">
        <f>'FY19 Aurora Prices for SecR'!BB74-'FY19 Aurora Prices for SecR'!AN74</f>
        <v>-0.11560335390025855</v>
      </c>
      <c r="BG75" s="24">
        <f>'FY19 Aurora Prices for SecR'!BC74-'FY19 Aurora Prices for SecR'!AO74</f>
        <v>-0.4095903905232916</v>
      </c>
      <c r="BI75" s="16">
        <v>1998</v>
      </c>
      <c r="BJ75" s="41">
        <f t="shared" si="45"/>
        <v>108697.1421508027</v>
      </c>
      <c r="BK75" s="41">
        <f t="shared" si="46"/>
        <v>21334.73237044743</v>
      </c>
      <c r="BL75" s="41">
        <f t="shared" si="47"/>
        <v>-2782.2521732326786</v>
      </c>
      <c r="BM75" s="41">
        <f t="shared" si="48"/>
        <v>57751.69483031143</v>
      </c>
      <c r="BN75" s="41">
        <f t="shared" si="49"/>
        <v>-2820.421531248548</v>
      </c>
      <c r="BO75" s="41">
        <f t="shared" si="50"/>
        <v>69787.70368326972</v>
      </c>
      <c r="BP75" s="41">
        <f t="shared" si="51"/>
        <v>1011765.881576513</v>
      </c>
      <c r="BQ75" s="41">
        <f t="shared" si="52"/>
        <v>7349687.220304579</v>
      </c>
      <c r="BR75" s="41">
        <f t="shared" si="53"/>
        <v>5998283.856981774</v>
      </c>
      <c r="BS75" s="41">
        <f t="shared" si="54"/>
        <v>-1543886.6808260302</v>
      </c>
      <c r="BT75" s="41">
        <f t="shared" si="55"/>
        <v>-99177.68872259435</v>
      </c>
      <c r="BU75" s="41">
        <f t="shared" si="56"/>
        <v>-53905.93608642199</v>
      </c>
      <c r="BV75" s="42">
        <f t="shared" si="57"/>
        <v>12914735.252558168</v>
      </c>
    </row>
    <row r="76" spans="2:74" ht="15">
      <c r="B76" s="16">
        <v>1999</v>
      </c>
      <c r="C76" s="33">
        <v>157.76569062746347</v>
      </c>
      <c r="D76" s="33">
        <v>-38.58041250449348</v>
      </c>
      <c r="E76" s="33">
        <v>1534.3168330711146</v>
      </c>
      <c r="F76" s="33">
        <v>3944.944647320165</v>
      </c>
      <c r="G76" s="33">
        <v>4307.675456428451</v>
      </c>
      <c r="H76" s="33">
        <v>4781.661275642324</v>
      </c>
      <c r="I76" s="33">
        <v>3556.828504143244</v>
      </c>
      <c r="J76" s="33">
        <v>4196.540677977882</v>
      </c>
      <c r="K76" s="33">
        <v>5499.912772117962</v>
      </c>
      <c r="L76" s="33">
        <v>4602.66608413861</v>
      </c>
      <c r="M76" s="33">
        <v>3218.1392663122792</v>
      </c>
      <c r="N76" s="33">
        <v>914.822190007658</v>
      </c>
      <c r="O76" s="34">
        <f t="shared" si="30"/>
        <v>3051.8373416905206</v>
      </c>
      <c r="Q76" s="16">
        <v>1999</v>
      </c>
      <c r="R76" s="33">
        <f>('FY19 Spill Cost'!C76-'FY19 Spill Cost'!T76)*(1-$S$3)</f>
        <v>0</v>
      </c>
      <c r="S76" s="33">
        <f>('FY19 Spill Cost'!D76-'FY19 Spill Cost'!U76)*(1-$S$3)</f>
        <v>0</v>
      </c>
      <c r="T76" s="33">
        <f>('FY19 Spill Cost'!E76-'FY19 Spill Cost'!V76)*(1-$S$3)</f>
        <v>0</v>
      </c>
      <c r="U76" s="33">
        <f>('FY19 Spill Cost'!F76-'FY19 Spill Cost'!W76)*(1-$S$3)</f>
        <v>0</v>
      </c>
      <c r="V76" s="33">
        <f>('FY19 Spill Cost'!G76-'FY19 Spill Cost'!X76)*(1-$S$3)</f>
        <v>0</v>
      </c>
      <c r="W76" s="33">
        <f>('FY19 Spill Cost'!H76-'FY19 Spill Cost'!Y76)*(1-$S$3)</f>
        <v>0</v>
      </c>
      <c r="X76" s="33">
        <f>(('FY19 Spill Cost'!I76-'FY19 Spill Cost'!Z76)*15/30+('FY19 Spill Cost'!J76-'FY19 Spill Cost'!AA76)*15/30)*(1-$S$3)</f>
        <v>717.011776</v>
      </c>
      <c r="Y76" s="33">
        <f>('FY19 Spill Cost'!K76-'FY19 Spill Cost'!AB76)*(1-$S$3)</f>
        <v>864.586398</v>
      </c>
      <c r="Z76" s="33">
        <f>('FY19 Spill Cost'!L76-'FY19 Spill Cost'!AC76)*(1-$S$3)</f>
        <v>245.70015600000002</v>
      </c>
      <c r="AA76" s="33">
        <f>('FY19 Spill Cost'!M76-'FY19 Spill Cost'!AD76)*(1-$S$3)</f>
        <v>-13.907556000000001</v>
      </c>
      <c r="AB76" s="33">
        <f>(('FY19 Spill Cost'!N76-'FY19 Spill Cost'!AE76)*15/31+('FY19 Spill Cost'!O76-'FY19 Spill Cost'!AF76)*16/31)*(1-$S$3)</f>
        <v>141.11932270967745</v>
      </c>
      <c r="AC76" s="33">
        <f>('FY19 Spill Cost'!P76-'FY19 Spill Cost'!AG76)*(1-$S$3)</f>
        <v>0</v>
      </c>
      <c r="AD76" s="34">
        <f t="shared" si="31"/>
        <v>163.36192072876716</v>
      </c>
      <c r="AF76" s="16">
        <v>1999</v>
      </c>
      <c r="AG76" s="33">
        <f t="shared" si="32"/>
        <v>157.76569062746347</v>
      </c>
      <c r="AH76" s="33">
        <f t="shared" si="33"/>
        <v>-38.58041250449348</v>
      </c>
      <c r="AI76" s="33">
        <f t="shared" si="34"/>
        <v>1534.3168330711146</v>
      </c>
      <c r="AJ76" s="33">
        <f t="shared" si="35"/>
        <v>3944.944647320165</v>
      </c>
      <c r="AK76" s="33">
        <f t="shared" si="36"/>
        <v>4307.675456428451</v>
      </c>
      <c r="AL76" s="33">
        <f t="shared" si="37"/>
        <v>4781.661275642324</v>
      </c>
      <c r="AM76" s="33">
        <f t="shared" si="38"/>
        <v>2839.8167281432443</v>
      </c>
      <c r="AN76" s="33">
        <f t="shared" si="39"/>
        <v>3331.9542799778824</v>
      </c>
      <c r="AO76" s="33">
        <f t="shared" si="40"/>
        <v>5254.212616117962</v>
      </c>
      <c r="AP76" s="33">
        <f t="shared" si="41"/>
        <v>4616.57364013861</v>
      </c>
      <c r="AQ76" s="33">
        <f t="shared" si="42"/>
        <v>3077.019943602602</v>
      </c>
      <c r="AR76" s="33">
        <f t="shared" si="43"/>
        <v>914.822190007658</v>
      </c>
      <c r="AS76" s="34">
        <f t="shared" si="44"/>
        <v>2888.4754209617536</v>
      </c>
      <c r="AT76" s="33"/>
      <c r="AU76" s="16">
        <v>1999</v>
      </c>
      <c r="AV76" s="23">
        <f>'FY19 Aurora Prices for SecR'!AR75-'FY19 Aurora Prices for SecR'!AD75</f>
        <v>-0.30347540993844646</v>
      </c>
      <c r="AW76" s="23">
        <f>'FY19 Aurora Prices for SecR'!AS75-'FY19 Aurora Prices for SecR'!AE75</f>
        <v>-0.35158883238961636</v>
      </c>
      <c r="AX76" s="23">
        <f>'FY19 Aurora Prices for SecR'!AT75-'FY19 Aurora Prices for SecR'!AF75</f>
        <v>-0.06694937495769793</v>
      </c>
      <c r="AY76" s="23">
        <f>'FY19 Aurora Prices for SecR'!AU75-'FY19 Aurora Prices for SecR'!AG75</f>
        <v>0.12205543928244822</v>
      </c>
      <c r="AZ76" s="23">
        <f>'FY19 Aurora Prices for SecR'!AV75-'FY19 Aurora Prices for SecR'!AH75</f>
        <v>0.0973307132720933</v>
      </c>
      <c r="BA76" s="23">
        <f>'FY19 Aurora Prices for SecR'!AW75-'FY19 Aurora Prices for SecR'!AI75</f>
        <v>0.11424124751085074</v>
      </c>
      <c r="BB76" s="23">
        <f>'FY19 Aurora Prices for SecR'!AX75-'FY19 Aurora Prices for SecR'!AJ75</f>
        <v>0.9465900897980148</v>
      </c>
      <c r="BC76" s="23">
        <f>'FY19 Aurora Prices for SecR'!AY75-'FY19 Aurora Prices for SecR'!AK75</f>
        <v>1.4631749375533474</v>
      </c>
      <c r="BD76" s="23">
        <f>'FY19 Aurora Prices for SecR'!AZ75-'FY19 Aurora Prices for SecR'!AL75</f>
        <v>0.8746791371454776</v>
      </c>
      <c r="BE76" s="23">
        <f>'FY19 Aurora Prices for SecR'!BA75-'FY19 Aurora Prices for SecR'!AM75</f>
        <v>-0.20232604295018675</v>
      </c>
      <c r="BF76" s="23">
        <f>'FY19 Aurora Prices for SecR'!BB75-'FY19 Aurora Prices for SecR'!AN75</f>
        <v>0.2121096241858389</v>
      </c>
      <c r="BG76" s="24">
        <f>'FY19 Aurora Prices for SecR'!BC75-'FY19 Aurora Prices for SecR'!AO75</f>
        <v>-0.13246930758161923</v>
      </c>
      <c r="BI76" s="16">
        <v>1999</v>
      </c>
      <c r="BJ76" s="41">
        <f t="shared" si="45"/>
        <v>-35621.23768221935</v>
      </c>
      <c r="BK76" s="41">
        <f t="shared" si="46"/>
        <v>9779.962815792089</v>
      </c>
      <c r="BL76" s="41">
        <f t="shared" si="47"/>
        <v>-76424.83540312214</v>
      </c>
      <c r="BM76" s="41">
        <f t="shared" si="48"/>
        <v>358237.4521939625</v>
      </c>
      <c r="BN76" s="41">
        <f t="shared" si="49"/>
        <v>281748.85181108146</v>
      </c>
      <c r="BO76" s="41">
        <f t="shared" si="50"/>
        <v>405873.3713326528</v>
      </c>
      <c r="BP76" s="41">
        <f t="shared" si="51"/>
        <v>1935462.507626173</v>
      </c>
      <c r="BQ76" s="41">
        <f t="shared" si="52"/>
        <v>3627172.604679711</v>
      </c>
      <c r="BR76" s="41">
        <f t="shared" si="53"/>
        <v>3308940.113360358</v>
      </c>
      <c r="BS76" s="41">
        <f t="shared" si="54"/>
        <v>-694935.488988454</v>
      </c>
      <c r="BT76" s="41">
        <f t="shared" si="55"/>
        <v>485583.16462431</v>
      </c>
      <c r="BU76" s="41">
        <f t="shared" si="56"/>
        <v>-87253.82069084278</v>
      </c>
      <c r="BV76" s="42">
        <f t="shared" si="57"/>
        <v>9518562.645679403</v>
      </c>
    </row>
    <row r="77" spans="2:74" ht="15">
      <c r="B77" s="16">
        <v>2000</v>
      </c>
      <c r="C77" s="33">
        <v>393.6595157684531</v>
      </c>
      <c r="D77" s="33">
        <v>2397.258942348759</v>
      </c>
      <c r="E77" s="33">
        <v>2284.0795586556283</v>
      </c>
      <c r="F77" s="33">
        <v>1941.2892225377393</v>
      </c>
      <c r="G77" s="33">
        <v>2041.0173219462238</v>
      </c>
      <c r="H77" s="33">
        <v>2204.0218744909794</v>
      </c>
      <c r="I77" s="33">
        <v>4599.61061497823</v>
      </c>
      <c r="J77" s="33">
        <v>4439.324291924909</v>
      </c>
      <c r="K77" s="33">
        <v>1664.9355411054398</v>
      </c>
      <c r="L77" s="33">
        <v>2370.988762071702</v>
      </c>
      <c r="M77" s="33">
        <v>797.0881783787088</v>
      </c>
      <c r="N77" s="33">
        <v>-92.65362477006131</v>
      </c>
      <c r="O77" s="34">
        <f t="shared" si="30"/>
        <v>2086.507052842551</v>
      </c>
      <c r="Q77" s="16">
        <v>2000</v>
      </c>
      <c r="R77" s="33">
        <f>('FY19 Spill Cost'!C77-'FY19 Spill Cost'!T77)*(1-$S$3)</f>
        <v>0</v>
      </c>
      <c r="S77" s="33">
        <f>('FY19 Spill Cost'!D77-'FY19 Spill Cost'!U77)*(1-$S$3)</f>
        <v>0</v>
      </c>
      <c r="T77" s="33">
        <f>('FY19 Spill Cost'!E77-'FY19 Spill Cost'!V77)*(1-$S$3)</f>
        <v>0</v>
      </c>
      <c r="U77" s="33">
        <f>('FY19 Spill Cost'!F77-'FY19 Spill Cost'!W77)*(1-$S$3)</f>
        <v>0</v>
      </c>
      <c r="V77" s="33">
        <f>('FY19 Spill Cost'!G77-'FY19 Spill Cost'!X77)*(1-$S$3)</f>
        <v>0</v>
      </c>
      <c r="W77" s="33">
        <f>('FY19 Spill Cost'!H77-'FY19 Spill Cost'!Y77)*(1-$S$3)</f>
        <v>0</v>
      </c>
      <c r="X77" s="33">
        <f>(('FY19 Spill Cost'!I77-'FY19 Spill Cost'!Z77)*15/30+('FY19 Spill Cost'!J77-'FY19 Spill Cost'!AA77)*15/30)*(1-$S$3)</f>
        <v>547.803178</v>
      </c>
      <c r="Y77" s="33">
        <f>('FY19 Spill Cost'!K77-'FY19 Spill Cost'!AB77)*(1-$S$3)</f>
        <v>880.8118800000001</v>
      </c>
      <c r="Z77" s="33">
        <f>('FY19 Spill Cost'!L77-'FY19 Spill Cost'!AC77)*(1-$S$3)</f>
        <v>670.653256</v>
      </c>
      <c r="AA77" s="33">
        <f>('FY19 Spill Cost'!M77-'FY19 Spill Cost'!AD77)*(1-$S$3)</f>
        <v>-15.452840000000002</v>
      </c>
      <c r="AB77" s="33">
        <f>(('FY19 Spill Cost'!N77-'FY19 Spill Cost'!AE77)*15/31+('FY19 Spill Cost'!O77-'FY19 Spill Cost'!AF77)*16/31)*(1-$S$3)</f>
        <v>86.78514335483871</v>
      </c>
      <c r="AC77" s="33">
        <f>('FY19 Spill Cost'!P77-'FY19 Spill Cost'!AG77)*(1-$S$3)</f>
        <v>0</v>
      </c>
      <c r="AD77" s="34">
        <f t="shared" si="31"/>
        <v>181.01414439452057</v>
      </c>
      <c r="AF77" s="16">
        <v>2000</v>
      </c>
      <c r="AG77" s="33">
        <f t="shared" si="32"/>
        <v>393.6595157684531</v>
      </c>
      <c r="AH77" s="33">
        <f t="shared" si="33"/>
        <v>2397.258942348759</v>
      </c>
      <c r="AI77" s="33">
        <f t="shared" si="34"/>
        <v>2284.0795586556283</v>
      </c>
      <c r="AJ77" s="33">
        <f t="shared" si="35"/>
        <v>1941.2892225377393</v>
      </c>
      <c r="AK77" s="33">
        <f t="shared" si="36"/>
        <v>2041.0173219462238</v>
      </c>
      <c r="AL77" s="33">
        <f t="shared" si="37"/>
        <v>2204.0218744909794</v>
      </c>
      <c r="AM77" s="33">
        <f t="shared" si="38"/>
        <v>4051.80743697823</v>
      </c>
      <c r="AN77" s="33">
        <f t="shared" si="39"/>
        <v>3558.5124119249085</v>
      </c>
      <c r="AO77" s="33">
        <f t="shared" si="40"/>
        <v>994.2822851054398</v>
      </c>
      <c r="AP77" s="33">
        <f t="shared" si="41"/>
        <v>2386.4416020717017</v>
      </c>
      <c r="AQ77" s="33">
        <f t="shared" si="42"/>
        <v>710.30303502387</v>
      </c>
      <c r="AR77" s="33">
        <f t="shared" si="43"/>
        <v>-92.65362477006131</v>
      </c>
      <c r="AS77" s="34">
        <f t="shared" si="44"/>
        <v>1905.4929084480302</v>
      </c>
      <c r="AT77" s="33"/>
      <c r="AU77" s="16">
        <v>2000</v>
      </c>
      <c r="AV77" s="23">
        <f>'FY19 Aurora Prices for SecR'!AR76-'FY19 Aurora Prices for SecR'!AD76</f>
        <v>0.04864743909530844</v>
      </c>
      <c r="AW77" s="23">
        <f>'FY19 Aurora Prices for SecR'!AS76-'FY19 Aurora Prices for SecR'!AE76</f>
        <v>-0.02869817334303093</v>
      </c>
      <c r="AX77" s="23">
        <f>'FY19 Aurora Prices for SecR'!AT76-'FY19 Aurora Prices for SecR'!AF76</f>
        <v>-0.0340704876889113</v>
      </c>
      <c r="AY77" s="23">
        <f>'FY19 Aurora Prices for SecR'!AU76-'FY19 Aurora Prices for SecR'!AG76</f>
        <v>0.03839378869664145</v>
      </c>
      <c r="AZ77" s="23">
        <f>'FY19 Aurora Prices for SecR'!AV76-'FY19 Aurora Prices for SecR'!AH76</f>
        <v>-0.01356395312720693</v>
      </c>
      <c r="BA77" s="23">
        <f>'FY19 Aurora Prices for SecR'!AW76-'FY19 Aurora Prices for SecR'!AI76</f>
        <v>0.004472505773556179</v>
      </c>
      <c r="BB77" s="23">
        <f>'FY19 Aurora Prices for SecR'!AX76-'FY19 Aurora Prices for SecR'!AJ76</f>
        <v>0.834532746209085</v>
      </c>
      <c r="BC77" s="23">
        <f>'FY19 Aurora Prices for SecR'!AY76-'FY19 Aurora Prices for SecR'!AK76</f>
        <v>1.4472814022853342</v>
      </c>
      <c r="BD77" s="23">
        <f>'FY19 Aurora Prices for SecR'!AZ76-'FY19 Aurora Prices for SecR'!AL76</f>
        <v>0.7559475342433046</v>
      </c>
      <c r="BE77" s="23">
        <f>'FY19 Aurora Prices for SecR'!BA76-'FY19 Aurora Prices for SecR'!AM76</f>
        <v>-0.026886789516773035</v>
      </c>
      <c r="BF77" s="23">
        <f>'FY19 Aurora Prices for SecR'!BB76-'FY19 Aurora Prices for SecR'!AN76</f>
        <v>0.16833636914525485</v>
      </c>
      <c r="BG77" s="24">
        <f>'FY19 Aurora Prices for SecR'!BC76-'FY19 Aurora Prices for SecR'!AO76</f>
        <v>0.015805899302211657</v>
      </c>
      <c r="BI77" s="16">
        <v>2000</v>
      </c>
      <c r="BJ77" s="41">
        <f t="shared" si="45"/>
        <v>14247.99232432002</v>
      </c>
      <c r="BK77" s="41">
        <f t="shared" si="46"/>
        <v>-49602.602879147744</v>
      </c>
      <c r="BL77" s="41">
        <f t="shared" si="47"/>
        <v>-57897.86013585088</v>
      </c>
      <c r="BM77" s="41">
        <f t="shared" si="48"/>
        <v>55452.885467630906</v>
      </c>
      <c r="BN77" s="41">
        <f t="shared" si="49"/>
        <v>-18603.82492865971</v>
      </c>
      <c r="BO77" s="41">
        <f t="shared" si="50"/>
        <v>7324.122915117828</v>
      </c>
      <c r="BP77" s="41">
        <f t="shared" si="51"/>
        <v>2434583.510994122</v>
      </c>
      <c r="BQ77" s="41">
        <f t="shared" si="52"/>
        <v>3831725.6121838535</v>
      </c>
      <c r="BR77" s="41">
        <f t="shared" si="53"/>
        <v>541170.1740724241</v>
      </c>
      <c r="BS77" s="41">
        <f t="shared" si="54"/>
        <v>-47737.83226843552</v>
      </c>
      <c r="BT77" s="41">
        <f t="shared" si="55"/>
        <v>88959.95642812717</v>
      </c>
      <c r="BU77" s="41">
        <f t="shared" si="56"/>
        <v>-1054.4211814323548</v>
      </c>
      <c r="BV77" s="42">
        <f t="shared" si="57"/>
        <v>6798567.712992069</v>
      </c>
    </row>
    <row r="78" spans="2:74" ht="15">
      <c r="B78" s="16">
        <v>2001</v>
      </c>
      <c r="C78" s="33">
        <v>218.05652036485668</v>
      </c>
      <c r="D78" s="33">
        <v>224.58335508284426</v>
      </c>
      <c r="E78" s="33">
        <v>-426.7109012951884</v>
      </c>
      <c r="F78" s="33">
        <v>-553.3016974251655</v>
      </c>
      <c r="G78" s="33">
        <v>-331.45037738060205</v>
      </c>
      <c r="H78" s="33">
        <v>63.738868119289364</v>
      </c>
      <c r="I78" s="33">
        <v>61.26598885800716</v>
      </c>
      <c r="J78" s="33">
        <v>1472.3120794577776</v>
      </c>
      <c r="K78" s="33">
        <v>-1358.4918308454642</v>
      </c>
      <c r="L78" s="33">
        <v>330.19981559495636</v>
      </c>
      <c r="M78" s="33">
        <v>496.3031875931232</v>
      </c>
      <c r="N78" s="33">
        <v>-293.8037345123143</v>
      </c>
      <c r="O78" s="34">
        <f t="shared" si="30"/>
        <v>-1.7774282488823372</v>
      </c>
      <c r="Q78" s="16">
        <v>2001</v>
      </c>
      <c r="R78" s="33">
        <f>('FY19 Spill Cost'!C78-'FY19 Spill Cost'!T78)*(1-$S$3)</f>
        <v>0</v>
      </c>
      <c r="S78" s="33">
        <f>('FY19 Spill Cost'!D78-'FY19 Spill Cost'!U78)*(1-$S$3)</f>
        <v>0</v>
      </c>
      <c r="T78" s="33">
        <f>('FY19 Spill Cost'!E78-'FY19 Spill Cost'!V78)*(1-$S$3)</f>
        <v>0</v>
      </c>
      <c r="U78" s="33">
        <f>('FY19 Spill Cost'!F78-'FY19 Spill Cost'!W78)*(1-$S$3)</f>
        <v>0</v>
      </c>
      <c r="V78" s="33">
        <f>('FY19 Spill Cost'!G78-'FY19 Spill Cost'!X78)*(1-$S$3)</f>
        <v>0</v>
      </c>
      <c r="W78" s="33">
        <f>('FY19 Spill Cost'!H78-'FY19 Spill Cost'!Y78)*(1-$S$3)</f>
        <v>0</v>
      </c>
      <c r="X78" s="33">
        <f>(('FY19 Spill Cost'!I78-'FY19 Spill Cost'!Z78)*15/30+('FY19 Spill Cost'!J78-'FY19 Spill Cost'!AA78)*15/30)*(1-$S$3)</f>
        <v>704.263183</v>
      </c>
      <c r="Y78" s="33">
        <f>('FY19 Spill Cost'!K78-'FY19 Spill Cost'!AB78)*(1-$S$3)</f>
        <v>1131.147888</v>
      </c>
      <c r="Z78" s="33">
        <f>('FY19 Spill Cost'!L78-'FY19 Spill Cost'!AC78)*(1-$S$3)</f>
        <v>302.103022</v>
      </c>
      <c r="AA78" s="33">
        <f>('FY19 Spill Cost'!M78-'FY19 Spill Cost'!AD78)*(1-$S$3)</f>
        <v>-5.408494</v>
      </c>
      <c r="AB78" s="33">
        <f>(('FY19 Spill Cost'!N78-'FY19 Spill Cost'!AE78)*15/31+('FY19 Spill Cost'!O78-'FY19 Spill Cost'!AF78)*16/31)*(1-$S$3)</f>
        <v>81.15233393548388</v>
      </c>
      <c r="AC78" s="33">
        <f>('FY19 Spill Cost'!P78-'FY19 Spill Cost'!AG78)*(1-$S$3)</f>
        <v>0</v>
      </c>
      <c r="AD78" s="34">
        <f t="shared" si="31"/>
        <v>185.21816360547948</v>
      </c>
      <c r="AF78" s="16">
        <v>2001</v>
      </c>
      <c r="AG78" s="33">
        <f t="shared" si="32"/>
        <v>218.05652036485668</v>
      </c>
      <c r="AH78" s="33">
        <f t="shared" si="33"/>
        <v>224.58335508284426</v>
      </c>
      <c r="AI78" s="33">
        <f t="shared" si="34"/>
        <v>-426.7109012951884</v>
      </c>
      <c r="AJ78" s="33">
        <f t="shared" si="35"/>
        <v>-553.3016974251655</v>
      </c>
      <c r="AK78" s="33">
        <f t="shared" si="36"/>
        <v>-331.45037738060205</v>
      </c>
      <c r="AL78" s="33">
        <f t="shared" si="37"/>
        <v>63.738868119289364</v>
      </c>
      <c r="AM78" s="33">
        <f t="shared" si="38"/>
        <v>-642.9971941419928</v>
      </c>
      <c r="AN78" s="33">
        <f t="shared" si="39"/>
        <v>341.16419145777763</v>
      </c>
      <c r="AO78" s="33">
        <f t="shared" si="40"/>
        <v>-1660.5948528454642</v>
      </c>
      <c r="AP78" s="33">
        <f t="shared" si="41"/>
        <v>335.6083095949564</v>
      </c>
      <c r="AQ78" s="33">
        <f t="shared" si="42"/>
        <v>415.15085365763935</v>
      </c>
      <c r="AR78" s="33">
        <f t="shared" si="43"/>
        <v>-293.8037345123143</v>
      </c>
      <c r="AS78" s="34">
        <f t="shared" si="44"/>
        <v>-186.99559185436183</v>
      </c>
      <c r="AT78" s="33"/>
      <c r="AU78" s="16">
        <v>2001</v>
      </c>
      <c r="AV78" s="23">
        <f>'FY19 Aurora Prices for SecR'!AR77-'FY19 Aurora Prices for SecR'!AD77</f>
        <v>-0.019887702695772447</v>
      </c>
      <c r="AW78" s="23">
        <f>'FY19 Aurora Prices for SecR'!AS77-'FY19 Aurora Prices for SecR'!AE77</f>
        <v>0.03121212881253399</v>
      </c>
      <c r="AX78" s="23">
        <f>'FY19 Aurora Prices for SecR'!AT77-'FY19 Aurora Prices for SecR'!AF77</f>
        <v>0.041535661041109506</v>
      </c>
      <c r="AY78" s="23">
        <f>'FY19 Aurora Prices for SecR'!AU77-'FY19 Aurora Prices for SecR'!AG77</f>
        <v>-0.034969105771757825</v>
      </c>
      <c r="AZ78" s="23">
        <f>'FY19 Aurora Prices for SecR'!AV77-'FY19 Aurora Prices for SecR'!AH77</f>
        <v>-0.03271637644085601</v>
      </c>
      <c r="BA78" s="23">
        <f>'FY19 Aurora Prices for SecR'!AW77-'FY19 Aurora Prices for SecR'!AI77</f>
        <v>0.019078726146016578</v>
      </c>
      <c r="BB78" s="23">
        <f>'FY19 Aurora Prices for SecR'!AX77-'FY19 Aurora Prices for SecR'!AJ77</f>
        <v>1.4737887287140268</v>
      </c>
      <c r="BC78" s="23">
        <f>'FY19 Aurora Prices for SecR'!AY77-'FY19 Aurora Prices for SecR'!AK77</f>
        <v>1.2058445543370837</v>
      </c>
      <c r="BD78" s="23">
        <f>'FY19 Aurora Prices for SecR'!AZ77-'FY19 Aurora Prices for SecR'!AL77</f>
        <v>0.6226586182911866</v>
      </c>
      <c r="BE78" s="23">
        <f>'FY19 Aurora Prices for SecR'!BA77-'FY19 Aurora Prices for SecR'!AM77</f>
        <v>-0.044242315907677465</v>
      </c>
      <c r="BF78" s="23">
        <f>'FY19 Aurora Prices for SecR'!BB77-'FY19 Aurora Prices for SecR'!AN77</f>
        <v>0.15261270461541798</v>
      </c>
      <c r="BG78" s="24">
        <f>'FY19 Aurora Prices for SecR'!BC77-'FY19 Aurora Prices for SecR'!AO77</f>
        <v>0.010212415059381641</v>
      </c>
      <c r="BI78" s="16">
        <v>2001</v>
      </c>
      <c r="BJ78" s="41">
        <f t="shared" si="45"/>
        <v>-3226.4625764308444</v>
      </c>
      <c r="BK78" s="41">
        <f t="shared" si="46"/>
        <v>5054.01144236569</v>
      </c>
      <c r="BL78" s="41">
        <f t="shared" si="47"/>
        <v>-13186.447202905001</v>
      </c>
      <c r="BM78" s="41">
        <f t="shared" si="48"/>
        <v>14395.258392229593</v>
      </c>
      <c r="BN78" s="41">
        <f t="shared" si="49"/>
        <v>7287.070773593562</v>
      </c>
      <c r="BO78" s="41">
        <f t="shared" si="50"/>
        <v>903.5299124108066</v>
      </c>
      <c r="BP78" s="41">
        <f t="shared" si="51"/>
        <v>-682302.252471274</v>
      </c>
      <c r="BQ78" s="41">
        <f t="shared" si="52"/>
        <v>306074.89090870647</v>
      </c>
      <c r="BR78" s="41">
        <f t="shared" si="53"/>
        <v>-744468.2615622334</v>
      </c>
      <c r="BS78" s="41">
        <f t="shared" si="54"/>
        <v>-11046.978107630212</v>
      </c>
      <c r="BT78" s="41">
        <f t="shared" si="55"/>
        <v>47137.8271824684</v>
      </c>
      <c r="BU78" s="41">
        <f t="shared" si="56"/>
        <v>-2160.3208916420094</v>
      </c>
      <c r="BV78" s="42">
        <f t="shared" si="57"/>
        <v>-1075538.134200341</v>
      </c>
    </row>
    <row r="79" spans="2:74" ht="15">
      <c r="B79" s="16">
        <v>2002</v>
      </c>
      <c r="C79" s="33">
        <v>-361.69958111342527</v>
      </c>
      <c r="D79" s="33">
        <v>311.8698004536412</v>
      </c>
      <c r="E79" s="33">
        <v>-220.08603929852887</v>
      </c>
      <c r="F79" s="33">
        <v>-550.9678645710544</v>
      </c>
      <c r="G79" s="33">
        <v>-300.38028500618236</v>
      </c>
      <c r="H79" s="33">
        <v>632.5568068470835</v>
      </c>
      <c r="I79" s="33">
        <v>2911.3828516975127</v>
      </c>
      <c r="J79" s="33">
        <v>3315.371803926576</v>
      </c>
      <c r="K79" s="33">
        <v>5118.133812889666</v>
      </c>
      <c r="L79" s="33">
        <v>3589.78767644103</v>
      </c>
      <c r="M79" s="33">
        <v>949.3136063513854</v>
      </c>
      <c r="N79" s="33">
        <v>361.5309132966322</v>
      </c>
      <c r="O79" s="34">
        <f t="shared" si="30"/>
        <v>1316.8385755545912</v>
      </c>
      <c r="Q79" s="16">
        <v>2002</v>
      </c>
      <c r="R79" s="33">
        <f>('FY19 Spill Cost'!C79-'FY19 Spill Cost'!T79)*(1-$S$3)</f>
        <v>0</v>
      </c>
      <c r="S79" s="33">
        <f>('FY19 Spill Cost'!D79-'FY19 Spill Cost'!U79)*(1-$S$3)</f>
        <v>0</v>
      </c>
      <c r="T79" s="33">
        <f>('FY19 Spill Cost'!E79-'FY19 Spill Cost'!V79)*(1-$S$3)</f>
        <v>0</v>
      </c>
      <c r="U79" s="33">
        <f>('FY19 Spill Cost'!F79-'FY19 Spill Cost'!W79)*(1-$S$3)</f>
        <v>0</v>
      </c>
      <c r="V79" s="33">
        <f>('FY19 Spill Cost'!G79-'FY19 Spill Cost'!X79)*(1-$S$3)</f>
        <v>0</v>
      </c>
      <c r="W79" s="33">
        <f>('FY19 Spill Cost'!H79-'FY19 Spill Cost'!Y79)*(1-$S$3)</f>
        <v>0</v>
      </c>
      <c r="X79" s="33">
        <f>(('FY19 Spill Cost'!I79-'FY19 Spill Cost'!Z79)*15/30+('FY19 Spill Cost'!J79-'FY19 Spill Cost'!AA79)*15/30)*(1-$S$3)</f>
        <v>749.0764190000001</v>
      </c>
      <c r="Y79" s="33">
        <f>('FY19 Spill Cost'!K79-'FY19 Spill Cost'!AB79)*(1-$S$3)</f>
        <v>1035.3402800000001</v>
      </c>
      <c r="Z79" s="33">
        <f>('FY19 Spill Cost'!L79-'FY19 Spill Cost'!AC79)*(1-$S$3)</f>
        <v>438.860656</v>
      </c>
      <c r="AA79" s="33">
        <f>('FY19 Spill Cost'!M79-'FY19 Spill Cost'!AD79)*(1-$S$3)</f>
        <v>-22.406618</v>
      </c>
      <c r="AB79" s="33">
        <f>(('FY19 Spill Cost'!N79-'FY19 Spill Cost'!AE79)*15/31+('FY19 Spill Cost'!O79-'FY19 Spill Cost'!AF79)*16/31)*(1-$S$3)</f>
        <v>119.9339775483871</v>
      </c>
      <c r="AC79" s="33">
        <f>('FY19 Spill Cost'!P79-'FY19 Spill Cost'!AG79)*(1-$S$3)</f>
        <v>0</v>
      </c>
      <c r="AD79" s="34">
        <f t="shared" si="31"/>
        <v>193.85481938630141</v>
      </c>
      <c r="AF79" s="16">
        <v>2002</v>
      </c>
      <c r="AG79" s="33">
        <f t="shared" si="32"/>
        <v>-361.69958111342527</v>
      </c>
      <c r="AH79" s="33">
        <f t="shared" si="33"/>
        <v>311.8698004536412</v>
      </c>
      <c r="AI79" s="33">
        <f t="shared" si="34"/>
        <v>-220.08603929852887</v>
      </c>
      <c r="AJ79" s="33">
        <f t="shared" si="35"/>
        <v>-550.9678645710544</v>
      </c>
      <c r="AK79" s="33">
        <f t="shared" si="36"/>
        <v>-300.38028500618236</v>
      </c>
      <c r="AL79" s="33">
        <f t="shared" si="37"/>
        <v>632.5568068470835</v>
      </c>
      <c r="AM79" s="33">
        <f t="shared" si="38"/>
        <v>2162.3064326975127</v>
      </c>
      <c r="AN79" s="33">
        <f t="shared" si="39"/>
        <v>2280.0315239265756</v>
      </c>
      <c r="AO79" s="33">
        <f t="shared" si="40"/>
        <v>4679.273156889666</v>
      </c>
      <c r="AP79" s="33">
        <f t="shared" si="41"/>
        <v>3612.19429444103</v>
      </c>
      <c r="AQ79" s="33">
        <f t="shared" si="42"/>
        <v>829.3796288029982</v>
      </c>
      <c r="AR79" s="33">
        <f t="shared" si="43"/>
        <v>361.5309132966322</v>
      </c>
      <c r="AS79" s="34">
        <f t="shared" si="44"/>
        <v>1122.9837561682898</v>
      </c>
      <c r="AT79" s="33"/>
      <c r="AU79" s="16">
        <v>2002</v>
      </c>
      <c r="AV79" s="23">
        <f>'FY19 Aurora Prices for SecR'!AR78-'FY19 Aurora Prices for SecR'!AD78</f>
        <v>0.029606683023484237</v>
      </c>
      <c r="AW79" s="23">
        <f>'FY19 Aurora Prices for SecR'!AS78-'FY19 Aurora Prices for SecR'!AE78</f>
        <v>-0.015971484428956018</v>
      </c>
      <c r="AX79" s="23">
        <f>'FY19 Aurora Prices for SecR'!AT78-'FY19 Aurora Prices for SecR'!AF78</f>
        <v>0.0053081225323197145</v>
      </c>
      <c r="AY79" s="23">
        <f>'FY19 Aurora Prices for SecR'!AU78-'FY19 Aurora Prices for SecR'!AG78</f>
        <v>-0.003783702337646133</v>
      </c>
      <c r="AZ79" s="23">
        <f>'FY19 Aurora Prices for SecR'!AV78-'FY19 Aurora Prices for SecR'!AH78</f>
        <v>0.016062647955781273</v>
      </c>
      <c r="BA79" s="23">
        <f>'FY19 Aurora Prices for SecR'!AW78-'FY19 Aurora Prices for SecR'!AI78</f>
        <v>0.017930571612524204</v>
      </c>
      <c r="BB79" s="23">
        <f>'FY19 Aurora Prices for SecR'!AX78-'FY19 Aurora Prices for SecR'!AJ78</f>
        <v>0.791359907786088</v>
      </c>
      <c r="BC79" s="23">
        <f>'FY19 Aurora Prices for SecR'!AY78-'FY19 Aurora Prices for SecR'!AK78</f>
        <v>1.0646840036556569</v>
      </c>
      <c r="BD79" s="23">
        <f>'FY19 Aurora Prices for SecR'!AZ78-'FY19 Aurora Prices for SecR'!AL78</f>
        <v>1.5452225857311017</v>
      </c>
      <c r="BE79" s="23">
        <f>'FY19 Aurora Prices for SecR'!BA78-'FY19 Aurora Prices for SecR'!AM78</f>
        <v>-0.023278105899883883</v>
      </c>
      <c r="BF79" s="23">
        <f>'FY19 Aurora Prices for SecR'!BB78-'FY19 Aurora Prices for SecR'!AN78</f>
        <v>0.2414496898650711</v>
      </c>
      <c r="BG79" s="24">
        <f>'FY19 Aurora Prices for SecR'!BC78-'FY19 Aurora Prices for SecR'!AO78</f>
        <v>-0.07371945540113245</v>
      </c>
      <c r="BI79" s="16">
        <v>2002</v>
      </c>
      <c r="BJ79" s="41">
        <f t="shared" si="45"/>
        <v>-7967.291286727643</v>
      </c>
      <c r="BK79" s="41">
        <f t="shared" si="46"/>
        <v>-3591.3180601628114</v>
      </c>
      <c r="BL79" s="41">
        <f t="shared" si="47"/>
        <v>-869.1732862016454</v>
      </c>
      <c r="BM79" s="41">
        <f t="shared" si="48"/>
        <v>1551.015607476175</v>
      </c>
      <c r="BN79" s="41">
        <f t="shared" si="49"/>
        <v>-3242.3346620525626</v>
      </c>
      <c r="BO79" s="41">
        <f t="shared" si="50"/>
        <v>8427.184107251825</v>
      </c>
      <c r="BP79" s="41">
        <f t="shared" si="51"/>
        <v>1232037.0858130334</v>
      </c>
      <c r="BQ79" s="41">
        <f t="shared" si="52"/>
        <v>1806069.7399683099</v>
      </c>
      <c r="BR79" s="41">
        <f t="shared" si="53"/>
        <v>5205973.368118453</v>
      </c>
      <c r="BS79" s="41">
        <f t="shared" si="54"/>
        <v>-62559.27073981425</v>
      </c>
      <c r="BT79" s="41">
        <f t="shared" si="55"/>
        <v>148988.56989123943</v>
      </c>
      <c r="BU79" s="41">
        <f t="shared" si="56"/>
        <v>-19189.340668009267</v>
      </c>
      <c r="BV79" s="42">
        <f t="shared" si="57"/>
        <v>8305628.234802795</v>
      </c>
    </row>
    <row r="80" spans="2:74" ht="15">
      <c r="B80" s="16">
        <v>2003</v>
      </c>
      <c r="C80" s="33">
        <v>307.2371789768165</v>
      </c>
      <c r="D80" s="33">
        <v>582.779117837992</v>
      </c>
      <c r="E80" s="33">
        <v>-274.4045078491064</v>
      </c>
      <c r="F80" s="33">
        <v>-528.6906224819263</v>
      </c>
      <c r="G80" s="33">
        <v>-693.9687674751444</v>
      </c>
      <c r="H80" s="33">
        <v>1850.2500178201185</v>
      </c>
      <c r="I80" s="33">
        <v>2035.4625403636564</v>
      </c>
      <c r="J80" s="33">
        <v>3226.685486604717</v>
      </c>
      <c r="K80" s="33">
        <v>4241.670433464383</v>
      </c>
      <c r="L80" s="33">
        <v>828.0691987718208</v>
      </c>
      <c r="M80" s="33">
        <v>109.68921278098507</v>
      </c>
      <c r="N80" s="33">
        <v>-124.13813039678823</v>
      </c>
      <c r="O80" s="34">
        <f t="shared" si="30"/>
        <v>968.9676629167127</v>
      </c>
      <c r="Q80" s="16">
        <v>2003</v>
      </c>
      <c r="R80" s="33">
        <f>('FY19 Spill Cost'!C80-'FY19 Spill Cost'!T80)*(1-$S$3)</f>
        <v>0</v>
      </c>
      <c r="S80" s="33">
        <f>('FY19 Spill Cost'!D80-'FY19 Spill Cost'!U80)*(1-$S$3)</f>
        <v>0</v>
      </c>
      <c r="T80" s="33">
        <f>('FY19 Spill Cost'!E80-'FY19 Spill Cost'!V80)*(1-$S$3)</f>
        <v>0</v>
      </c>
      <c r="U80" s="33">
        <f>('FY19 Spill Cost'!F80-'FY19 Spill Cost'!W80)*(1-$S$3)</f>
        <v>0</v>
      </c>
      <c r="V80" s="33">
        <f>('FY19 Spill Cost'!G80-'FY19 Spill Cost'!X80)*(1-$S$3)</f>
        <v>0</v>
      </c>
      <c r="W80" s="33">
        <f>('FY19 Spill Cost'!H80-'FY19 Spill Cost'!Y80)*(1-$S$3)</f>
        <v>0</v>
      </c>
      <c r="X80" s="33">
        <f>(('FY19 Spill Cost'!I80-'FY19 Spill Cost'!Z80)*15/30+('FY19 Spill Cost'!J80-'FY19 Spill Cost'!AA80)*15/30)*(1-$S$3)</f>
        <v>859.950546</v>
      </c>
      <c r="Y80" s="33">
        <f>('FY19 Spill Cost'!K80-'FY19 Spill Cost'!AB80)*(1-$S$3)</f>
        <v>1056.974256</v>
      </c>
      <c r="Z80" s="33">
        <f>('FY19 Spill Cost'!L80-'FY19 Spill Cost'!AC80)*(1-$S$3)</f>
        <v>523.0786340000001</v>
      </c>
      <c r="AA80" s="33">
        <f>('FY19 Spill Cost'!M80-'FY19 Spill Cost'!AD80)*(1-$S$3)</f>
        <v>-20.861334000000003</v>
      </c>
      <c r="AB80" s="33">
        <f>(('FY19 Spill Cost'!N80-'FY19 Spill Cost'!AE80)*15/31+('FY19 Spill Cost'!O80-'FY19 Spill Cost'!AF80)*16/31)*(1-$S$3)</f>
        <v>76.54140587096775</v>
      </c>
      <c r="AC80" s="33">
        <f>('FY19 Spill Cost'!P80-'FY19 Spill Cost'!AG80)*(1-$S$3)</f>
        <v>0</v>
      </c>
      <c r="AD80" s="34">
        <f t="shared" si="31"/>
        <v>208.17303990136986</v>
      </c>
      <c r="AF80" s="16">
        <v>2003</v>
      </c>
      <c r="AG80" s="33">
        <f t="shared" si="32"/>
        <v>307.2371789768165</v>
      </c>
      <c r="AH80" s="33">
        <f t="shared" si="33"/>
        <v>582.779117837992</v>
      </c>
      <c r="AI80" s="33">
        <f t="shared" si="34"/>
        <v>-274.4045078491064</v>
      </c>
      <c r="AJ80" s="33">
        <f t="shared" si="35"/>
        <v>-528.6906224819263</v>
      </c>
      <c r="AK80" s="33">
        <f t="shared" si="36"/>
        <v>-693.9687674751444</v>
      </c>
      <c r="AL80" s="33">
        <f t="shared" si="37"/>
        <v>1850.2500178201185</v>
      </c>
      <c r="AM80" s="33">
        <f t="shared" si="38"/>
        <v>1175.5119943636564</v>
      </c>
      <c r="AN80" s="33">
        <f t="shared" si="39"/>
        <v>2169.711230604717</v>
      </c>
      <c r="AO80" s="33">
        <f t="shared" si="40"/>
        <v>3718.591799464383</v>
      </c>
      <c r="AP80" s="33">
        <f t="shared" si="41"/>
        <v>848.9305327718208</v>
      </c>
      <c r="AQ80" s="33">
        <f t="shared" si="42"/>
        <v>33.14780691001732</v>
      </c>
      <c r="AR80" s="33">
        <f t="shared" si="43"/>
        <v>-124.13813039678823</v>
      </c>
      <c r="AS80" s="34">
        <f t="shared" si="44"/>
        <v>760.794623015343</v>
      </c>
      <c r="AT80" s="33"/>
      <c r="AU80" s="16">
        <v>2003</v>
      </c>
      <c r="AV80" s="23">
        <f>'FY19 Aurora Prices for SecR'!AR79-'FY19 Aurora Prices for SecR'!AD79</f>
        <v>-0.05624639757213856</v>
      </c>
      <c r="AW80" s="23">
        <f>'FY19 Aurora Prices for SecR'!AS79-'FY19 Aurora Prices for SecR'!AE79</f>
        <v>0.05053324791989411</v>
      </c>
      <c r="AX80" s="23">
        <f>'FY19 Aurora Prices for SecR'!AT79-'FY19 Aurora Prices for SecR'!AF79</f>
        <v>0.02565772046324355</v>
      </c>
      <c r="AY80" s="23">
        <f>'FY19 Aurora Prices for SecR'!AU79-'FY19 Aurora Prices for SecR'!AG79</f>
        <v>0.01865446746990429</v>
      </c>
      <c r="AZ80" s="23">
        <f>'FY19 Aurora Prices for SecR'!AV79-'FY19 Aurora Prices for SecR'!AH79</f>
        <v>0.003502655029294033</v>
      </c>
      <c r="BA80" s="23">
        <f>'FY19 Aurora Prices for SecR'!AW79-'FY19 Aurora Prices for SecR'!AI79</f>
        <v>-0.02227153165181761</v>
      </c>
      <c r="BB80" s="23">
        <f>'FY19 Aurora Prices for SecR'!AX79-'FY19 Aurora Prices for SecR'!AJ79</f>
        <v>1.0218581358591265</v>
      </c>
      <c r="BC80" s="23">
        <f>'FY19 Aurora Prices for SecR'!AY79-'FY19 Aurora Prices for SecR'!AK79</f>
        <v>0.9864785145687733</v>
      </c>
      <c r="BD80" s="23">
        <f>'FY19 Aurora Prices for SecR'!AZ79-'FY19 Aurora Prices for SecR'!AL79</f>
        <v>0.7756505224439589</v>
      </c>
      <c r="BE80" s="23">
        <f>'FY19 Aurora Prices for SecR'!BA79-'FY19 Aurora Prices for SecR'!AM79</f>
        <v>-0.12202259725139086</v>
      </c>
      <c r="BF80" s="23">
        <f>'FY19 Aurora Prices for SecR'!BB79-'FY19 Aurora Prices for SecR'!AN79</f>
        <v>0.15290347529993653</v>
      </c>
      <c r="BG80" s="24">
        <f>'FY19 Aurora Prices for SecR'!BC79-'FY19 Aurora Prices for SecR'!AO79</f>
        <v>0.009307012557954408</v>
      </c>
      <c r="BI80" s="16">
        <v>2003</v>
      </c>
      <c r="BJ80" s="41">
        <f t="shared" si="45"/>
        <v>-12857.052481148201</v>
      </c>
      <c r="BK80" s="41">
        <f t="shared" si="46"/>
        <v>21233.249305500234</v>
      </c>
      <c r="BL80" s="41">
        <f t="shared" si="47"/>
        <v>-5238.202052247241</v>
      </c>
      <c r="BM80" s="41">
        <f t="shared" si="48"/>
        <v>-7337.656861937013</v>
      </c>
      <c r="BN80" s="41">
        <f t="shared" si="49"/>
        <v>-1633.4527060789028</v>
      </c>
      <c r="BO80" s="41">
        <f t="shared" si="50"/>
        <v>-30617.471063893052</v>
      </c>
      <c r="BP80" s="41">
        <f t="shared" si="51"/>
        <v>864868.6765731528</v>
      </c>
      <c r="BQ80" s="41">
        <f t="shared" si="52"/>
        <v>1592437.892786734</v>
      </c>
      <c r="BR80" s="41">
        <f t="shared" si="53"/>
        <v>2076715.9238474662</v>
      </c>
      <c r="BS80" s="41">
        <f t="shared" si="54"/>
        <v>-77069.99912014947</v>
      </c>
      <c r="BT80" s="41">
        <f t="shared" si="55"/>
        <v>3770.900667083997</v>
      </c>
      <c r="BU80" s="41">
        <f t="shared" si="56"/>
        <v>-831.8556997372008</v>
      </c>
      <c r="BV80" s="42">
        <f t="shared" si="57"/>
        <v>4423440.953194746</v>
      </c>
    </row>
    <row r="81" spans="2:74" ht="15">
      <c r="B81" s="16">
        <v>2004</v>
      </c>
      <c r="C81" s="33">
        <v>105.97193821120399</v>
      </c>
      <c r="D81" s="33">
        <v>732.1845876593495</v>
      </c>
      <c r="E81" s="33">
        <v>234.19885743344668</v>
      </c>
      <c r="F81" s="33">
        <v>328.7488115223252</v>
      </c>
      <c r="G81" s="33">
        <v>-455.83023346973835</v>
      </c>
      <c r="H81" s="33">
        <v>1128.3661177604938</v>
      </c>
      <c r="I81" s="33">
        <v>1464.3997731913619</v>
      </c>
      <c r="J81" s="33">
        <v>2979.1754202548277</v>
      </c>
      <c r="K81" s="33">
        <v>1829.5884737269778</v>
      </c>
      <c r="L81" s="33">
        <v>1202.6447853750665</v>
      </c>
      <c r="M81" s="33">
        <v>640.5869692740046</v>
      </c>
      <c r="N81" s="33">
        <v>1100.9735768451496</v>
      </c>
      <c r="O81" s="34">
        <f t="shared" si="30"/>
        <v>948.616762017947</v>
      </c>
      <c r="Q81" s="16">
        <v>2004</v>
      </c>
      <c r="R81" s="33">
        <f>('FY19 Spill Cost'!C81-'FY19 Spill Cost'!T81)*(1-$S$3)</f>
        <v>0</v>
      </c>
      <c r="S81" s="33">
        <f>('FY19 Spill Cost'!D81-'FY19 Spill Cost'!U81)*(1-$S$3)</f>
        <v>0</v>
      </c>
      <c r="T81" s="33">
        <f>('FY19 Spill Cost'!E81-'FY19 Spill Cost'!V81)*(1-$S$3)</f>
        <v>0</v>
      </c>
      <c r="U81" s="33">
        <f>('FY19 Spill Cost'!F81-'FY19 Spill Cost'!W81)*(1-$S$3)</f>
        <v>0</v>
      </c>
      <c r="V81" s="33">
        <f>('FY19 Spill Cost'!G81-'FY19 Spill Cost'!X81)*(1-$S$3)</f>
        <v>0</v>
      </c>
      <c r="W81" s="33">
        <f>('FY19 Spill Cost'!H81-'FY19 Spill Cost'!Y81)*(1-$S$3)</f>
        <v>0</v>
      </c>
      <c r="X81" s="33">
        <f>(('FY19 Spill Cost'!I81-'FY19 Spill Cost'!Z81)*15/30+('FY19 Spill Cost'!J81-'FY19 Spill Cost'!AA81)*15/30)*(1-$S$3)</f>
        <v>896.6510410000001</v>
      </c>
      <c r="Y81" s="33">
        <f>('FY19 Spill Cost'!K81-'FY19 Spill Cost'!AB81)*(1-$S$3)</f>
        <v>1059.2921820000001</v>
      </c>
      <c r="Z81" s="33">
        <f>('FY19 Spill Cost'!L81-'FY19 Spill Cost'!AC81)*(1-$S$3)</f>
        <v>663.699478</v>
      </c>
      <c r="AA81" s="33">
        <f>('FY19 Spill Cost'!M81-'FY19 Spill Cost'!AD81)*(1-$S$3)</f>
        <v>-27.815112000000003</v>
      </c>
      <c r="AB81" s="33">
        <f>(('FY19 Spill Cost'!N81-'FY19 Spill Cost'!AE81)*15/31+('FY19 Spill Cost'!O81-'FY19 Spill Cost'!AF81)*16/31)*(1-$S$3)</f>
        <v>103.38448438709679</v>
      </c>
      <c r="AC81" s="33">
        <f>('FY19 Spill Cost'!P81-'FY19 Spill Cost'!AG81)*(1-$S$3)</f>
        <v>0</v>
      </c>
      <c r="AD81" s="34">
        <f t="shared" si="31"/>
        <v>224.6334897424658</v>
      </c>
      <c r="AF81" s="16">
        <v>2004</v>
      </c>
      <c r="AG81" s="33">
        <f t="shared" si="32"/>
        <v>105.97193821120399</v>
      </c>
      <c r="AH81" s="33">
        <f t="shared" si="33"/>
        <v>732.1845876593495</v>
      </c>
      <c r="AI81" s="33">
        <f t="shared" si="34"/>
        <v>234.19885743344668</v>
      </c>
      <c r="AJ81" s="33">
        <f t="shared" si="35"/>
        <v>328.7488115223252</v>
      </c>
      <c r="AK81" s="33">
        <f t="shared" si="36"/>
        <v>-455.83023346973835</v>
      </c>
      <c r="AL81" s="33">
        <f t="shared" si="37"/>
        <v>1128.3661177604938</v>
      </c>
      <c r="AM81" s="33">
        <f t="shared" si="38"/>
        <v>567.7487321913618</v>
      </c>
      <c r="AN81" s="33">
        <f t="shared" si="39"/>
        <v>1919.8832382548276</v>
      </c>
      <c r="AO81" s="33">
        <f t="shared" si="40"/>
        <v>1165.8889957269778</v>
      </c>
      <c r="AP81" s="33">
        <f t="shared" si="41"/>
        <v>1230.4598973750665</v>
      </c>
      <c r="AQ81" s="33">
        <f t="shared" si="42"/>
        <v>537.2024848869078</v>
      </c>
      <c r="AR81" s="33">
        <f t="shared" si="43"/>
        <v>1100.9735768451496</v>
      </c>
      <c r="AS81" s="34">
        <f t="shared" si="44"/>
        <v>723.9832722754815</v>
      </c>
      <c r="AT81" s="33"/>
      <c r="AU81" s="16">
        <v>2004</v>
      </c>
      <c r="AV81" s="23">
        <f>'FY19 Aurora Prices for SecR'!AR80-'FY19 Aurora Prices for SecR'!AD80</f>
        <v>0.006967076947624662</v>
      </c>
      <c r="AW81" s="23">
        <f>'FY19 Aurora Prices for SecR'!AS80-'FY19 Aurora Prices for SecR'!AE80</f>
        <v>0.02703029894464848</v>
      </c>
      <c r="AX81" s="23">
        <f>'FY19 Aurora Prices for SecR'!AT80-'FY19 Aurora Prices for SecR'!AF80</f>
        <v>-0.01873146795456293</v>
      </c>
      <c r="AY81" s="23">
        <f>'FY19 Aurora Prices for SecR'!AU80-'FY19 Aurora Prices for SecR'!AG80</f>
        <v>-0.022216390281574405</v>
      </c>
      <c r="AZ81" s="23">
        <f>'FY19 Aurora Prices for SecR'!AV80-'FY19 Aurora Prices for SecR'!AH80</f>
        <v>0.016406263623895967</v>
      </c>
      <c r="BA81" s="23">
        <f>'FY19 Aurora Prices for SecR'!AW80-'FY19 Aurora Prices for SecR'!AI80</f>
        <v>-0.01804337122881705</v>
      </c>
      <c r="BB81" s="23">
        <f>'FY19 Aurora Prices for SecR'!AX80-'FY19 Aurora Prices for SecR'!AJ80</f>
        <v>1.3329753451877053</v>
      </c>
      <c r="BC81" s="23">
        <f>'FY19 Aurora Prices for SecR'!AY80-'FY19 Aurora Prices for SecR'!AK80</f>
        <v>0.943100094538881</v>
      </c>
      <c r="BD81" s="23">
        <f>'FY19 Aurora Prices for SecR'!AZ80-'FY19 Aurora Prices for SecR'!AL80</f>
        <v>0.6033744361665931</v>
      </c>
      <c r="BE81" s="23">
        <f>'FY19 Aurora Prices for SecR'!BA80-'FY19 Aurora Prices for SecR'!AM80</f>
        <v>-0.10940948404287099</v>
      </c>
      <c r="BF81" s="23">
        <f>'FY19 Aurora Prices for SecR'!BB80-'FY19 Aurora Prices for SecR'!AN80</f>
        <v>0.1312119084019585</v>
      </c>
      <c r="BG81" s="24">
        <f>'FY19 Aurora Prices for SecR'!BC80-'FY19 Aurora Prices for SecR'!AO80</f>
        <v>-0.028429403305011647</v>
      </c>
      <c r="BI81" s="16">
        <v>2004</v>
      </c>
      <c r="BJ81" s="41">
        <f t="shared" si="45"/>
        <v>549.30609796795</v>
      </c>
      <c r="BK81" s="41">
        <f t="shared" si="46"/>
        <v>14269.432334996502</v>
      </c>
      <c r="BL81" s="41">
        <f t="shared" si="47"/>
        <v>-3263.844964399335</v>
      </c>
      <c r="BM81" s="41">
        <f t="shared" si="48"/>
        <v>-5433.887254629489</v>
      </c>
      <c r="BN81" s="41">
        <f t="shared" si="49"/>
        <v>-5025.532497247297</v>
      </c>
      <c r="BO81" s="41">
        <f t="shared" si="50"/>
        <v>-15127.129857365362</v>
      </c>
      <c r="BP81" s="41">
        <f t="shared" si="51"/>
        <v>544892.4448363171</v>
      </c>
      <c r="BQ81" s="41">
        <f t="shared" si="52"/>
        <v>1347117.6952452953</v>
      </c>
      <c r="BR81" s="41">
        <f t="shared" si="53"/>
        <v>506496.68310931255</v>
      </c>
      <c r="BS81" s="41">
        <f t="shared" si="54"/>
        <v>-100160.242985394</v>
      </c>
      <c r="BT81" s="41">
        <f t="shared" si="55"/>
        <v>52442.59825077237</v>
      </c>
      <c r="BU81" s="41">
        <f t="shared" si="56"/>
        <v>-22536.015727890233</v>
      </c>
      <c r="BV81" s="42">
        <f t="shared" si="57"/>
        <v>2314221.5065877363</v>
      </c>
    </row>
    <row r="82" spans="2:74" ht="15">
      <c r="B82" s="16">
        <v>2005</v>
      </c>
      <c r="C82" s="33">
        <v>709.552538067458</v>
      </c>
      <c r="D82" s="33">
        <v>289.70894342635313</v>
      </c>
      <c r="E82" s="33">
        <v>1101.8266186093904</v>
      </c>
      <c r="F82" s="33">
        <v>1197.0119332882655</v>
      </c>
      <c r="G82" s="33">
        <v>1166.8579756718057</v>
      </c>
      <c r="H82" s="33">
        <v>328.4479103077633</v>
      </c>
      <c r="I82" s="33">
        <v>456.566870931627</v>
      </c>
      <c r="J82" s="33">
        <v>3481.8927998150743</v>
      </c>
      <c r="K82" s="33">
        <v>2275.8383159107116</v>
      </c>
      <c r="L82" s="33">
        <v>1547.1918903877604</v>
      </c>
      <c r="M82" s="33">
        <v>549.0317626820263</v>
      </c>
      <c r="N82" s="33">
        <v>248.3599112855069</v>
      </c>
      <c r="O82" s="34">
        <f t="shared" si="30"/>
        <v>1115.4746561361817</v>
      </c>
      <c r="Q82" s="16">
        <v>2005</v>
      </c>
      <c r="R82" s="33">
        <f>('FY19 Spill Cost'!C82-'FY19 Spill Cost'!T82)*(1-$S$3)</f>
        <v>0</v>
      </c>
      <c r="S82" s="33">
        <f>('FY19 Spill Cost'!D82-'FY19 Spill Cost'!U82)*(1-$S$3)</f>
        <v>0</v>
      </c>
      <c r="T82" s="33">
        <f>('FY19 Spill Cost'!E82-'FY19 Spill Cost'!V82)*(1-$S$3)</f>
        <v>0</v>
      </c>
      <c r="U82" s="33">
        <f>('FY19 Spill Cost'!F82-'FY19 Spill Cost'!W82)*(1-$S$3)</f>
        <v>0</v>
      </c>
      <c r="V82" s="33">
        <f>('FY19 Spill Cost'!G82-'FY19 Spill Cost'!X82)*(1-$S$3)</f>
        <v>0</v>
      </c>
      <c r="W82" s="33">
        <f>('FY19 Spill Cost'!H82-'FY19 Spill Cost'!Y82)*(1-$S$3)</f>
        <v>0</v>
      </c>
      <c r="X82" s="33">
        <f>(('FY19 Spill Cost'!I82-'FY19 Spill Cost'!Z82)*15/30+('FY19 Spill Cost'!J82-'FY19 Spill Cost'!AA82)*15/30)*(1-$S$3)</f>
        <v>860.723188</v>
      </c>
      <c r="Y82" s="33">
        <f>('FY19 Spill Cost'!K82-'FY19 Spill Cost'!AB82)*(1-$S$3)</f>
        <v>1016.0242300000001</v>
      </c>
      <c r="Z82" s="33">
        <f>('FY19 Spill Cost'!L82-'FY19 Spill Cost'!AC82)*(1-$S$3)</f>
        <v>674.516466</v>
      </c>
      <c r="AA82" s="33">
        <f>('FY19 Spill Cost'!M82-'FY19 Spill Cost'!AD82)*(1-$S$3)</f>
        <v>-13.907556000000001</v>
      </c>
      <c r="AB82" s="33">
        <f>(('FY19 Spill Cost'!N82-'FY19 Spill Cost'!AE82)*15/31+('FY19 Spill Cost'!O82-'FY19 Spill Cost'!AF82)*16/31)*(1-$S$3)</f>
        <v>100.49330787096774</v>
      </c>
      <c r="AC82" s="33">
        <f>('FY19 Spill Cost'!P82-'FY19 Spill Cost'!AG82)*(1-$S$3)</f>
        <v>0</v>
      </c>
      <c r="AD82" s="34">
        <f t="shared" si="31"/>
        <v>219.83040837808218</v>
      </c>
      <c r="AF82" s="16">
        <v>2005</v>
      </c>
      <c r="AG82" s="33">
        <f t="shared" si="32"/>
        <v>709.552538067458</v>
      </c>
      <c r="AH82" s="33">
        <f t="shared" si="33"/>
        <v>289.70894342635313</v>
      </c>
      <c r="AI82" s="33">
        <f t="shared" si="34"/>
        <v>1101.8266186093904</v>
      </c>
      <c r="AJ82" s="33">
        <f t="shared" si="35"/>
        <v>1197.0119332882655</v>
      </c>
      <c r="AK82" s="33">
        <f t="shared" si="36"/>
        <v>1166.8579756718057</v>
      </c>
      <c r="AL82" s="33">
        <f t="shared" si="37"/>
        <v>328.4479103077633</v>
      </c>
      <c r="AM82" s="33">
        <f t="shared" si="38"/>
        <v>-404.156317068373</v>
      </c>
      <c r="AN82" s="33">
        <f t="shared" si="39"/>
        <v>2465.8685698150744</v>
      </c>
      <c r="AO82" s="33">
        <f t="shared" si="40"/>
        <v>1601.3218499107115</v>
      </c>
      <c r="AP82" s="33">
        <f t="shared" si="41"/>
        <v>1561.0994463877605</v>
      </c>
      <c r="AQ82" s="33">
        <f t="shared" si="42"/>
        <v>448.53845481105856</v>
      </c>
      <c r="AR82" s="33">
        <f t="shared" si="43"/>
        <v>248.3599112855069</v>
      </c>
      <c r="AS82" s="34">
        <f t="shared" si="44"/>
        <v>895.6442477580996</v>
      </c>
      <c r="AT82" s="33"/>
      <c r="AU82" s="16">
        <v>2005</v>
      </c>
      <c r="AV82" s="23">
        <f>'FY19 Aurora Prices for SecR'!AR81-'FY19 Aurora Prices for SecR'!AD81</f>
        <v>-0.015144121262363086</v>
      </c>
      <c r="AW82" s="23">
        <f>'FY19 Aurora Prices for SecR'!AS81-'FY19 Aurora Prices for SecR'!AE81</f>
        <v>0.02209432836044556</v>
      </c>
      <c r="AX82" s="23">
        <f>'FY19 Aurora Prices for SecR'!AT81-'FY19 Aurora Prices for SecR'!AF81</f>
        <v>-0.0012361364979938116</v>
      </c>
      <c r="AY82" s="23">
        <f>'FY19 Aurora Prices for SecR'!AU81-'FY19 Aurora Prices for SecR'!AG81</f>
        <v>-0.008753992408809808</v>
      </c>
      <c r="AZ82" s="23">
        <f>'FY19 Aurora Prices for SecR'!AV81-'FY19 Aurora Prices for SecR'!AH81</f>
        <v>0.012233284541505185</v>
      </c>
      <c r="BA82" s="23">
        <f>'FY19 Aurora Prices for SecR'!AW81-'FY19 Aurora Prices for SecR'!AI81</f>
        <v>0.17306629632721027</v>
      </c>
      <c r="BB82" s="23">
        <f>'FY19 Aurora Prices for SecR'!AX81-'FY19 Aurora Prices for SecR'!AJ81</f>
        <v>1.8471736468209414</v>
      </c>
      <c r="BC82" s="23">
        <f>'FY19 Aurora Prices for SecR'!AY81-'FY19 Aurora Prices for SecR'!AK81</f>
        <v>0.9849109554804016</v>
      </c>
      <c r="BD82" s="23">
        <f>'FY19 Aurora Prices for SecR'!AZ81-'FY19 Aurora Prices for SecR'!AL81</f>
        <v>0.583511365784549</v>
      </c>
      <c r="BE82" s="23">
        <f>'FY19 Aurora Prices for SecR'!BA81-'FY19 Aurora Prices for SecR'!AM81</f>
        <v>-0.11498231400725345</v>
      </c>
      <c r="BF82" s="23">
        <f>'FY19 Aurora Prices for SecR'!BB81-'FY19 Aurora Prices for SecR'!AN81</f>
        <v>0.18503817281417767</v>
      </c>
      <c r="BG82" s="24">
        <f>'FY19 Aurora Prices for SecR'!BC81-'FY19 Aurora Prices for SecR'!AO81</f>
        <v>-0.016399857203200696</v>
      </c>
      <c r="BI82" s="16">
        <v>2005</v>
      </c>
      <c r="BJ82" s="41">
        <f t="shared" si="45"/>
        <v>-7994.688960812247</v>
      </c>
      <c r="BK82" s="41">
        <f t="shared" si="46"/>
        <v>4615.066582539125</v>
      </c>
      <c r="BL82" s="41">
        <f t="shared" si="47"/>
        <v>-1013.3340247067862</v>
      </c>
      <c r="BM82" s="41">
        <f t="shared" si="48"/>
        <v>-7796.103232681609</v>
      </c>
      <c r="BN82" s="41">
        <f t="shared" si="49"/>
        <v>9592.467787336851</v>
      </c>
      <c r="BO82" s="41">
        <f t="shared" si="50"/>
        <v>42234.54468641862</v>
      </c>
      <c r="BP82" s="41">
        <f t="shared" si="51"/>
        <v>-537513.7666211333</v>
      </c>
      <c r="BQ82" s="41">
        <f t="shared" si="52"/>
        <v>1806923.7610741283</v>
      </c>
      <c r="BR82" s="41">
        <f t="shared" si="53"/>
        <v>672760.4397854686</v>
      </c>
      <c r="BS82" s="41">
        <f t="shared" si="54"/>
        <v>-133547.12709538362</v>
      </c>
      <c r="BT82" s="41">
        <f t="shared" si="55"/>
        <v>61749.57166965886</v>
      </c>
      <c r="BU82" s="41">
        <f t="shared" si="56"/>
        <v>-2932.608297658973</v>
      </c>
      <c r="BV82" s="42">
        <f t="shared" si="57"/>
        <v>1907078.2233531738</v>
      </c>
    </row>
    <row r="83" spans="2:74" ht="15">
      <c r="B83" s="16">
        <v>2006</v>
      </c>
      <c r="C83" s="33">
        <v>-198.35113611930643</v>
      </c>
      <c r="D83" s="33">
        <v>378.340311157445</v>
      </c>
      <c r="E83" s="33">
        <v>806.8387924844233</v>
      </c>
      <c r="F83" s="33">
        <v>2320.359377804169</v>
      </c>
      <c r="G83" s="33">
        <v>2981.705980920022</v>
      </c>
      <c r="H83" s="33">
        <v>2441.7384938619725</v>
      </c>
      <c r="I83" s="33">
        <v>4890.229719903503</v>
      </c>
      <c r="J83" s="33">
        <v>5364.334997098902</v>
      </c>
      <c r="K83" s="33">
        <v>4886.9161284684515</v>
      </c>
      <c r="L83" s="33">
        <v>2129.3406564064094</v>
      </c>
      <c r="M83" s="33">
        <v>382.2726731516974</v>
      </c>
      <c r="N83" s="33">
        <v>-123.17324143397897</v>
      </c>
      <c r="O83" s="34">
        <f t="shared" si="30"/>
        <v>2178.1198070676173</v>
      </c>
      <c r="Q83" s="16">
        <v>2006</v>
      </c>
      <c r="R83" s="33">
        <f>('FY19 Spill Cost'!C83-'FY19 Spill Cost'!T83)*(1-$S$3)</f>
        <v>0</v>
      </c>
      <c r="S83" s="33">
        <f>('FY19 Spill Cost'!D83-'FY19 Spill Cost'!U83)*(1-$S$3)</f>
        <v>0</v>
      </c>
      <c r="T83" s="33">
        <f>('FY19 Spill Cost'!E83-'FY19 Spill Cost'!V83)*(1-$S$3)</f>
        <v>0</v>
      </c>
      <c r="U83" s="33">
        <f>('FY19 Spill Cost'!F83-'FY19 Spill Cost'!W83)*(1-$S$3)</f>
        <v>0</v>
      </c>
      <c r="V83" s="33">
        <f>('FY19 Spill Cost'!G83-'FY19 Spill Cost'!X83)*(1-$S$3)</f>
        <v>0</v>
      </c>
      <c r="W83" s="33">
        <f>('FY19 Spill Cost'!H83-'FY19 Spill Cost'!Y83)*(1-$S$3)</f>
        <v>0</v>
      </c>
      <c r="X83" s="33">
        <f>(('FY19 Spill Cost'!I83-'FY19 Spill Cost'!Z83)*15/30+('FY19 Spill Cost'!J83-'FY19 Spill Cost'!AA83)*15/30)*(1-$S$3)</f>
        <v>509.55739900000003</v>
      </c>
      <c r="Y83" s="33">
        <f>('FY19 Spill Cost'!K83-'FY19 Spill Cost'!AB83)*(1-$S$3)</f>
        <v>296.694528</v>
      </c>
      <c r="Z83" s="33">
        <f>('FY19 Spill Cost'!L83-'FY19 Spill Cost'!AC83)*(1-$S$3)</f>
        <v>450.450286</v>
      </c>
      <c r="AA83" s="33">
        <f>('FY19 Spill Cost'!M83-'FY19 Spill Cost'!AD83)*(1-$S$3)</f>
        <v>-16.225482</v>
      </c>
      <c r="AB83" s="33">
        <f>(('FY19 Spill Cost'!N83-'FY19 Spill Cost'!AE83)*15/31+('FY19 Spill Cost'!O83-'FY19 Spill Cost'!AF83)*16/31)*(1-$S$3)</f>
        <v>97.50243561290323</v>
      </c>
      <c r="AC83" s="33">
        <f>('FY19 Spill Cost'!P83-'FY19 Spill Cost'!AG83)*(1-$S$3)</f>
        <v>0</v>
      </c>
      <c r="AD83" s="34">
        <f t="shared" si="31"/>
        <v>111.00642871232876</v>
      </c>
      <c r="AF83" s="16">
        <v>2006</v>
      </c>
      <c r="AG83" s="33">
        <f t="shared" si="32"/>
        <v>-198.35113611930643</v>
      </c>
      <c r="AH83" s="33">
        <f t="shared" si="33"/>
        <v>378.340311157445</v>
      </c>
      <c r="AI83" s="33">
        <f t="shared" si="34"/>
        <v>806.8387924844233</v>
      </c>
      <c r="AJ83" s="33">
        <f t="shared" si="35"/>
        <v>2320.359377804169</v>
      </c>
      <c r="AK83" s="33">
        <f t="shared" si="36"/>
        <v>2981.705980920022</v>
      </c>
      <c r="AL83" s="33">
        <f t="shared" si="37"/>
        <v>2441.7384938619725</v>
      </c>
      <c r="AM83" s="33">
        <f t="shared" si="38"/>
        <v>4380.672320903503</v>
      </c>
      <c r="AN83" s="33">
        <f t="shared" si="39"/>
        <v>5067.640469098902</v>
      </c>
      <c r="AO83" s="33">
        <f t="shared" si="40"/>
        <v>4436.465842468451</v>
      </c>
      <c r="AP83" s="33">
        <f t="shared" si="41"/>
        <v>2145.566138406409</v>
      </c>
      <c r="AQ83" s="33">
        <f t="shared" si="42"/>
        <v>284.77023753879416</v>
      </c>
      <c r="AR83" s="33">
        <f t="shared" si="43"/>
        <v>-123.17324143397897</v>
      </c>
      <c r="AS83" s="34">
        <f t="shared" si="44"/>
        <v>2067.113378355288</v>
      </c>
      <c r="AT83" s="33"/>
      <c r="AU83" s="16">
        <v>2006</v>
      </c>
      <c r="AV83" s="23">
        <f>'FY19 Aurora Prices for SecR'!AR82-'FY19 Aurora Prices for SecR'!AD82</f>
        <v>0.010286491917014473</v>
      </c>
      <c r="AW83" s="23">
        <f>'FY19 Aurora Prices for SecR'!AS82-'FY19 Aurora Prices for SecR'!AE82</f>
        <v>-0.008258219003376865</v>
      </c>
      <c r="AX83" s="23">
        <f>'FY19 Aurora Prices for SecR'!AT82-'FY19 Aurora Prices for SecR'!AF82</f>
        <v>-0.009903911877660931</v>
      </c>
      <c r="AY83" s="23">
        <f>'FY19 Aurora Prices for SecR'!AU82-'FY19 Aurora Prices for SecR'!AG82</f>
        <v>-0.012952407713811454</v>
      </c>
      <c r="AZ83" s="23">
        <f>'FY19 Aurora Prices for SecR'!AV82-'FY19 Aurora Prices for SecR'!AH82</f>
        <v>-0.014516111782658214</v>
      </c>
      <c r="BA83" s="23">
        <f>'FY19 Aurora Prices for SecR'!AW82-'FY19 Aurora Prices for SecR'!AI82</f>
        <v>0.011944803029958706</v>
      </c>
      <c r="BB83" s="23">
        <f>'FY19 Aurora Prices for SecR'!AX82-'FY19 Aurora Prices for SecR'!AJ82</f>
        <v>0.91562580714624</v>
      </c>
      <c r="BC83" s="23">
        <f>'FY19 Aurora Prices for SecR'!AY82-'FY19 Aurora Prices for SecR'!AK82</f>
        <v>0.8932595471862008</v>
      </c>
      <c r="BD83" s="23">
        <f>'FY19 Aurora Prices for SecR'!AZ82-'FY19 Aurora Prices for SecR'!AL82</f>
        <v>1.3833824349774257</v>
      </c>
      <c r="BE83" s="23">
        <f>'FY19 Aurora Prices for SecR'!BA82-'FY19 Aurora Prices for SecR'!AM82</f>
        <v>-0.24053307117954148</v>
      </c>
      <c r="BF83" s="23">
        <f>'FY19 Aurora Prices for SecR'!BB82-'FY19 Aurora Prices for SecR'!AN82</f>
        <v>0.05322040511714121</v>
      </c>
      <c r="BG83" s="24">
        <f>'FY19 Aurora Prices for SecR'!BC82-'FY19 Aurora Prices for SecR'!AO82</f>
        <v>-0.13256547133127583</v>
      </c>
      <c r="BI83" s="16">
        <v>2006</v>
      </c>
      <c r="BJ83" s="41">
        <f t="shared" si="45"/>
        <v>-1518.0109946658808</v>
      </c>
      <c r="BK83" s="41">
        <f t="shared" si="46"/>
        <v>-2252.7047632349722</v>
      </c>
      <c r="BL83" s="41">
        <f t="shared" si="47"/>
        <v>-5945.200063381598</v>
      </c>
      <c r="BM83" s="41">
        <f t="shared" si="48"/>
        <v>-22360.355083690785</v>
      </c>
      <c r="BN83" s="41">
        <f t="shared" si="49"/>
        <v>-29086.02636042136</v>
      </c>
      <c r="BO83" s="41">
        <f t="shared" si="50"/>
        <v>21670.401422368028</v>
      </c>
      <c r="BP83" s="41">
        <f t="shared" si="51"/>
        <v>2887960.7733627325</v>
      </c>
      <c r="BQ83" s="41">
        <f t="shared" si="52"/>
        <v>3367878.363662935</v>
      </c>
      <c r="BR83" s="41">
        <f t="shared" si="53"/>
        <v>4418876.822290692</v>
      </c>
      <c r="BS83" s="41">
        <f t="shared" si="54"/>
        <v>-383963.23184115376</v>
      </c>
      <c r="BT83" s="41">
        <f t="shared" si="55"/>
        <v>11275.757030896655</v>
      </c>
      <c r="BU83" s="41">
        <f t="shared" si="56"/>
        <v>11756.533540389448</v>
      </c>
      <c r="BV83" s="42">
        <f t="shared" si="57"/>
        <v>10274293.122203464</v>
      </c>
    </row>
    <row r="84" spans="2:74" ht="15">
      <c r="B84" s="16">
        <v>2007</v>
      </c>
      <c r="C84" s="33">
        <v>274.2483510526848</v>
      </c>
      <c r="D84" s="33">
        <v>614.5541988057778</v>
      </c>
      <c r="E84" s="33">
        <v>309.05879442620676</v>
      </c>
      <c r="F84" s="33">
        <v>1914.303511159595</v>
      </c>
      <c r="G84" s="33">
        <v>1573.7247590527534</v>
      </c>
      <c r="H84" s="33">
        <v>2858.147111966121</v>
      </c>
      <c r="I84" s="33">
        <v>2863.622557395947</v>
      </c>
      <c r="J84" s="33">
        <v>3535.0205958141582</v>
      </c>
      <c r="K84" s="33">
        <v>2930.228986129142</v>
      </c>
      <c r="L84" s="33">
        <v>2420.253731883871</v>
      </c>
      <c r="M84" s="33">
        <v>397.3643416960684</v>
      </c>
      <c r="N84" s="33">
        <v>-231.5103108472685</v>
      </c>
      <c r="O84" s="34">
        <f t="shared" si="30"/>
        <v>1622.569760925744</v>
      </c>
      <c r="Q84" s="16">
        <v>2007</v>
      </c>
      <c r="R84" s="33">
        <f>('FY19 Spill Cost'!C84-'FY19 Spill Cost'!T84)*(1-$S$3)</f>
        <v>0</v>
      </c>
      <c r="S84" s="33">
        <f>('FY19 Spill Cost'!D84-'FY19 Spill Cost'!U84)*(1-$S$3)</f>
        <v>0</v>
      </c>
      <c r="T84" s="33">
        <f>('FY19 Spill Cost'!E84-'FY19 Spill Cost'!V84)*(1-$S$3)</f>
        <v>0</v>
      </c>
      <c r="U84" s="33">
        <f>('FY19 Spill Cost'!F84-'FY19 Spill Cost'!W84)*(1-$S$3)</f>
        <v>0</v>
      </c>
      <c r="V84" s="33">
        <f>('FY19 Spill Cost'!G84-'FY19 Spill Cost'!X84)*(1-$S$3)</f>
        <v>0</v>
      </c>
      <c r="W84" s="33">
        <f>('FY19 Spill Cost'!H84-'FY19 Spill Cost'!Y84)*(1-$S$3)</f>
        <v>0</v>
      </c>
      <c r="X84" s="33">
        <f>(('FY19 Spill Cost'!I84-'FY19 Spill Cost'!Z84)*15/30+('FY19 Spill Cost'!J84-'FY19 Spill Cost'!AA84)*15/30)*(1-$S$3)</f>
        <v>811.660421</v>
      </c>
      <c r="Y84" s="33">
        <f>('FY19 Spill Cost'!K84-'FY19 Spill Cost'!AB84)*(1-$S$3)</f>
        <v>1008.29781</v>
      </c>
      <c r="Z84" s="33">
        <f>('FY19 Spill Cost'!L84-'FY19 Spill Cost'!AC84)*(1-$S$3)</f>
        <v>587.9805620000001</v>
      </c>
      <c r="AA84" s="33">
        <f>('FY19 Spill Cost'!M84-'FY19 Spill Cost'!AD84)*(1-$S$3)</f>
        <v>10.816988</v>
      </c>
      <c r="AB84" s="33">
        <f>(('FY19 Spill Cost'!N84-'FY19 Spill Cost'!AE84)*15/31+('FY19 Spill Cost'!O84-'FY19 Spill Cost'!AF84)*16/31)*(1-$S$3)</f>
        <v>92.71704000000001</v>
      </c>
      <c r="AC84" s="33">
        <f>('FY19 Spill Cost'!P84-'FY19 Spill Cost'!AG84)*(1-$S$3)</f>
        <v>0</v>
      </c>
      <c r="AD84" s="34">
        <f t="shared" si="31"/>
        <v>209.46853826849315</v>
      </c>
      <c r="AF84" s="16">
        <v>2007</v>
      </c>
      <c r="AG84" s="33">
        <f t="shared" si="32"/>
        <v>274.2483510526848</v>
      </c>
      <c r="AH84" s="33">
        <f t="shared" si="33"/>
        <v>614.5541988057778</v>
      </c>
      <c r="AI84" s="33">
        <f t="shared" si="34"/>
        <v>309.05879442620676</v>
      </c>
      <c r="AJ84" s="33">
        <f t="shared" si="35"/>
        <v>1914.303511159595</v>
      </c>
      <c r="AK84" s="33">
        <f t="shared" si="36"/>
        <v>1573.7247590527534</v>
      </c>
      <c r="AL84" s="33">
        <f t="shared" si="37"/>
        <v>2858.147111966121</v>
      </c>
      <c r="AM84" s="33">
        <f t="shared" si="38"/>
        <v>2051.962136395947</v>
      </c>
      <c r="AN84" s="33">
        <f t="shared" si="39"/>
        <v>2526.722785814158</v>
      </c>
      <c r="AO84" s="33">
        <f t="shared" si="40"/>
        <v>2342.2484241291418</v>
      </c>
      <c r="AP84" s="33">
        <f t="shared" si="41"/>
        <v>2409.436743883871</v>
      </c>
      <c r="AQ84" s="33">
        <f t="shared" si="42"/>
        <v>304.6473016960684</v>
      </c>
      <c r="AR84" s="33">
        <f t="shared" si="43"/>
        <v>-231.5103108472685</v>
      </c>
      <c r="AS84" s="34">
        <f t="shared" si="44"/>
        <v>1413.101222657251</v>
      </c>
      <c r="AT84" s="33"/>
      <c r="AU84" s="16">
        <v>2007</v>
      </c>
      <c r="AV84" s="23">
        <f>'FY19 Aurora Prices for SecR'!AR83-'FY19 Aurora Prices for SecR'!AD83</f>
        <v>-0.043661878185844216</v>
      </c>
      <c r="AW84" s="23">
        <f>'FY19 Aurora Prices for SecR'!AS83-'FY19 Aurora Prices for SecR'!AE83</f>
        <v>-0.043650710070160414</v>
      </c>
      <c r="AX84" s="23">
        <f>'FY19 Aurora Prices for SecR'!AT83-'FY19 Aurora Prices for SecR'!AF83</f>
        <v>-0.0961990925573879</v>
      </c>
      <c r="AY84" s="23">
        <f>'FY19 Aurora Prices for SecR'!AU83-'FY19 Aurora Prices for SecR'!AG83</f>
        <v>0.014755081617721544</v>
      </c>
      <c r="AZ84" s="23">
        <f>'FY19 Aurora Prices for SecR'!AV83-'FY19 Aurora Prices for SecR'!AH83</f>
        <v>-0.0015237058912234147</v>
      </c>
      <c r="BA84" s="23">
        <f>'FY19 Aurora Prices for SecR'!AW83-'FY19 Aurora Prices for SecR'!AI83</f>
        <v>0.018158244733719187</v>
      </c>
      <c r="BB84" s="23">
        <f>'FY19 Aurora Prices for SecR'!AX83-'FY19 Aurora Prices for SecR'!AJ83</f>
        <v>0.8974747716055802</v>
      </c>
      <c r="BC84" s="23">
        <f>'FY19 Aurora Prices for SecR'!AY83-'FY19 Aurora Prices for SecR'!AK83</f>
        <v>1.0991127137215315</v>
      </c>
      <c r="BD84" s="23">
        <f>'FY19 Aurora Prices for SecR'!AZ83-'FY19 Aurora Prices for SecR'!AL83</f>
        <v>0.6695032702552446</v>
      </c>
      <c r="BE84" s="23">
        <f>'FY19 Aurora Prices for SecR'!BA83-'FY19 Aurora Prices for SecR'!AM83</f>
        <v>-0.05927441632870867</v>
      </c>
      <c r="BF84" s="23">
        <f>'FY19 Aurora Prices for SecR'!BB83-'FY19 Aurora Prices for SecR'!AN83</f>
        <v>0.14224863821459266</v>
      </c>
      <c r="BG84" s="24">
        <f>'FY19 Aurora Prices for SecR'!BC83-'FY19 Aurora Prices for SecR'!AO83</f>
        <v>-0.012120269139590079</v>
      </c>
      <c r="BI84" s="16">
        <v>2007</v>
      </c>
      <c r="BJ84" s="41">
        <f t="shared" si="45"/>
        <v>-8908.80338367024</v>
      </c>
      <c r="BK84" s="41">
        <f t="shared" si="46"/>
        <v>-19341.349278373396</v>
      </c>
      <c r="BL84" s="41">
        <f t="shared" si="47"/>
        <v>-22119.99462458695</v>
      </c>
      <c r="BM84" s="41">
        <f t="shared" si="48"/>
        <v>21014.804183898555</v>
      </c>
      <c r="BN84" s="41">
        <f t="shared" si="49"/>
        <v>-1611.384557350061</v>
      </c>
      <c r="BO84" s="41">
        <f t="shared" si="50"/>
        <v>38560.90851483177</v>
      </c>
      <c r="BP84" s="41">
        <f t="shared" si="51"/>
        <v>1325940.6597877806</v>
      </c>
      <c r="BQ84" s="41">
        <f t="shared" si="52"/>
        <v>2066201.9346260412</v>
      </c>
      <c r="BR84" s="41">
        <f t="shared" si="53"/>
        <v>1129062.9453873506</v>
      </c>
      <c r="BS84" s="41">
        <f t="shared" si="54"/>
        <v>-106256.5597659476</v>
      </c>
      <c r="BT84" s="41">
        <f t="shared" si="55"/>
        <v>32241.733868699826</v>
      </c>
      <c r="BU84" s="41">
        <f t="shared" si="56"/>
        <v>2020.2964387625195</v>
      </c>
      <c r="BV84" s="42">
        <f t="shared" si="57"/>
        <v>4456805.191197436</v>
      </c>
    </row>
    <row r="85" spans="2:74" ht="15.75" thickBot="1">
      <c r="B85" s="16">
        <v>2008</v>
      </c>
      <c r="C85" s="33">
        <v>228.7714340262647</v>
      </c>
      <c r="D85" s="33">
        <v>600.619960540772</v>
      </c>
      <c r="E85" s="33">
        <v>-547.980783392057</v>
      </c>
      <c r="F85" s="33">
        <v>20.898146360489356</v>
      </c>
      <c r="G85" s="33">
        <v>333.61560675732676</v>
      </c>
      <c r="H85" s="33">
        <v>743.4798554112748</v>
      </c>
      <c r="I85" s="33">
        <v>682.7257053571177</v>
      </c>
      <c r="J85" s="33">
        <v>4666.4175854735695</v>
      </c>
      <c r="K85" s="33">
        <v>6150.295503063013</v>
      </c>
      <c r="L85" s="33">
        <v>2931.722122985081</v>
      </c>
      <c r="M85" s="33">
        <v>1487.8967379649762</v>
      </c>
      <c r="N85" s="33">
        <v>-73.65949785926549</v>
      </c>
      <c r="O85" s="34">
        <f t="shared" si="30"/>
        <v>1440.0057333982254</v>
      </c>
      <c r="Q85" s="16">
        <v>2008</v>
      </c>
      <c r="R85" s="33">
        <f>('FY19 Spill Cost'!C85-'FY19 Spill Cost'!T85)*(1-$S$3)</f>
        <v>0</v>
      </c>
      <c r="S85" s="33">
        <f>('FY19 Spill Cost'!D85-'FY19 Spill Cost'!U85)*(1-$S$3)</f>
        <v>0</v>
      </c>
      <c r="T85" s="33">
        <f>('FY19 Spill Cost'!E85-'FY19 Spill Cost'!V85)*(1-$S$3)</f>
        <v>0</v>
      </c>
      <c r="U85" s="33">
        <f>('FY19 Spill Cost'!F85-'FY19 Spill Cost'!W85)*(1-$S$3)</f>
        <v>0</v>
      </c>
      <c r="V85" s="33">
        <f>('FY19 Spill Cost'!G85-'FY19 Spill Cost'!X85)*(1-$S$3)</f>
        <v>0</v>
      </c>
      <c r="W85" s="33">
        <f>('FY19 Spill Cost'!H85-'FY19 Spill Cost'!Y85)*(1-$S$3)</f>
        <v>0</v>
      </c>
      <c r="X85" s="33">
        <f>(('FY19 Spill Cost'!I85-'FY19 Spill Cost'!Z85)*15/30+('FY19 Spill Cost'!J85-'FY19 Spill Cost'!AA85)*15/30)*(1-$S$3)</f>
        <v>839.0892120000001</v>
      </c>
      <c r="Y85" s="33">
        <f>('FY19 Spill Cost'!K85-'FY19 Spill Cost'!AB85)*(1-$S$3)</f>
        <v>818.227878</v>
      </c>
      <c r="Z85" s="33">
        <f>('FY19 Spill Cost'!L85-'FY19 Spill Cost'!AC85)*(1-$S$3)</f>
        <v>235.65581</v>
      </c>
      <c r="AA85" s="33">
        <f>('FY19 Spill Cost'!M85-'FY19 Spill Cost'!AD85)*(1-$S$3)</f>
        <v>-83.44533600000001</v>
      </c>
      <c r="AB85" s="33">
        <f>(('FY19 Spill Cost'!N85-'FY19 Spill Cost'!AE85)*15/31+('FY19 Spill Cost'!O85-'FY19 Spill Cost'!AF85)*16/31)*(1-$S$3)</f>
        <v>131.49868361290322</v>
      </c>
      <c r="AC85" s="33">
        <f>('FY19 Spill Cost'!P85-'FY19 Spill Cost'!AG85)*(1-$S$3)</f>
        <v>0</v>
      </c>
      <c r="AD85" s="34">
        <f t="shared" si="31"/>
        <v>161.9097771342466</v>
      </c>
      <c r="AF85" s="16">
        <v>2008</v>
      </c>
      <c r="AG85" s="33">
        <f t="shared" si="32"/>
        <v>228.7714340262647</v>
      </c>
      <c r="AH85" s="33">
        <f t="shared" si="33"/>
        <v>600.619960540772</v>
      </c>
      <c r="AI85" s="33">
        <f t="shared" si="34"/>
        <v>-547.980783392057</v>
      </c>
      <c r="AJ85" s="33">
        <f t="shared" si="35"/>
        <v>20.898146360489356</v>
      </c>
      <c r="AK85" s="33">
        <f t="shared" si="36"/>
        <v>333.61560675732676</v>
      </c>
      <c r="AL85" s="33">
        <f t="shared" si="37"/>
        <v>743.4798554112748</v>
      </c>
      <c r="AM85" s="33">
        <f t="shared" si="38"/>
        <v>-156.36350664288238</v>
      </c>
      <c r="AN85" s="33">
        <f t="shared" si="39"/>
        <v>3848.1897074735693</v>
      </c>
      <c r="AO85" s="33">
        <f t="shared" si="40"/>
        <v>5914.639693063013</v>
      </c>
      <c r="AP85" s="33">
        <f t="shared" si="41"/>
        <v>3015.1674589850813</v>
      </c>
      <c r="AQ85" s="33">
        <f t="shared" si="42"/>
        <v>1356.398054352073</v>
      </c>
      <c r="AR85" s="33">
        <f t="shared" si="43"/>
        <v>-73.65949785926549</v>
      </c>
      <c r="AS85" s="34">
        <f t="shared" si="44"/>
        <v>1278.0959562639787</v>
      </c>
      <c r="AT85" s="33"/>
      <c r="AU85" s="19">
        <v>2008</v>
      </c>
      <c r="AV85" s="27">
        <f>'FY19 Aurora Prices for SecR'!AR84-'FY19 Aurora Prices for SecR'!AD84</f>
        <v>-0.015023941378494499</v>
      </c>
      <c r="AW85" s="27">
        <f>'FY19 Aurora Prices for SecR'!AS84-'FY19 Aurora Prices for SecR'!AE84</f>
        <v>0.0068532260875784345</v>
      </c>
      <c r="AX85" s="27">
        <f>'FY19 Aurora Prices for SecR'!AT84-'FY19 Aurora Prices for SecR'!AF84</f>
        <v>0.06519733244377335</v>
      </c>
      <c r="AY85" s="27">
        <f>'FY19 Aurora Prices for SecR'!AU84-'FY19 Aurora Prices for SecR'!AG84</f>
        <v>0.027449226379374636</v>
      </c>
      <c r="AZ85" s="27">
        <f>'FY19 Aurora Prices for SecR'!AV84-'FY19 Aurora Prices for SecR'!AH84</f>
        <v>-0.0037006446293261774</v>
      </c>
      <c r="BA85" s="27">
        <f>'FY19 Aurora Prices for SecR'!AW84-'FY19 Aurora Prices for SecR'!AI84</f>
        <v>-0.026970567613403773</v>
      </c>
      <c r="BB85" s="27">
        <f>'FY19 Aurora Prices for SecR'!AX84-'FY19 Aurora Prices for SecR'!AJ84</f>
        <v>1.5972001589668885</v>
      </c>
      <c r="BC85" s="27">
        <f>'FY19 Aurora Prices for SecR'!AY84-'FY19 Aurora Prices for SecR'!AK84</f>
        <v>1.4749853303355156</v>
      </c>
      <c r="BD85" s="27">
        <f>'FY19 Aurora Prices for SecR'!AZ84-'FY19 Aurora Prices for SecR'!AL84</f>
        <v>1.293820071882677</v>
      </c>
      <c r="BE85" s="27">
        <f>'FY19 Aurora Prices for SecR'!BA84-'FY19 Aurora Prices for SecR'!AM84</f>
        <v>-0.7531843610988673</v>
      </c>
      <c r="BF85" s="27">
        <f>'FY19 Aurora Prices for SecR'!BB84-'FY19 Aurora Prices for SecR'!AN84</f>
        <v>-0.05000335708738035</v>
      </c>
      <c r="BG85" s="28">
        <f>'FY19 Aurora Prices for SecR'!BC84-'FY19 Aurora Prices for SecR'!AO84</f>
        <v>-0.24796809832252364</v>
      </c>
      <c r="BI85" s="16">
        <v>2008</v>
      </c>
      <c r="BJ85" s="41">
        <f t="shared" si="45"/>
        <v>-2557.1641687302335</v>
      </c>
      <c r="BK85" s="41">
        <f t="shared" si="46"/>
        <v>2967.7689396371093</v>
      </c>
      <c r="BL85" s="41">
        <f t="shared" si="47"/>
        <v>-26580.8026688628</v>
      </c>
      <c r="BM85" s="41">
        <f t="shared" si="48"/>
        <v>426.7866350666321</v>
      </c>
      <c r="BN85" s="41">
        <f t="shared" si="49"/>
        <v>-829.6463638887616</v>
      </c>
      <c r="BO85" s="41">
        <f t="shared" si="50"/>
        <v>-14898.690766213072</v>
      </c>
      <c r="BP85" s="41">
        <f t="shared" si="51"/>
        <v>-179815.54871997493</v>
      </c>
      <c r="BQ85" s="41">
        <f t="shared" si="52"/>
        <v>4222961.384952496</v>
      </c>
      <c r="BR85" s="41">
        <f t="shared" si="53"/>
        <v>5509785.278044023</v>
      </c>
      <c r="BS85" s="41">
        <f t="shared" si="54"/>
        <v>-1689606.8702941197</v>
      </c>
      <c r="BT85" s="41">
        <f t="shared" si="55"/>
        <v>-50461.39546070962</v>
      </c>
      <c r="BU85" s="41">
        <f t="shared" si="56"/>
        <v>13150.948037438926</v>
      </c>
      <c r="BV85" s="42">
        <f t="shared" si="57"/>
        <v>7784542.0481661605</v>
      </c>
    </row>
    <row r="86" spans="2:74" ht="15">
      <c r="B86" s="16"/>
      <c r="C86" s="7"/>
      <c r="D86" s="7"/>
      <c r="E86" s="7"/>
      <c r="F86" s="7"/>
      <c r="G86" s="7"/>
      <c r="H86" s="7"/>
      <c r="I86" s="7"/>
      <c r="J86" s="7"/>
      <c r="K86" s="7"/>
      <c r="L86" s="7"/>
      <c r="M86" s="7"/>
      <c r="N86" s="7"/>
      <c r="O86" s="8"/>
      <c r="Q86" s="16"/>
      <c r="R86" s="7"/>
      <c r="S86" s="7"/>
      <c r="T86" s="7"/>
      <c r="U86" s="7"/>
      <c r="V86" s="7"/>
      <c r="W86" s="7"/>
      <c r="X86" s="7"/>
      <c r="Y86" s="7"/>
      <c r="Z86" s="7"/>
      <c r="AA86" s="7"/>
      <c r="AB86" s="7"/>
      <c r="AC86" s="7"/>
      <c r="AD86" s="8"/>
      <c r="AF86" s="6"/>
      <c r="AG86" s="7"/>
      <c r="AH86" s="7"/>
      <c r="AI86" s="7"/>
      <c r="AJ86" s="7"/>
      <c r="AK86" s="7"/>
      <c r="AL86" s="7"/>
      <c r="AM86" s="7"/>
      <c r="AN86" s="7"/>
      <c r="AO86" s="7"/>
      <c r="AP86" s="7"/>
      <c r="AQ86" s="7"/>
      <c r="AR86" s="7"/>
      <c r="AS86" s="8"/>
      <c r="AT86" s="7"/>
      <c r="BI86" s="16"/>
      <c r="BJ86" s="7"/>
      <c r="BK86" s="7"/>
      <c r="BL86" s="7"/>
      <c r="BM86" s="7"/>
      <c r="BN86" s="7"/>
      <c r="BO86" s="7"/>
      <c r="BP86" s="7"/>
      <c r="BQ86" s="7"/>
      <c r="BR86" s="7"/>
      <c r="BS86" s="7"/>
      <c r="BT86" s="7"/>
      <c r="BU86" s="7"/>
      <c r="BV86" s="8"/>
    </row>
    <row r="87" spans="2:77" ht="15.75" thickBot="1">
      <c r="B87" s="19"/>
      <c r="C87" s="20"/>
      <c r="D87" s="20"/>
      <c r="E87" s="20"/>
      <c r="F87" s="20"/>
      <c r="G87" s="20"/>
      <c r="H87" s="20"/>
      <c r="I87" s="20"/>
      <c r="J87" s="20"/>
      <c r="K87" s="20"/>
      <c r="L87" s="20"/>
      <c r="M87" s="20"/>
      <c r="N87" s="20"/>
      <c r="O87" s="21"/>
      <c r="Q87" s="19"/>
      <c r="R87" s="35"/>
      <c r="S87" s="35"/>
      <c r="T87" s="35"/>
      <c r="U87" s="35"/>
      <c r="V87" s="35"/>
      <c r="W87" s="35"/>
      <c r="X87" s="35"/>
      <c r="Y87" s="35"/>
      <c r="Z87" s="35"/>
      <c r="AA87" s="35"/>
      <c r="AB87" s="35"/>
      <c r="AC87" s="35"/>
      <c r="AD87" s="36"/>
      <c r="AF87" s="38"/>
      <c r="AG87" s="35"/>
      <c r="AH87" s="35"/>
      <c r="AI87" s="35"/>
      <c r="AJ87" s="35"/>
      <c r="AK87" s="35"/>
      <c r="AL87" s="35"/>
      <c r="AM87" s="35"/>
      <c r="AN87" s="35"/>
      <c r="AO87" s="35"/>
      <c r="AP87" s="35"/>
      <c r="AQ87" s="35"/>
      <c r="AR87" s="35"/>
      <c r="AS87" s="36"/>
      <c r="AT87" s="7"/>
      <c r="BI87" s="19" t="s">
        <v>32</v>
      </c>
      <c r="BJ87" s="61">
        <f>SUM(BJ6:BJ85)/80</f>
        <v>-4586.3870217582635</v>
      </c>
      <c r="BK87" s="61">
        <f aca="true" t="shared" si="58" ref="BK87:BU87">SUM(BK6:BK85)/80</f>
        <v>-4138.937404850292</v>
      </c>
      <c r="BL87" s="61">
        <f t="shared" si="58"/>
        <v>26870.78402951423</v>
      </c>
      <c r="BM87" s="61">
        <f t="shared" si="58"/>
        <v>119643.76129873648</v>
      </c>
      <c r="BN87" s="61">
        <f t="shared" si="58"/>
        <v>145924.42959317507</v>
      </c>
      <c r="BO87" s="61">
        <f t="shared" si="58"/>
        <v>156147.08032856593</v>
      </c>
      <c r="BP87" s="61">
        <f t="shared" si="58"/>
        <v>1424146.9617074972</v>
      </c>
      <c r="BQ87" s="61">
        <f t="shared" si="58"/>
        <v>3288255.034716389</v>
      </c>
      <c r="BR87" s="61">
        <f t="shared" si="58"/>
        <v>2330238.4785053534</v>
      </c>
      <c r="BS87" s="61">
        <f t="shared" si="58"/>
        <v>-336267.5964780707</v>
      </c>
      <c r="BT87" s="61">
        <f t="shared" si="58"/>
        <v>140662.714295875</v>
      </c>
      <c r="BU87" s="61">
        <f t="shared" si="58"/>
        <v>-18553.487962967207</v>
      </c>
      <c r="BV87" s="62">
        <f>SUM(BJ6:BU85)/80</f>
        <v>7268342.835607462</v>
      </c>
      <c r="BW87" s="46"/>
      <c r="BX87" s="43"/>
      <c r="BY87" s="43"/>
    </row>
    <row r="88" spans="74:75" ht="15">
      <c r="BV88" s="30"/>
      <c r="BW88" s="45"/>
    </row>
    <row r="89" spans="72:77" ht="15">
      <c r="BT89"/>
      <c r="BU89"/>
      <c r="BV89" s="73">
        <f>SUM(BP6:BT85)/80</f>
        <v>6847035.592747046</v>
      </c>
      <c r="BW89" s="113" t="s">
        <v>286</v>
      </c>
      <c r="BX89" s="44"/>
      <c r="BY89" s="44"/>
    </row>
    <row r="90" spans="72:75" ht="15.75" thickBot="1">
      <c r="BT90"/>
      <c r="BU90"/>
      <c r="BV90" s="73">
        <f>'FY19 LDD offset for SecR'!R21</f>
        <v>0</v>
      </c>
      <c r="BW90" t="s">
        <v>215</v>
      </c>
    </row>
    <row r="91" spans="48:75" ht="15.75" thickBot="1">
      <c r="AV91" s="57"/>
      <c r="AX91" s="57"/>
      <c r="BT91"/>
      <c r="BU91"/>
      <c r="BV91" s="79">
        <f>BV89-BV90</f>
        <v>6847035.592747046</v>
      </c>
      <c r="BW91" s="47" t="s">
        <v>214</v>
      </c>
    </row>
    <row r="92" spans="48:75" ht="15">
      <c r="AV92" s="58"/>
      <c r="AX92" s="58"/>
      <c r="BT92"/>
      <c r="BU92"/>
      <c r="BV92"/>
      <c r="BW92"/>
    </row>
    <row r="93" spans="72:75" ht="15">
      <c r="BT93"/>
      <c r="BU93"/>
      <c r="BV93" s="4"/>
      <c r="BW93"/>
    </row>
    <row r="94" spans="72:76" ht="15">
      <c r="BT94" s="51"/>
      <c r="BU94" s="51"/>
      <c r="BV94" s="51"/>
      <c r="BW94" s="52"/>
      <c r="BX94" s="53"/>
    </row>
    <row r="95" spans="72:76" ht="15">
      <c r="BT95" s="51"/>
      <c r="BU95" s="51"/>
      <c r="BV95" s="51"/>
      <c r="BW95" s="52"/>
      <c r="BX95" s="53"/>
    </row>
  </sheetData>
  <mergeCells count="5">
    <mergeCell ref="B2:O2"/>
    <mergeCell ref="Q2:AD2"/>
    <mergeCell ref="AF2:AR2"/>
    <mergeCell ref="BI2:BV2"/>
    <mergeCell ref="AU2:BG2"/>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84"/>
  <sheetViews>
    <sheetView zoomScale="90" zoomScaleNormal="90" workbookViewId="0" topLeftCell="A73">
      <selection activeCell="K116" sqref="K116"/>
    </sheetView>
  </sheetViews>
  <sheetFormatPr defaultColWidth="9.140625" defaultRowHeight="15"/>
  <sheetData>
    <row r="2" spans="30:44" ht="15">
      <c r="AD2" s="64" t="s">
        <v>200</v>
      </c>
      <c r="AP2" s="4"/>
      <c r="AR2" s="64" t="s">
        <v>200</v>
      </c>
    </row>
    <row r="3" spans="2:46" ht="15">
      <c r="B3" t="s">
        <v>0</v>
      </c>
      <c r="D3" s="1" t="s">
        <v>1</v>
      </c>
      <c r="P3" t="s">
        <v>227</v>
      </c>
      <c r="R3" s="1" t="s">
        <v>192</v>
      </c>
      <c r="AD3" t="s">
        <v>0</v>
      </c>
      <c r="AF3" s="1" t="s">
        <v>1</v>
      </c>
      <c r="AR3" t="s">
        <v>227</v>
      </c>
      <c r="AT3" s="1" t="s">
        <v>192</v>
      </c>
    </row>
    <row r="4" spans="2:55" ht="15">
      <c r="B4" t="s">
        <v>2</v>
      </c>
      <c r="C4" t="s">
        <v>3</v>
      </c>
      <c r="D4" t="s">
        <v>4</v>
      </c>
      <c r="E4" t="s">
        <v>5</v>
      </c>
      <c r="F4" t="s">
        <v>6</v>
      </c>
      <c r="G4" t="s">
        <v>7</v>
      </c>
      <c r="H4" s="2" t="s">
        <v>8</v>
      </c>
      <c r="I4" s="2" t="s">
        <v>9</v>
      </c>
      <c r="J4" s="2" t="s">
        <v>10</v>
      </c>
      <c r="K4" s="2" t="s">
        <v>11</v>
      </c>
      <c r="L4" s="2" t="s">
        <v>12</v>
      </c>
      <c r="M4" t="s">
        <v>13</v>
      </c>
      <c r="P4" t="s">
        <v>2</v>
      </c>
      <c r="Q4" t="s">
        <v>3</v>
      </c>
      <c r="R4" t="s">
        <v>4</v>
      </c>
      <c r="S4" t="s">
        <v>5</v>
      </c>
      <c r="T4" t="s">
        <v>6</v>
      </c>
      <c r="U4" t="s">
        <v>7</v>
      </c>
      <c r="V4" s="2" t="s">
        <v>8</v>
      </c>
      <c r="W4" s="2" t="s">
        <v>9</v>
      </c>
      <c r="X4" s="2" t="s">
        <v>10</v>
      </c>
      <c r="Y4" s="2" t="s">
        <v>11</v>
      </c>
      <c r="Z4" s="2" t="s">
        <v>12</v>
      </c>
      <c r="AA4" t="s">
        <v>13</v>
      </c>
      <c r="AD4" t="s">
        <v>2</v>
      </c>
      <c r="AE4" t="s">
        <v>3</v>
      </c>
      <c r="AF4" t="s">
        <v>4</v>
      </c>
      <c r="AG4" t="s">
        <v>5</v>
      </c>
      <c r="AH4" t="s">
        <v>6</v>
      </c>
      <c r="AI4" t="s">
        <v>7</v>
      </c>
      <c r="AJ4" s="2" t="s">
        <v>8</v>
      </c>
      <c r="AK4" s="2" t="s">
        <v>9</v>
      </c>
      <c r="AL4" s="2" t="s">
        <v>10</v>
      </c>
      <c r="AM4" s="2" t="s">
        <v>11</v>
      </c>
      <c r="AN4" s="2" t="s">
        <v>12</v>
      </c>
      <c r="AO4" t="s">
        <v>13</v>
      </c>
      <c r="AR4" t="s">
        <v>2</v>
      </c>
      <c r="AS4" t="s">
        <v>3</v>
      </c>
      <c r="AT4" t="s">
        <v>4</v>
      </c>
      <c r="AU4" t="s">
        <v>5</v>
      </c>
      <c r="AV4" t="s">
        <v>6</v>
      </c>
      <c r="AW4" t="s">
        <v>7</v>
      </c>
      <c r="AX4" s="2" t="s">
        <v>8</v>
      </c>
      <c r="AY4" s="2" t="s">
        <v>9</v>
      </c>
      <c r="AZ4" s="2" t="s">
        <v>10</v>
      </c>
      <c r="BA4" s="2" t="s">
        <v>11</v>
      </c>
      <c r="BB4" s="2" t="s">
        <v>12</v>
      </c>
      <c r="BC4" t="s">
        <v>13</v>
      </c>
    </row>
    <row r="5" spans="1:55" ht="15">
      <c r="A5">
        <v>1929</v>
      </c>
      <c r="B5" s="3">
        <v>24.47845135734927</v>
      </c>
      <c r="C5" s="3">
        <v>26.83820816412382</v>
      </c>
      <c r="D5" s="3">
        <v>32.349969295788846</v>
      </c>
      <c r="E5" s="3">
        <v>33.17721568230658</v>
      </c>
      <c r="F5" s="3">
        <v>32.32845606803893</v>
      </c>
      <c r="G5" s="3">
        <v>26.06675356130741</v>
      </c>
      <c r="H5" s="3">
        <v>21.34083506955041</v>
      </c>
      <c r="I5" s="3">
        <v>19.463668122086478</v>
      </c>
      <c r="J5" s="3">
        <v>21.14031318293678</v>
      </c>
      <c r="K5" s="3">
        <v>27.604847451691985</v>
      </c>
      <c r="L5" s="3">
        <v>26.85800031692751</v>
      </c>
      <c r="M5" s="3">
        <v>24.896039292017615</v>
      </c>
      <c r="O5">
        <v>1929</v>
      </c>
      <c r="P5" s="4">
        <v>24.2839001524833</v>
      </c>
      <c r="Q5" s="4">
        <v>26.5923120319099</v>
      </c>
      <c r="R5" s="4">
        <v>32.2144411317764</v>
      </c>
      <c r="S5" s="4">
        <v>33.1461784665303</v>
      </c>
      <c r="T5" s="4">
        <v>32.2699213368552</v>
      </c>
      <c r="U5" s="4">
        <v>26.066878681324</v>
      </c>
      <c r="V5" s="4">
        <v>22.4573073048062</v>
      </c>
      <c r="W5" s="4">
        <v>20.4595619263188</v>
      </c>
      <c r="X5" s="4">
        <v>21.686107439465</v>
      </c>
      <c r="Y5" s="4">
        <v>27.3230576707471</v>
      </c>
      <c r="Z5" s="4">
        <v>27.012867582998</v>
      </c>
      <c r="AA5" s="4">
        <v>24.8884302012126</v>
      </c>
      <c r="AC5">
        <v>1929</v>
      </c>
      <c r="AD5" s="3">
        <f>MAX(B5,0)</f>
        <v>24.47845135734927</v>
      </c>
      <c r="AE5" s="3">
        <f aca="true" t="shared" si="0" ref="AE5:AN5">MAX(C5,0)</f>
        <v>26.83820816412382</v>
      </c>
      <c r="AF5" s="3">
        <f t="shared" si="0"/>
        <v>32.349969295788846</v>
      </c>
      <c r="AG5" s="3">
        <f t="shared" si="0"/>
        <v>33.17721568230658</v>
      </c>
      <c r="AH5" s="3">
        <f t="shared" si="0"/>
        <v>32.32845606803893</v>
      </c>
      <c r="AI5" s="3">
        <f t="shared" si="0"/>
        <v>26.06675356130741</v>
      </c>
      <c r="AJ5" s="3">
        <f t="shared" si="0"/>
        <v>21.34083506955041</v>
      </c>
      <c r="AK5" s="3">
        <f t="shared" si="0"/>
        <v>19.463668122086478</v>
      </c>
      <c r="AL5" s="3">
        <f t="shared" si="0"/>
        <v>21.14031318293678</v>
      </c>
      <c r="AM5" s="3">
        <f t="shared" si="0"/>
        <v>27.604847451691985</v>
      </c>
      <c r="AN5" s="3">
        <f t="shared" si="0"/>
        <v>26.85800031692751</v>
      </c>
      <c r="AO5" s="3">
        <f>MAX(M5,0)</f>
        <v>24.896039292017615</v>
      </c>
      <c r="AQ5">
        <v>1929</v>
      </c>
      <c r="AR5" s="3">
        <f>MAX(P5,0)</f>
        <v>24.2839001524833</v>
      </c>
      <c r="AS5" s="3">
        <f aca="true" t="shared" si="1" ref="AS5:BC5">MAX(Q5,0)</f>
        <v>26.5923120319099</v>
      </c>
      <c r="AT5" s="3">
        <f t="shared" si="1"/>
        <v>32.2144411317764</v>
      </c>
      <c r="AU5" s="3">
        <f t="shared" si="1"/>
        <v>33.1461784665303</v>
      </c>
      <c r="AV5" s="3">
        <f t="shared" si="1"/>
        <v>32.2699213368552</v>
      </c>
      <c r="AW5" s="3">
        <f t="shared" si="1"/>
        <v>26.066878681324</v>
      </c>
      <c r="AX5" s="3">
        <f t="shared" si="1"/>
        <v>22.4573073048062</v>
      </c>
      <c r="AY5" s="3">
        <f t="shared" si="1"/>
        <v>20.4595619263188</v>
      </c>
      <c r="AZ5" s="3">
        <f t="shared" si="1"/>
        <v>21.686107439465</v>
      </c>
      <c r="BA5" s="3">
        <f t="shared" si="1"/>
        <v>27.3230576707471</v>
      </c>
      <c r="BB5" s="3">
        <f t="shared" si="1"/>
        <v>27.012867582998</v>
      </c>
      <c r="BC5" s="3">
        <f t="shared" si="1"/>
        <v>24.8884302012126</v>
      </c>
    </row>
    <row r="6" spans="1:55" ht="15">
      <c r="A6">
        <v>1930</v>
      </c>
      <c r="B6" s="3">
        <v>24.861259976510084</v>
      </c>
      <c r="C6" s="3">
        <v>25.913912142430867</v>
      </c>
      <c r="D6" s="3">
        <v>30.926026438128567</v>
      </c>
      <c r="E6" s="3">
        <v>34.24140990677701</v>
      </c>
      <c r="F6" s="3">
        <v>30.53942360196795</v>
      </c>
      <c r="G6" s="3">
        <v>27.47607625246369</v>
      </c>
      <c r="H6" s="3">
        <v>20.945752026769863</v>
      </c>
      <c r="I6" s="3">
        <v>19.986983946061912</v>
      </c>
      <c r="J6" s="3">
        <v>24.772113185458704</v>
      </c>
      <c r="K6" s="3">
        <v>24.234829610906615</v>
      </c>
      <c r="L6" s="3">
        <v>26.66720853467141</v>
      </c>
      <c r="M6" s="3">
        <v>25.351089336077372</v>
      </c>
      <c r="O6">
        <v>1930</v>
      </c>
      <c r="P6" s="4">
        <v>24.8764251701293</v>
      </c>
      <c r="Q6" s="4">
        <v>25.8801245183455</v>
      </c>
      <c r="R6" s="4">
        <v>30.91332654389</v>
      </c>
      <c r="S6" s="4">
        <v>34.2437972417442</v>
      </c>
      <c r="T6" s="4">
        <v>30.5208380017962</v>
      </c>
      <c r="U6" s="4">
        <v>27.3917147221187</v>
      </c>
      <c r="V6" s="4">
        <v>22.1075307008955</v>
      </c>
      <c r="W6" s="4">
        <v>21.3904806016594</v>
      </c>
      <c r="X6" s="4">
        <v>25.7515166388618</v>
      </c>
      <c r="Y6" s="4">
        <v>24.0909383645622</v>
      </c>
      <c r="Z6" s="4">
        <v>26.748608719918</v>
      </c>
      <c r="AA6" s="4">
        <v>25.3120255343119</v>
      </c>
      <c r="AC6">
        <v>1930</v>
      </c>
      <c r="AD6" s="3">
        <f aca="true" t="shared" si="2" ref="AD6:AD69">MAX(B6,0)</f>
        <v>24.861259976510084</v>
      </c>
      <c r="AE6" s="3">
        <f aca="true" t="shared" si="3" ref="AE6:AE69">MAX(C6,0)</f>
        <v>25.913912142430867</v>
      </c>
      <c r="AF6" s="3">
        <f aca="true" t="shared" si="4" ref="AF6:AF69">MAX(D6,0)</f>
        <v>30.926026438128567</v>
      </c>
      <c r="AG6" s="3">
        <f aca="true" t="shared" si="5" ref="AG6:AG69">MAX(E6,0)</f>
        <v>34.24140990677701</v>
      </c>
      <c r="AH6" s="3">
        <f aca="true" t="shared" si="6" ref="AH6:AH69">MAX(F6,0)</f>
        <v>30.53942360196795</v>
      </c>
      <c r="AI6" s="3">
        <f aca="true" t="shared" si="7" ref="AI6:AI69">MAX(G6,0)</f>
        <v>27.47607625246369</v>
      </c>
      <c r="AJ6" s="3">
        <f aca="true" t="shared" si="8" ref="AJ6:AJ69">MAX(H6,0)</f>
        <v>20.945752026769863</v>
      </c>
      <c r="AK6" s="3">
        <f aca="true" t="shared" si="9" ref="AK6:AK69">MAX(I6,0)</f>
        <v>19.986983946061912</v>
      </c>
      <c r="AL6" s="3">
        <f aca="true" t="shared" si="10" ref="AL6:AL69">MAX(J6,0)</f>
        <v>24.772113185458704</v>
      </c>
      <c r="AM6" s="3">
        <f aca="true" t="shared" si="11" ref="AM6:AM69">MAX(K6,0)</f>
        <v>24.234829610906615</v>
      </c>
      <c r="AN6" s="3">
        <f aca="true" t="shared" si="12" ref="AN6:AN69">MAX(L6,0)</f>
        <v>26.66720853467141</v>
      </c>
      <c r="AO6" s="3">
        <f aca="true" t="shared" si="13" ref="AO6:AO69">MAX(M6,0)</f>
        <v>25.351089336077372</v>
      </c>
      <c r="AQ6">
        <v>1930</v>
      </c>
      <c r="AR6" s="3">
        <f aca="true" t="shared" si="14" ref="AR6:AR69">MAX(P6,0)</f>
        <v>24.8764251701293</v>
      </c>
      <c r="AS6" s="3">
        <f aca="true" t="shared" si="15" ref="AS6:AS69">MAX(Q6,0)</f>
        <v>25.8801245183455</v>
      </c>
      <c r="AT6" s="3">
        <f aca="true" t="shared" si="16" ref="AT6:AT69">MAX(R6,0)</f>
        <v>30.91332654389</v>
      </c>
      <c r="AU6" s="3">
        <f aca="true" t="shared" si="17" ref="AU6:AU69">MAX(S6,0)</f>
        <v>34.2437972417442</v>
      </c>
      <c r="AV6" s="3">
        <f aca="true" t="shared" si="18" ref="AV6:AV69">MAX(T6,0)</f>
        <v>30.5208380017962</v>
      </c>
      <c r="AW6" s="3">
        <f aca="true" t="shared" si="19" ref="AW6:AW69">MAX(U6,0)</f>
        <v>27.3917147221187</v>
      </c>
      <c r="AX6" s="3">
        <f aca="true" t="shared" si="20" ref="AX6:AX69">MAX(V6,0)</f>
        <v>22.1075307008955</v>
      </c>
      <c r="AY6" s="3">
        <f aca="true" t="shared" si="21" ref="AY6:AY69">MAX(W6,0)</f>
        <v>21.3904806016594</v>
      </c>
      <c r="AZ6" s="3">
        <f aca="true" t="shared" si="22" ref="AZ6:AZ69">MAX(X6,0)</f>
        <v>25.7515166388618</v>
      </c>
      <c r="BA6" s="3">
        <f aca="true" t="shared" si="23" ref="BA6:BA69">MAX(Y6,0)</f>
        <v>24.0909383645622</v>
      </c>
      <c r="BB6" s="3">
        <f aca="true" t="shared" si="24" ref="BB6:BB69">MAX(Z6,0)</f>
        <v>26.748608719918</v>
      </c>
      <c r="BC6" s="3">
        <f aca="true" t="shared" si="25" ref="BC6:BC69">MAX(AA6,0)</f>
        <v>25.3120255343119</v>
      </c>
    </row>
    <row r="7" spans="1:55" ht="15">
      <c r="A7">
        <v>1931</v>
      </c>
      <c r="B7" s="3">
        <v>25.194277408046112</v>
      </c>
      <c r="C7" s="3">
        <v>26.92673717537138</v>
      </c>
      <c r="D7" s="3">
        <v>32.4278453437231</v>
      </c>
      <c r="E7" s="3">
        <v>32.176892880470525</v>
      </c>
      <c r="F7" s="3">
        <v>35.46471887316022</v>
      </c>
      <c r="G7" s="3">
        <v>27.519010990817964</v>
      </c>
      <c r="H7" s="3">
        <v>23.8356647210651</v>
      </c>
      <c r="I7" s="3">
        <v>19.36880403744277</v>
      </c>
      <c r="J7" s="3">
        <v>26.053357542885674</v>
      </c>
      <c r="K7" s="3">
        <v>26.034910677838063</v>
      </c>
      <c r="L7" s="3">
        <v>27.415530121710987</v>
      </c>
      <c r="M7" s="3">
        <v>25.65328756650289</v>
      </c>
      <c r="O7">
        <v>1931</v>
      </c>
      <c r="P7" s="4">
        <v>25.1681098668806</v>
      </c>
      <c r="Q7" s="4">
        <v>26.9160289853687</v>
      </c>
      <c r="R7" s="4">
        <v>32.4247764864276</v>
      </c>
      <c r="S7" s="4">
        <v>32.149790107563</v>
      </c>
      <c r="T7" s="4">
        <v>35.449103648322</v>
      </c>
      <c r="U7" s="4">
        <v>27.5660841092768</v>
      </c>
      <c r="V7" s="4">
        <v>25.1397409661611</v>
      </c>
      <c r="W7" s="4">
        <v>20.4497188147678</v>
      </c>
      <c r="X7" s="4">
        <v>26.6406155427297</v>
      </c>
      <c r="Y7" s="4">
        <v>26.0015013330726</v>
      </c>
      <c r="Z7" s="4">
        <v>27.5391089354792</v>
      </c>
      <c r="AA7" s="4">
        <v>25.6621938816706</v>
      </c>
      <c r="AC7">
        <v>1931</v>
      </c>
      <c r="AD7" s="3">
        <f t="shared" si="2"/>
        <v>25.194277408046112</v>
      </c>
      <c r="AE7" s="3">
        <f t="shared" si="3"/>
        <v>26.92673717537138</v>
      </c>
      <c r="AF7" s="3">
        <f t="shared" si="4"/>
        <v>32.4278453437231</v>
      </c>
      <c r="AG7" s="3">
        <f t="shared" si="5"/>
        <v>32.176892880470525</v>
      </c>
      <c r="AH7" s="3">
        <f t="shared" si="6"/>
        <v>35.46471887316022</v>
      </c>
      <c r="AI7" s="3">
        <f t="shared" si="7"/>
        <v>27.519010990817964</v>
      </c>
      <c r="AJ7" s="3">
        <f t="shared" si="8"/>
        <v>23.8356647210651</v>
      </c>
      <c r="AK7" s="3">
        <f t="shared" si="9"/>
        <v>19.36880403744277</v>
      </c>
      <c r="AL7" s="3">
        <f t="shared" si="10"/>
        <v>26.053357542885674</v>
      </c>
      <c r="AM7" s="3">
        <f t="shared" si="11"/>
        <v>26.034910677838063</v>
      </c>
      <c r="AN7" s="3">
        <f t="shared" si="12"/>
        <v>27.415530121710987</v>
      </c>
      <c r="AO7" s="3">
        <f t="shared" si="13"/>
        <v>25.65328756650289</v>
      </c>
      <c r="AQ7">
        <v>1931</v>
      </c>
      <c r="AR7" s="3">
        <f t="shared" si="14"/>
        <v>25.1681098668806</v>
      </c>
      <c r="AS7" s="3">
        <f t="shared" si="15"/>
        <v>26.9160289853687</v>
      </c>
      <c r="AT7" s="3">
        <f t="shared" si="16"/>
        <v>32.4247764864276</v>
      </c>
      <c r="AU7" s="3">
        <f t="shared" si="17"/>
        <v>32.149790107563</v>
      </c>
      <c r="AV7" s="3">
        <f t="shared" si="18"/>
        <v>35.449103648322</v>
      </c>
      <c r="AW7" s="3">
        <f t="shared" si="19"/>
        <v>27.5660841092768</v>
      </c>
      <c r="AX7" s="3">
        <f t="shared" si="20"/>
        <v>25.1397409661611</v>
      </c>
      <c r="AY7" s="3">
        <f t="shared" si="21"/>
        <v>20.4497188147678</v>
      </c>
      <c r="AZ7" s="3">
        <f t="shared" si="22"/>
        <v>26.6406155427297</v>
      </c>
      <c r="BA7" s="3">
        <f t="shared" si="23"/>
        <v>26.0015013330726</v>
      </c>
      <c r="BB7" s="3">
        <f t="shared" si="24"/>
        <v>27.5391089354792</v>
      </c>
      <c r="BC7" s="3">
        <f t="shared" si="25"/>
        <v>25.6621938816706</v>
      </c>
    </row>
    <row r="8" spans="1:55" ht="15">
      <c r="A8">
        <v>1932</v>
      </c>
      <c r="B8" s="3">
        <v>24.311040466831578</v>
      </c>
      <c r="C8" s="3">
        <v>26.51751300180834</v>
      </c>
      <c r="D8" s="3">
        <v>31.22973986133453</v>
      </c>
      <c r="E8" s="3">
        <v>35.69398904410742</v>
      </c>
      <c r="F8" s="3">
        <v>36.160467093331484</v>
      </c>
      <c r="G8" s="3">
        <v>24.529526331832244</v>
      </c>
      <c r="H8" s="3">
        <v>15.7223052655326</v>
      </c>
      <c r="I8" s="3">
        <v>11.692099323259889</v>
      </c>
      <c r="J8" s="3">
        <v>14.463755239380728</v>
      </c>
      <c r="K8" s="3">
        <v>23.140291412927763</v>
      </c>
      <c r="L8" s="3">
        <v>25.434239824356563</v>
      </c>
      <c r="M8" s="3">
        <v>24.241204697291057</v>
      </c>
      <c r="O8">
        <v>1932</v>
      </c>
      <c r="P8" s="4">
        <v>24.3033643999407</v>
      </c>
      <c r="Q8" s="4">
        <v>26.5209363574955</v>
      </c>
      <c r="R8" s="4">
        <v>31.2291768868764</v>
      </c>
      <c r="S8" s="4">
        <v>35.6631793642557</v>
      </c>
      <c r="T8" s="4">
        <v>36.1749469620841</v>
      </c>
      <c r="U8" s="4">
        <v>24.5361474198255</v>
      </c>
      <c r="V8" s="4">
        <v>16.6358496295081</v>
      </c>
      <c r="W8" s="4">
        <v>13.7502435242617</v>
      </c>
      <c r="X8" s="4">
        <v>15.9237804386351</v>
      </c>
      <c r="Y8" s="4">
        <v>23.147895930403</v>
      </c>
      <c r="Z8" s="4">
        <v>25.5889769084992</v>
      </c>
      <c r="AA8" s="4">
        <v>24.2579496669769</v>
      </c>
      <c r="AC8">
        <v>1932</v>
      </c>
      <c r="AD8" s="3">
        <f t="shared" si="2"/>
        <v>24.311040466831578</v>
      </c>
      <c r="AE8" s="3">
        <f t="shared" si="3"/>
        <v>26.51751300180834</v>
      </c>
      <c r="AF8" s="3">
        <f t="shared" si="4"/>
        <v>31.22973986133453</v>
      </c>
      <c r="AG8" s="3">
        <f t="shared" si="5"/>
        <v>35.69398904410742</v>
      </c>
      <c r="AH8" s="3">
        <f t="shared" si="6"/>
        <v>36.160467093331484</v>
      </c>
      <c r="AI8" s="3">
        <f t="shared" si="7"/>
        <v>24.529526331832244</v>
      </c>
      <c r="AJ8" s="3">
        <f t="shared" si="8"/>
        <v>15.7223052655326</v>
      </c>
      <c r="AK8" s="3">
        <f t="shared" si="9"/>
        <v>11.692099323259889</v>
      </c>
      <c r="AL8" s="3">
        <f t="shared" si="10"/>
        <v>14.463755239380728</v>
      </c>
      <c r="AM8" s="3">
        <f t="shared" si="11"/>
        <v>23.140291412927763</v>
      </c>
      <c r="AN8" s="3">
        <f t="shared" si="12"/>
        <v>25.434239824356563</v>
      </c>
      <c r="AO8" s="3">
        <f t="shared" si="13"/>
        <v>24.241204697291057</v>
      </c>
      <c r="AQ8">
        <v>1932</v>
      </c>
      <c r="AR8" s="3">
        <f t="shared" si="14"/>
        <v>24.3033643999407</v>
      </c>
      <c r="AS8" s="3">
        <f t="shared" si="15"/>
        <v>26.5209363574955</v>
      </c>
      <c r="AT8" s="3">
        <f t="shared" si="16"/>
        <v>31.2291768868764</v>
      </c>
      <c r="AU8" s="3">
        <f t="shared" si="17"/>
        <v>35.6631793642557</v>
      </c>
      <c r="AV8" s="3">
        <f t="shared" si="18"/>
        <v>36.1749469620841</v>
      </c>
      <c r="AW8" s="3">
        <f t="shared" si="19"/>
        <v>24.5361474198255</v>
      </c>
      <c r="AX8" s="3">
        <f t="shared" si="20"/>
        <v>16.6358496295081</v>
      </c>
      <c r="AY8" s="3">
        <f t="shared" si="21"/>
        <v>13.7502435242617</v>
      </c>
      <c r="AZ8" s="3">
        <f t="shared" si="22"/>
        <v>15.9237804386351</v>
      </c>
      <c r="BA8" s="3">
        <f t="shared" si="23"/>
        <v>23.147895930403</v>
      </c>
      <c r="BB8" s="3">
        <f t="shared" si="24"/>
        <v>25.5889769084992</v>
      </c>
      <c r="BC8" s="3">
        <f t="shared" si="25"/>
        <v>24.2579496669769</v>
      </c>
    </row>
    <row r="9" spans="1:55" ht="15">
      <c r="A9">
        <v>1933</v>
      </c>
      <c r="B9" s="3">
        <v>23.992209445276572</v>
      </c>
      <c r="C9" s="3">
        <v>24.747535427863326</v>
      </c>
      <c r="D9" s="3">
        <v>27.08448038716471</v>
      </c>
      <c r="E9" s="3">
        <v>25.2716083600957</v>
      </c>
      <c r="F9" s="3">
        <v>24.92236330849783</v>
      </c>
      <c r="G9" s="3">
        <v>23.35515649629954</v>
      </c>
      <c r="H9" s="3">
        <v>21.641985060373933</v>
      </c>
      <c r="I9" s="3">
        <v>17.96782767913674</v>
      </c>
      <c r="J9" s="3">
        <v>7.7957222703430435</v>
      </c>
      <c r="K9" s="3">
        <v>18.868707545598344</v>
      </c>
      <c r="L9" s="3">
        <v>24.577423654064052</v>
      </c>
      <c r="M9" s="3">
        <v>26.31480915546417</v>
      </c>
      <c r="O9">
        <v>1933</v>
      </c>
      <c r="P9" s="4">
        <v>23.9043858028227</v>
      </c>
      <c r="Q9" s="4">
        <v>24.6989467724021</v>
      </c>
      <c r="R9" s="4">
        <v>27.0496611425954</v>
      </c>
      <c r="S9" s="4">
        <v>25.2856627774495</v>
      </c>
      <c r="T9" s="4">
        <v>24.9376670019967</v>
      </c>
      <c r="U9" s="4">
        <v>23.3548775591407</v>
      </c>
      <c r="V9" s="4">
        <v>22.742174771097</v>
      </c>
      <c r="W9" s="4">
        <v>19.028225436390102</v>
      </c>
      <c r="X9" s="4">
        <v>8.5267978893386</v>
      </c>
      <c r="Y9" s="4">
        <v>18.6550784527615</v>
      </c>
      <c r="Z9" s="4">
        <v>24.7853502550433</v>
      </c>
      <c r="AA9" s="4">
        <v>26.1933223772049</v>
      </c>
      <c r="AC9">
        <v>1933</v>
      </c>
      <c r="AD9" s="3">
        <f t="shared" si="2"/>
        <v>23.992209445276572</v>
      </c>
      <c r="AE9" s="3">
        <f t="shared" si="3"/>
        <v>24.747535427863326</v>
      </c>
      <c r="AF9" s="3">
        <f t="shared" si="4"/>
        <v>27.08448038716471</v>
      </c>
      <c r="AG9" s="3">
        <f t="shared" si="5"/>
        <v>25.2716083600957</v>
      </c>
      <c r="AH9" s="3">
        <f t="shared" si="6"/>
        <v>24.92236330849783</v>
      </c>
      <c r="AI9" s="3">
        <f t="shared" si="7"/>
        <v>23.35515649629954</v>
      </c>
      <c r="AJ9" s="3">
        <f t="shared" si="8"/>
        <v>21.641985060373933</v>
      </c>
      <c r="AK9" s="3">
        <f t="shared" si="9"/>
        <v>17.96782767913674</v>
      </c>
      <c r="AL9" s="3">
        <f t="shared" si="10"/>
        <v>7.7957222703430435</v>
      </c>
      <c r="AM9" s="3">
        <f t="shared" si="11"/>
        <v>18.868707545598344</v>
      </c>
      <c r="AN9" s="3">
        <f t="shared" si="12"/>
        <v>24.577423654064052</v>
      </c>
      <c r="AO9" s="3">
        <f t="shared" si="13"/>
        <v>26.31480915546417</v>
      </c>
      <c r="AQ9">
        <v>1933</v>
      </c>
      <c r="AR9" s="3">
        <f t="shared" si="14"/>
        <v>23.9043858028227</v>
      </c>
      <c r="AS9" s="3">
        <f t="shared" si="15"/>
        <v>24.6989467724021</v>
      </c>
      <c r="AT9" s="3">
        <f t="shared" si="16"/>
        <v>27.0496611425954</v>
      </c>
      <c r="AU9" s="3">
        <f t="shared" si="17"/>
        <v>25.2856627774495</v>
      </c>
      <c r="AV9" s="3">
        <f t="shared" si="18"/>
        <v>24.9376670019967</v>
      </c>
      <c r="AW9" s="3">
        <f t="shared" si="19"/>
        <v>23.3548775591407</v>
      </c>
      <c r="AX9" s="3">
        <f t="shared" si="20"/>
        <v>22.742174771097</v>
      </c>
      <c r="AY9" s="3">
        <f t="shared" si="21"/>
        <v>19.028225436390102</v>
      </c>
      <c r="AZ9" s="3">
        <f t="shared" si="22"/>
        <v>8.5267978893386</v>
      </c>
      <c r="BA9" s="3">
        <f t="shared" si="23"/>
        <v>18.6550784527615</v>
      </c>
      <c r="BB9" s="3">
        <f t="shared" si="24"/>
        <v>24.7853502550433</v>
      </c>
      <c r="BC9" s="3">
        <f t="shared" si="25"/>
        <v>26.1933223772049</v>
      </c>
    </row>
    <row r="10" spans="1:55" ht="15">
      <c r="A10">
        <v>1934</v>
      </c>
      <c r="B10" s="3">
        <v>24.801257991021675</v>
      </c>
      <c r="C10" s="3">
        <v>23.585899722956416</v>
      </c>
      <c r="D10" s="3">
        <v>22.20663256414474</v>
      </c>
      <c r="E10" s="3">
        <v>18.902618773858393</v>
      </c>
      <c r="F10" s="3">
        <v>21.524017272676744</v>
      </c>
      <c r="G10" s="3">
        <v>16.987189327280657</v>
      </c>
      <c r="H10" s="3">
        <v>14.152569254529151</v>
      </c>
      <c r="I10" s="3">
        <v>15.33470933296346</v>
      </c>
      <c r="J10" s="3">
        <v>18.843805517090697</v>
      </c>
      <c r="K10" s="3">
        <v>24.44411474043323</v>
      </c>
      <c r="L10" s="3">
        <v>27.19438489637068</v>
      </c>
      <c r="M10" s="3">
        <v>24.952908549308773</v>
      </c>
      <c r="O10">
        <v>1934</v>
      </c>
      <c r="P10" s="4">
        <v>24.7890766036126</v>
      </c>
      <c r="Q10" s="4">
        <v>23.5760492069877</v>
      </c>
      <c r="R10" s="4">
        <v>22.251782033264</v>
      </c>
      <c r="S10" s="4">
        <v>19.1551924390818</v>
      </c>
      <c r="T10" s="4">
        <v>21.5698641879218</v>
      </c>
      <c r="U10" s="4">
        <v>17.070291031506</v>
      </c>
      <c r="V10" s="4">
        <v>15.1919986512926</v>
      </c>
      <c r="W10" s="4">
        <v>16.7503322009758</v>
      </c>
      <c r="X10" s="4">
        <v>19.375242696868</v>
      </c>
      <c r="Y10" s="4">
        <v>24.5056300045342</v>
      </c>
      <c r="Z10" s="4">
        <v>27.3804201564481</v>
      </c>
      <c r="AA10" s="4">
        <v>24.9673743995031</v>
      </c>
      <c r="AC10">
        <v>1934</v>
      </c>
      <c r="AD10" s="3">
        <f t="shared" si="2"/>
        <v>24.801257991021675</v>
      </c>
      <c r="AE10" s="3">
        <f t="shared" si="3"/>
        <v>23.585899722956416</v>
      </c>
      <c r="AF10" s="3">
        <f t="shared" si="4"/>
        <v>22.20663256414474</v>
      </c>
      <c r="AG10" s="3">
        <f t="shared" si="5"/>
        <v>18.902618773858393</v>
      </c>
      <c r="AH10" s="3">
        <f t="shared" si="6"/>
        <v>21.524017272676744</v>
      </c>
      <c r="AI10" s="3">
        <f t="shared" si="7"/>
        <v>16.987189327280657</v>
      </c>
      <c r="AJ10" s="3">
        <f t="shared" si="8"/>
        <v>14.152569254529151</v>
      </c>
      <c r="AK10" s="3">
        <f t="shared" si="9"/>
        <v>15.33470933296346</v>
      </c>
      <c r="AL10" s="3">
        <f t="shared" si="10"/>
        <v>18.843805517090697</v>
      </c>
      <c r="AM10" s="3">
        <f t="shared" si="11"/>
        <v>24.44411474043323</v>
      </c>
      <c r="AN10" s="3">
        <f t="shared" si="12"/>
        <v>27.19438489637068</v>
      </c>
      <c r="AO10" s="3">
        <f t="shared" si="13"/>
        <v>24.952908549308773</v>
      </c>
      <c r="AQ10">
        <v>1934</v>
      </c>
      <c r="AR10" s="3">
        <f t="shared" si="14"/>
        <v>24.7890766036126</v>
      </c>
      <c r="AS10" s="3">
        <f t="shared" si="15"/>
        <v>23.5760492069877</v>
      </c>
      <c r="AT10" s="3">
        <f t="shared" si="16"/>
        <v>22.251782033264</v>
      </c>
      <c r="AU10" s="3">
        <f t="shared" si="17"/>
        <v>19.1551924390818</v>
      </c>
      <c r="AV10" s="3">
        <f t="shared" si="18"/>
        <v>21.5698641879218</v>
      </c>
      <c r="AW10" s="3">
        <f t="shared" si="19"/>
        <v>17.070291031506</v>
      </c>
      <c r="AX10" s="3">
        <f t="shared" si="20"/>
        <v>15.1919986512926</v>
      </c>
      <c r="AY10" s="3">
        <f t="shared" si="21"/>
        <v>16.7503322009758</v>
      </c>
      <c r="AZ10" s="3">
        <f t="shared" si="22"/>
        <v>19.375242696868</v>
      </c>
      <c r="BA10" s="3">
        <f t="shared" si="23"/>
        <v>24.5056300045342</v>
      </c>
      <c r="BB10" s="3">
        <f t="shared" si="24"/>
        <v>27.3804201564481</v>
      </c>
      <c r="BC10" s="3">
        <f t="shared" si="25"/>
        <v>24.9673743995031</v>
      </c>
    </row>
    <row r="11" spans="1:55" ht="15">
      <c r="A11">
        <v>1935</v>
      </c>
      <c r="B11" s="3">
        <v>24.038900892965252</v>
      </c>
      <c r="C11" s="3">
        <v>25.660053034132954</v>
      </c>
      <c r="D11" s="3">
        <v>30.36997110664202</v>
      </c>
      <c r="E11" s="3">
        <v>27.515359571159543</v>
      </c>
      <c r="F11" s="3">
        <v>27.918719983100893</v>
      </c>
      <c r="G11" s="3">
        <v>23.891048860517838</v>
      </c>
      <c r="H11" s="3">
        <v>22.90703858057658</v>
      </c>
      <c r="I11" s="3">
        <v>18.177846933180284</v>
      </c>
      <c r="J11" s="3">
        <v>20.613728671603738</v>
      </c>
      <c r="K11" s="3">
        <v>21.65707224543376</v>
      </c>
      <c r="L11" s="3">
        <v>25.804485962467815</v>
      </c>
      <c r="M11" s="3">
        <v>26.479974069595336</v>
      </c>
      <c r="O11">
        <v>1935</v>
      </c>
      <c r="P11" s="4">
        <v>24.0150900187031</v>
      </c>
      <c r="Q11" s="4">
        <v>25.6654193654636</v>
      </c>
      <c r="R11" s="4">
        <v>30.3463965036536</v>
      </c>
      <c r="S11" s="4">
        <v>27.5183008345225</v>
      </c>
      <c r="T11" s="4">
        <v>27.9243797234126</v>
      </c>
      <c r="U11" s="4">
        <v>23.9018800967474</v>
      </c>
      <c r="V11" s="4">
        <v>24.2945122602251</v>
      </c>
      <c r="W11" s="4">
        <v>19.1895799772714</v>
      </c>
      <c r="X11" s="4">
        <v>21.2428816742367</v>
      </c>
      <c r="Y11" s="4">
        <v>21.5631074141431</v>
      </c>
      <c r="Z11" s="4">
        <v>25.9813748236625</v>
      </c>
      <c r="AA11" s="4">
        <v>26.4505514732997</v>
      </c>
      <c r="AC11">
        <v>1935</v>
      </c>
      <c r="AD11" s="3">
        <f t="shared" si="2"/>
        <v>24.038900892965252</v>
      </c>
      <c r="AE11" s="3">
        <f t="shared" si="3"/>
        <v>25.660053034132954</v>
      </c>
      <c r="AF11" s="3">
        <f t="shared" si="4"/>
        <v>30.36997110664202</v>
      </c>
      <c r="AG11" s="3">
        <f t="shared" si="5"/>
        <v>27.515359571159543</v>
      </c>
      <c r="AH11" s="3">
        <f t="shared" si="6"/>
        <v>27.918719983100893</v>
      </c>
      <c r="AI11" s="3">
        <f t="shared" si="7"/>
        <v>23.891048860517838</v>
      </c>
      <c r="AJ11" s="3">
        <f t="shared" si="8"/>
        <v>22.90703858057658</v>
      </c>
      <c r="AK11" s="3">
        <f t="shared" si="9"/>
        <v>18.177846933180284</v>
      </c>
      <c r="AL11" s="3">
        <f t="shared" si="10"/>
        <v>20.613728671603738</v>
      </c>
      <c r="AM11" s="3">
        <f t="shared" si="11"/>
        <v>21.65707224543376</v>
      </c>
      <c r="AN11" s="3">
        <f t="shared" si="12"/>
        <v>25.804485962467815</v>
      </c>
      <c r="AO11" s="3">
        <f t="shared" si="13"/>
        <v>26.479974069595336</v>
      </c>
      <c r="AQ11">
        <v>1935</v>
      </c>
      <c r="AR11" s="3">
        <f t="shared" si="14"/>
        <v>24.0150900187031</v>
      </c>
      <c r="AS11" s="3">
        <f t="shared" si="15"/>
        <v>25.6654193654636</v>
      </c>
      <c r="AT11" s="3">
        <f t="shared" si="16"/>
        <v>30.3463965036536</v>
      </c>
      <c r="AU11" s="3">
        <f t="shared" si="17"/>
        <v>27.5183008345225</v>
      </c>
      <c r="AV11" s="3">
        <f t="shared" si="18"/>
        <v>27.9243797234126</v>
      </c>
      <c r="AW11" s="3">
        <f t="shared" si="19"/>
        <v>23.9018800967474</v>
      </c>
      <c r="AX11" s="3">
        <f t="shared" si="20"/>
        <v>24.2945122602251</v>
      </c>
      <c r="AY11" s="3">
        <f t="shared" si="21"/>
        <v>19.1895799772714</v>
      </c>
      <c r="AZ11" s="3">
        <f t="shared" si="22"/>
        <v>21.2428816742367</v>
      </c>
      <c r="BA11" s="3">
        <f t="shared" si="23"/>
        <v>21.5631074141431</v>
      </c>
      <c r="BB11" s="3">
        <f t="shared" si="24"/>
        <v>25.9813748236625</v>
      </c>
      <c r="BC11" s="3">
        <f t="shared" si="25"/>
        <v>26.4505514732997</v>
      </c>
    </row>
    <row r="12" spans="1:55" ht="15">
      <c r="A12">
        <v>1936</v>
      </c>
      <c r="B12" s="3">
        <v>24.76207816216253</v>
      </c>
      <c r="C12" s="3">
        <v>26.714996481735387</v>
      </c>
      <c r="D12" s="3">
        <v>33.32420282415164</v>
      </c>
      <c r="E12" s="3">
        <v>36.21465782657746</v>
      </c>
      <c r="F12" s="3">
        <v>33.59939927373614</v>
      </c>
      <c r="G12" s="3">
        <v>27.479451772053174</v>
      </c>
      <c r="H12" s="3">
        <v>21.26839673148261</v>
      </c>
      <c r="I12" s="3">
        <v>12.612036316433265</v>
      </c>
      <c r="J12" s="3">
        <v>17.317391082975597</v>
      </c>
      <c r="K12" s="3">
        <v>25.938552931303622</v>
      </c>
      <c r="L12" s="3">
        <v>27.67835335885325</v>
      </c>
      <c r="M12" s="3">
        <v>26.071743936538688</v>
      </c>
      <c r="O12">
        <v>1936</v>
      </c>
      <c r="P12" s="4">
        <v>24.7678075398168</v>
      </c>
      <c r="Q12" s="4">
        <v>26.722150130014</v>
      </c>
      <c r="R12" s="4">
        <v>33.2891441196524</v>
      </c>
      <c r="S12" s="4">
        <v>36.2479962897557</v>
      </c>
      <c r="T12" s="4">
        <v>33.596523135049</v>
      </c>
      <c r="U12" s="4">
        <v>27.5330812653173</v>
      </c>
      <c r="V12" s="4">
        <v>22.1636906973521</v>
      </c>
      <c r="W12" s="4">
        <v>15.3122735014686</v>
      </c>
      <c r="X12" s="4">
        <v>18.6648125463062</v>
      </c>
      <c r="Y12" s="4">
        <v>25.9633258578598</v>
      </c>
      <c r="Z12" s="4">
        <v>27.8428014709103</v>
      </c>
      <c r="AA12" s="4">
        <v>26.0441627486547</v>
      </c>
      <c r="AC12">
        <v>1936</v>
      </c>
      <c r="AD12" s="3">
        <f t="shared" si="2"/>
        <v>24.76207816216253</v>
      </c>
      <c r="AE12" s="3">
        <f t="shared" si="3"/>
        <v>26.714996481735387</v>
      </c>
      <c r="AF12" s="3">
        <f t="shared" si="4"/>
        <v>33.32420282415164</v>
      </c>
      <c r="AG12" s="3">
        <f t="shared" si="5"/>
        <v>36.21465782657746</v>
      </c>
      <c r="AH12" s="3">
        <f t="shared" si="6"/>
        <v>33.59939927373614</v>
      </c>
      <c r="AI12" s="3">
        <f t="shared" si="7"/>
        <v>27.479451772053174</v>
      </c>
      <c r="AJ12" s="3">
        <f t="shared" si="8"/>
        <v>21.26839673148261</v>
      </c>
      <c r="AK12" s="3">
        <f t="shared" si="9"/>
        <v>12.612036316433265</v>
      </c>
      <c r="AL12" s="3">
        <f t="shared" si="10"/>
        <v>17.317391082975597</v>
      </c>
      <c r="AM12" s="3">
        <f t="shared" si="11"/>
        <v>25.938552931303622</v>
      </c>
      <c r="AN12" s="3">
        <f t="shared" si="12"/>
        <v>27.67835335885325</v>
      </c>
      <c r="AO12" s="3">
        <f t="shared" si="13"/>
        <v>26.071743936538688</v>
      </c>
      <c r="AQ12">
        <v>1936</v>
      </c>
      <c r="AR12" s="3">
        <f t="shared" si="14"/>
        <v>24.7678075398168</v>
      </c>
      <c r="AS12" s="3">
        <f t="shared" si="15"/>
        <v>26.722150130014</v>
      </c>
      <c r="AT12" s="3">
        <f t="shared" si="16"/>
        <v>33.2891441196524</v>
      </c>
      <c r="AU12" s="3">
        <f t="shared" si="17"/>
        <v>36.2479962897557</v>
      </c>
      <c r="AV12" s="3">
        <f t="shared" si="18"/>
        <v>33.596523135049</v>
      </c>
      <c r="AW12" s="3">
        <f t="shared" si="19"/>
        <v>27.5330812653173</v>
      </c>
      <c r="AX12" s="3">
        <f t="shared" si="20"/>
        <v>22.1636906973521</v>
      </c>
      <c r="AY12" s="3">
        <f t="shared" si="21"/>
        <v>15.3122735014686</v>
      </c>
      <c r="AZ12" s="3">
        <f t="shared" si="22"/>
        <v>18.6648125463062</v>
      </c>
      <c r="BA12" s="3">
        <f t="shared" si="23"/>
        <v>25.9633258578598</v>
      </c>
      <c r="BB12" s="3">
        <f t="shared" si="24"/>
        <v>27.8428014709103</v>
      </c>
      <c r="BC12" s="3">
        <f t="shared" si="25"/>
        <v>26.0441627486547</v>
      </c>
    </row>
    <row r="13" spans="1:55" ht="15">
      <c r="A13">
        <v>1937</v>
      </c>
      <c r="B13" s="3">
        <v>24.191790996059293</v>
      </c>
      <c r="C13" s="3">
        <v>25.512413386663688</v>
      </c>
      <c r="D13" s="3">
        <v>30.452070592039377</v>
      </c>
      <c r="E13" s="3">
        <v>33.11714250400502</v>
      </c>
      <c r="F13" s="3">
        <v>33.26196697098869</v>
      </c>
      <c r="G13" s="3">
        <v>27.3888012149613</v>
      </c>
      <c r="H13" s="3">
        <v>23.675814819865746</v>
      </c>
      <c r="I13" s="3">
        <v>19.579169223385467</v>
      </c>
      <c r="J13" s="3">
        <v>21.954415755801726</v>
      </c>
      <c r="K13" s="3">
        <v>28.585697544774707</v>
      </c>
      <c r="L13" s="3">
        <v>28.566920889577556</v>
      </c>
      <c r="M13" s="3">
        <v>25.818920119603472</v>
      </c>
      <c r="O13">
        <v>1937</v>
      </c>
      <c r="P13" s="4">
        <v>24.2039514164771</v>
      </c>
      <c r="Q13" s="4">
        <v>25.5110023160583</v>
      </c>
      <c r="R13" s="4">
        <v>30.4892517597445</v>
      </c>
      <c r="S13" s="4">
        <v>33.1307032903035</v>
      </c>
      <c r="T13" s="4">
        <v>33.2560372693198</v>
      </c>
      <c r="U13" s="4">
        <v>27.4108713570386</v>
      </c>
      <c r="V13" s="4">
        <v>24.93135409832</v>
      </c>
      <c r="W13" s="4">
        <v>20.5616547387133</v>
      </c>
      <c r="X13" s="4">
        <v>22.5126443703969</v>
      </c>
      <c r="Y13" s="4">
        <v>28.4329174441676</v>
      </c>
      <c r="Z13" s="4">
        <v>28.6868806300625</v>
      </c>
      <c r="AA13" s="4">
        <v>25.8058261537552</v>
      </c>
      <c r="AC13">
        <v>1937</v>
      </c>
      <c r="AD13" s="3">
        <f t="shared" si="2"/>
        <v>24.191790996059293</v>
      </c>
      <c r="AE13" s="3">
        <f t="shared" si="3"/>
        <v>25.512413386663688</v>
      </c>
      <c r="AF13" s="3">
        <f t="shared" si="4"/>
        <v>30.452070592039377</v>
      </c>
      <c r="AG13" s="3">
        <f t="shared" si="5"/>
        <v>33.11714250400502</v>
      </c>
      <c r="AH13" s="3">
        <f t="shared" si="6"/>
        <v>33.26196697098869</v>
      </c>
      <c r="AI13" s="3">
        <f t="shared" si="7"/>
        <v>27.3888012149613</v>
      </c>
      <c r="AJ13" s="3">
        <f t="shared" si="8"/>
        <v>23.675814819865746</v>
      </c>
      <c r="AK13" s="3">
        <f t="shared" si="9"/>
        <v>19.579169223385467</v>
      </c>
      <c r="AL13" s="3">
        <f t="shared" si="10"/>
        <v>21.954415755801726</v>
      </c>
      <c r="AM13" s="3">
        <f t="shared" si="11"/>
        <v>28.585697544774707</v>
      </c>
      <c r="AN13" s="3">
        <f t="shared" si="12"/>
        <v>28.566920889577556</v>
      </c>
      <c r="AO13" s="3">
        <f t="shared" si="13"/>
        <v>25.818920119603472</v>
      </c>
      <c r="AQ13">
        <v>1937</v>
      </c>
      <c r="AR13" s="3">
        <f t="shared" si="14"/>
        <v>24.2039514164771</v>
      </c>
      <c r="AS13" s="3">
        <f t="shared" si="15"/>
        <v>25.5110023160583</v>
      </c>
      <c r="AT13" s="3">
        <f t="shared" si="16"/>
        <v>30.4892517597445</v>
      </c>
      <c r="AU13" s="3">
        <f t="shared" si="17"/>
        <v>33.1307032903035</v>
      </c>
      <c r="AV13" s="3">
        <f t="shared" si="18"/>
        <v>33.2560372693198</v>
      </c>
      <c r="AW13" s="3">
        <f t="shared" si="19"/>
        <v>27.4108713570386</v>
      </c>
      <c r="AX13" s="3">
        <f t="shared" si="20"/>
        <v>24.93135409832</v>
      </c>
      <c r="AY13" s="3">
        <f t="shared" si="21"/>
        <v>20.5616547387133</v>
      </c>
      <c r="AZ13" s="3">
        <f t="shared" si="22"/>
        <v>22.5126443703969</v>
      </c>
      <c r="BA13" s="3">
        <f t="shared" si="23"/>
        <v>28.4329174441676</v>
      </c>
      <c r="BB13" s="3">
        <f t="shared" si="24"/>
        <v>28.6868806300625</v>
      </c>
      <c r="BC13" s="3">
        <f t="shared" si="25"/>
        <v>25.8058261537552</v>
      </c>
    </row>
    <row r="14" spans="1:55" ht="15">
      <c r="A14">
        <v>1938</v>
      </c>
      <c r="B14" s="3">
        <v>24.922627502103015</v>
      </c>
      <c r="C14" s="3">
        <v>25.8063445859081</v>
      </c>
      <c r="D14" s="3">
        <v>28.233071970170556</v>
      </c>
      <c r="E14" s="3">
        <v>25.64423833918827</v>
      </c>
      <c r="F14" s="3">
        <v>24.564845037460334</v>
      </c>
      <c r="G14" s="3">
        <v>21.939380801060956</v>
      </c>
      <c r="H14" s="3">
        <v>15.329667883184218</v>
      </c>
      <c r="I14" s="3">
        <v>10.129516847768139</v>
      </c>
      <c r="J14" s="3">
        <v>17.72238606082068</v>
      </c>
      <c r="K14" s="3">
        <v>21.225173480536345</v>
      </c>
      <c r="L14" s="3">
        <v>26.275518063575994</v>
      </c>
      <c r="M14" s="3">
        <v>23.67667476336161</v>
      </c>
      <c r="O14">
        <v>1938</v>
      </c>
      <c r="P14" s="4">
        <v>24.9143453990259</v>
      </c>
      <c r="Q14" s="4">
        <v>25.7765742668993</v>
      </c>
      <c r="R14" s="4">
        <v>28.256013934843</v>
      </c>
      <c r="S14" s="4">
        <v>25.6338734960043</v>
      </c>
      <c r="T14" s="4">
        <v>24.5575962577547</v>
      </c>
      <c r="U14" s="4">
        <v>21.956715090631</v>
      </c>
      <c r="V14" s="4">
        <v>16.3807349816958</v>
      </c>
      <c r="W14" s="4">
        <v>12.6634434694124</v>
      </c>
      <c r="X14" s="4">
        <v>18.4834084881677</v>
      </c>
      <c r="Y14" s="4">
        <v>21.186826742849</v>
      </c>
      <c r="Z14" s="4">
        <v>26.4668294129833</v>
      </c>
      <c r="AA14" s="4">
        <v>23.7166005357107</v>
      </c>
      <c r="AC14">
        <v>1938</v>
      </c>
      <c r="AD14" s="3">
        <f t="shared" si="2"/>
        <v>24.922627502103015</v>
      </c>
      <c r="AE14" s="3">
        <f t="shared" si="3"/>
        <v>25.8063445859081</v>
      </c>
      <c r="AF14" s="3">
        <f t="shared" si="4"/>
        <v>28.233071970170556</v>
      </c>
      <c r="AG14" s="3">
        <f t="shared" si="5"/>
        <v>25.64423833918827</v>
      </c>
      <c r="AH14" s="3">
        <f t="shared" si="6"/>
        <v>24.564845037460334</v>
      </c>
      <c r="AI14" s="3">
        <f t="shared" si="7"/>
        <v>21.939380801060956</v>
      </c>
      <c r="AJ14" s="3">
        <f t="shared" si="8"/>
        <v>15.329667883184218</v>
      </c>
      <c r="AK14" s="3">
        <f t="shared" si="9"/>
        <v>10.129516847768139</v>
      </c>
      <c r="AL14" s="3">
        <f t="shared" si="10"/>
        <v>17.72238606082068</v>
      </c>
      <c r="AM14" s="3">
        <f t="shared" si="11"/>
        <v>21.225173480536345</v>
      </c>
      <c r="AN14" s="3">
        <f t="shared" si="12"/>
        <v>26.275518063575994</v>
      </c>
      <c r="AO14" s="3">
        <f t="shared" si="13"/>
        <v>23.67667476336161</v>
      </c>
      <c r="AQ14">
        <v>1938</v>
      </c>
      <c r="AR14" s="3">
        <f t="shared" si="14"/>
        <v>24.9143453990259</v>
      </c>
      <c r="AS14" s="3">
        <f t="shared" si="15"/>
        <v>25.7765742668993</v>
      </c>
      <c r="AT14" s="3">
        <f t="shared" si="16"/>
        <v>28.256013934843</v>
      </c>
      <c r="AU14" s="3">
        <f t="shared" si="17"/>
        <v>25.6338734960043</v>
      </c>
      <c r="AV14" s="3">
        <f t="shared" si="18"/>
        <v>24.5575962577547</v>
      </c>
      <c r="AW14" s="3">
        <f t="shared" si="19"/>
        <v>21.956715090631</v>
      </c>
      <c r="AX14" s="3">
        <f t="shared" si="20"/>
        <v>16.3807349816958</v>
      </c>
      <c r="AY14" s="3">
        <f t="shared" si="21"/>
        <v>12.6634434694124</v>
      </c>
      <c r="AZ14" s="3">
        <f t="shared" si="22"/>
        <v>18.4834084881677</v>
      </c>
      <c r="BA14" s="3">
        <f t="shared" si="23"/>
        <v>21.186826742849</v>
      </c>
      <c r="BB14" s="3">
        <f t="shared" si="24"/>
        <v>26.4668294129833</v>
      </c>
      <c r="BC14" s="3">
        <f t="shared" si="25"/>
        <v>23.7166005357107</v>
      </c>
    </row>
    <row r="15" spans="1:55" ht="15">
      <c r="A15">
        <v>1939</v>
      </c>
      <c r="B15" s="3">
        <v>24.242347429644685</v>
      </c>
      <c r="C15" s="3">
        <v>26.024471676994466</v>
      </c>
      <c r="D15" s="3">
        <v>30.45250379090668</v>
      </c>
      <c r="E15" s="3">
        <v>27.420735158202472</v>
      </c>
      <c r="F15" s="3">
        <v>29.582843814577377</v>
      </c>
      <c r="G15" s="3">
        <v>25.852444880133838</v>
      </c>
      <c r="H15" s="3">
        <v>19.352847668859695</v>
      </c>
      <c r="I15" s="3">
        <v>18.093502840944517</v>
      </c>
      <c r="J15" s="3">
        <v>23.76385376188491</v>
      </c>
      <c r="K15" s="3">
        <v>25.633065393150492</v>
      </c>
      <c r="L15" s="3">
        <v>28.133450312768257</v>
      </c>
      <c r="M15" s="3">
        <v>25.15261013031006</v>
      </c>
      <c r="O15">
        <v>1939</v>
      </c>
      <c r="P15" s="4">
        <v>24.236991730044</v>
      </c>
      <c r="Q15" s="4">
        <v>26.0259367653798</v>
      </c>
      <c r="R15" s="4">
        <v>30.4576253193681</v>
      </c>
      <c r="S15" s="4">
        <v>27.4184402678603</v>
      </c>
      <c r="T15" s="4">
        <v>29.5738044261932</v>
      </c>
      <c r="U15" s="4">
        <v>25.8655776640608</v>
      </c>
      <c r="V15" s="4">
        <v>20.2608279244105</v>
      </c>
      <c r="W15" s="4">
        <v>19.2612137079239</v>
      </c>
      <c r="X15" s="4">
        <v>24.4368523703681</v>
      </c>
      <c r="Y15" s="4">
        <v>25.5865146288308</v>
      </c>
      <c r="Z15" s="4">
        <v>28.2728050554952</v>
      </c>
      <c r="AA15" s="4">
        <v>25.1491289504369</v>
      </c>
      <c r="AC15">
        <v>1939</v>
      </c>
      <c r="AD15" s="3">
        <f t="shared" si="2"/>
        <v>24.242347429644685</v>
      </c>
      <c r="AE15" s="3">
        <f t="shared" si="3"/>
        <v>26.024471676994466</v>
      </c>
      <c r="AF15" s="3">
        <f t="shared" si="4"/>
        <v>30.45250379090668</v>
      </c>
      <c r="AG15" s="3">
        <f t="shared" si="5"/>
        <v>27.420735158202472</v>
      </c>
      <c r="AH15" s="3">
        <f t="shared" si="6"/>
        <v>29.582843814577377</v>
      </c>
      <c r="AI15" s="3">
        <f t="shared" si="7"/>
        <v>25.852444880133838</v>
      </c>
      <c r="AJ15" s="3">
        <f t="shared" si="8"/>
        <v>19.352847668859695</v>
      </c>
      <c r="AK15" s="3">
        <f t="shared" si="9"/>
        <v>18.093502840944517</v>
      </c>
      <c r="AL15" s="3">
        <f t="shared" si="10"/>
        <v>23.76385376188491</v>
      </c>
      <c r="AM15" s="3">
        <f t="shared" si="11"/>
        <v>25.633065393150492</v>
      </c>
      <c r="AN15" s="3">
        <f t="shared" si="12"/>
        <v>28.133450312768257</v>
      </c>
      <c r="AO15" s="3">
        <f t="shared" si="13"/>
        <v>25.15261013031006</v>
      </c>
      <c r="AQ15">
        <v>1939</v>
      </c>
      <c r="AR15" s="3">
        <f t="shared" si="14"/>
        <v>24.236991730044</v>
      </c>
      <c r="AS15" s="3">
        <f t="shared" si="15"/>
        <v>26.0259367653798</v>
      </c>
      <c r="AT15" s="3">
        <f t="shared" si="16"/>
        <v>30.4576253193681</v>
      </c>
      <c r="AU15" s="3">
        <f t="shared" si="17"/>
        <v>27.4184402678603</v>
      </c>
      <c r="AV15" s="3">
        <f t="shared" si="18"/>
        <v>29.5738044261932</v>
      </c>
      <c r="AW15" s="3">
        <f t="shared" si="19"/>
        <v>25.8655776640608</v>
      </c>
      <c r="AX15" s="3">
        <f t="shared" si="20"/>
        <v>20.2608279244105</v>
      </c>
      <c r="AY15" s="3">
        <f t="shared" si="21"/>
        <v>19.2612137079239</v>
      </c>
      <c r="AZ15" s="3">
        <f t="shared" si="22"/>
        <v>24.4368523703681</v>
      </c>
      <c r="BA15" s="3">
        <f t="shared" si="23"/>
        <v>25.5865146288308</v>
      </c>
      <c r="BB15" s="3">
        <f t="shared" si="24"/>
        <v>28.2728050554952</v>
      </c>
      <c r="BC15" s="3">
        <f t="shared" si="25"/>
        <v>25.1491289504369</v>
      </c>
    </row>
    <row r="16" spans="1:55" ht="15">
      <c r="A16">
        <v>1940</v>
      </c>
      <c r="B16" s="3">
        <v>25.157818998059913</v>
      </c>
      <c r="C16" s="3">
        <v>26.496766508832557</v>
      </c>
      <c r="D16" s="3">
        <v>31.045454222668873</v>
      </c>
      <c r="E16" s="3">
        <v>28.116738987994438</v>
      </c>
      <c r="F16" s="3">
        <v>29.31142960957119</v>
      </c>
      <c r="G16" s="3">
        <v>20.930744360273007</v>
      </c>
      <c r="H16" s="3">
        <v>20.87547490967645</v>
      </c>
      <c r="I16" s="3">
        <v>17.976235067716217</v>
      </c>
      <c r="J16" s="3">
        <v>23.785398303137875</v>
      </c>
      <c r="K16" s="3">
        <v>26.27145319907895</v>
      </c>
      <c r="L16" s="3">
        <v>29.46286382444444</v>
      </c>
      <c r="M16" s="3">
        <v>25.796253728866578</v>
      </c>
      <c r="O16">
        <v>1940</v>
      </c>
      <c r="P16" s="4">
        <v>25.1167086216711</v>
      </c>
      <c r="Q16" s="4">
        <v>26.4715003572456</v>
      </c>
      <c r="R16" s="4">
        <v>30.9947151235355</v>
      </c>
      <c r="S16" s="4">
        <v>28.0963053851999</v>
      </c>
      <c r="T16" s="4">
        <v>29.2702234949384</v>
      </c>
      <c r="U16" s="4">
        <v>20.9029008744703</v>
      </c>
      <c r="V16" s="4">
        <v>21.8880813630422</v>
      </c>
      <c r="W16" s="4">
        <v>18.9887500688594</v>
      </c>
      <c r="X16" s="4">
        <v>24.6079315715366</v>
      </c>
      <c r="Y16" s="4">
        <v>26.2149408319945</v>
      </c>
      <c r="Z16" s="4">
        <v>29.6279986181567</v>
      </c>
      <c r="AA16" s="4">
        <v>25.7994977204005</v>
      </c>
      <c r="AC16">
        <v>1940</v>
      </c>
      <c r="AD16" s="3">
        <f t="shared" si="2"/>
        <v>25.157818998059913</v>
      </c>
      <c r="AE16" s="3">
        <f t="shared" si="3"/>
        <v>26.496766508832557</v>
      </c>
      <c r="AF16" s="3">
        <f t="shared" si="4"/>
        <v>31.045454222668873</v>
      </c>
      <c r="AG16" s="3">
        <f t="shared" si="5"/>
        <v>28.116738987994438</v>
      </c>
      <c r="AH16" s="3">
        <f t="shared" si="6"/>
        <v>29.31142960957119</v>
      </c>
      <c r="AI16" s="3">
        <f t="shared" si="7"/>
        <v>20.930744360273007</v>
      </c>
      <c r="AJ16" s="3">
        <f t="shared" si="8"/>
        <v>20.87547490967645</v>
      </c>
      <c r="AK16" s="3">
        <f t="shared" si="9"/>
        <v>17.976235067716217</v>
      </c>
      <c r="AL16" s="3">
        <f t="shared" si="10"/>
        <v>23.785398303137875</v>
      </c>
      <c r="AM16" s="3">
        <f t="shared" si="11"/>
        <v>26.27145319907895</v>
      </c>
      <c r="AN16" s="3">
        <f t="shared" si="12"/>
        <v>29.46286382444444</v>
      </c>
      <c r="AO16" s="3">
        <f t="shared" si="13"/>
        <v>25.796253728866578</v>
      </c>
      <c r="AQ16">
        <v>1940</v>
      </c>
      <c r="AR16" s="3">
        <f t="shared" si="14"/>
        <v>25.1167086216711</v>
      </c>
      <c r="AS16" s="3">
        <f t="shared" si="15"/>
        <v>26.4715003572456</v>
      </c>
      <c r="AT16" s="3">
        <f t="shared" si="16"/>
        <v>30.9947151235355</v>
      </c>
      <c r="AU16" s="3">
        <f t="shared" si="17"/>
        <v>28.0963053851999</v>
      </c>
      <c r="AV16" s="3">
        <f t="shared" si="18"/>
        <v>29.2702234949384</v>
      </c>
      <c r="AW16" s="3">
        <f t="shared" si="19"/>
        <v>20.9029008744703</v>
      </c>
      <c r="AX16" s="3">
        <f t="shared" si="20"/>
        <v>21.8880813630422</v>
      </c>
      <c r="AY16" s="3">
        <f t="shared" si="21"/>
        <v>18.9887500688594</v>
      </c>
      <c r="AZ16" s="3">
        <f t="shared" si="22"/>
        <v>24.6079315715366</v>
      </c>
      <c r="BA16" s="3">
        <f t="shared" si="23"/>
        <v>26.2149408319945</v>
      </c>
      <c r="BB16" s="3">
        <f t="shared" si="24"/>
        <v>29.6279986181567</v>
      </c>
      <c r="BC16" s="3">
        <f t="shared" si="25"/>
        <v>25.7994977204005</v>
      </c>
    </row>
    <row r="17" spans="1:55" ht="15">
      <c r="A17">
        <v>1941</v>
      </c>
      <c r="B17" s="3">
        <v>24.17499534391587</v>
      </c>
      <c r="C17" s="3">
        <v>25.96426420496174</v>
      </c>
      <c r="D17" s="3">
        <v>29.444459276301888</v>
      </c>
      <c r="E17" s="3">
        <v>32.223168632035616</v>
      </c>
      <c r="F17" s="3">
        <v>31.373467309134345</v>
      </c>
      <c r="G17" s="3">
        <v>26.602987509107514</v>
      </c>
      <c r="H17" s="3">
        <v>23.69880361133152</v>
      </c>
      <c r="I17" s="3">
        <v>19.135986258650334</v>
      </c>
      <c r="J17" s="3">
        <v>22.969366161028535</v>
      </c>
      <c r="K17" s="3">
        <v>24.859580067152617</v>
      </c>
      <c r="L17" s="3">
        <v>25.761387498148036</v>
      </c>
      <c r="M17" s="3">
        <v>24.401563514073697</v>
      </c>
      <c r="O17">
        <v>1941</v>
      </c>
      <c r="P17" s="4">
        <v>24.1642812067463</v>
      </c>
      <c r="Q17" s="4">
        <v>25.9721425154999</v>
      </c>
      <c r="R17" s="4">
        <v>29.4402529090963</v>
      </c>
      <c r="S17" s="4">
        <v>32.2231778919056</v>
      </c>
      <c r="T17" s="4">
        <v>31.3456737927028</v>
      </c>
      <c r="U17" s="4">
        <v>26.6057611991066</v>
      </c>
      <c r="V17" s="4">
        <v>25.0324609703488</v>
      </c>
      <c r="W17" s="4">
        <v>20.2327652577431</v>
      </c>
      <c r="X17" s="4">
        <v>23.690333837933</v>
      </c>
      <c r="Y17" s="4">
        <v>24.7538734415526</v>
      </c>
      <c r="Z17" s="4">
        <v>25.9418084059992</v>
      </c>
      <c r="AA17" s="4">
        <v>24.4035891246796</v>
      </c>
      <c r="AC17">
        <v>1941</v>
      </c>
      <c r="AD17" s="3">
        <f t="shared" si="2"/>
        <v>24.17499534391587</v>
      </c>
      <c r="AE17" s="3">
        <f t="shared" si="3"/>
        <v>25.96426420496174</v>
      </c>
      <c r="AF17" s="3">
        <f t="shared" si="4"/>
        <v>29.444459276301888</v>
      </c>
      <c r="AG17" s="3">
        <f t="shared" si="5"/>
        <v>32.223168632035616</v>
      </c>
      <c r="AH17" s="3">
        <f t="shared" si="6"/>
        <v>31.373467309134345</v>
      </c>
      <c r="AI17" s="3">
        <f t="shared" si="7"/>
        <v>26.602987509107514</v>
      </c>
      <c r="AJ17" s="3">
        <f t="shared" si="8"/>
        <v>23.69880361133152</v>
      </c>
      <c r="AK17" s="3">
        <f t="shared" si="9"/>
        <v>19.135986258650334</v>
      </c>
      <c r="AL17" s="3">
        <f t="shared" si="10"/>
        <v>22.969366161028535</v>
      </c>
      <c r="AM17" s="3">
        <f t="shared" si="11"/>
        <v>24.859580067152617</v>
      </c>
      <c r="AN17" s="3">
        <f t="shared" si="12"/>
        <v>25.761387498148036</v>
      </c>
      <c r="AO17" s="3">
        <f t="shared" si="13"/>
        <v>24.401563514073697</v>
      </c>
      <c r="AQ17">
        <v>1941</v>
      </c>
      <c r="AR17" s="3">
        <f t="shared" si="14"/>
        <v>24.1642812067463</v>
      </c>
      <c r="AS17" s="3">
        <f t="shared" si="15"/>
        <v>25.9721425154999</v>
      </c>
      <c r="AT17" s="3">
        <f t="shared" si="16"/>
        <v>29.4402529090963</v>
      </c>
      <c r="AU17" s="3">
        <f t="shared" si="17"/>
        <v>32.2231778919056</v>
      </c>
      <c r="AV17" s="3">
        <f t="shared" si="18"/>
        <v>31.3456737927028</v>
      </c>
      <c r="AW17" s="3">
        <f t="shared" si="19"/>
        <v>26.6057611991066</v>
      </c>
      <c r="AX17" s="3">
        <f t="shared" si="20"/>
        <v>25.0324609703488</v>
      </c>
      <c r="AY17" s="3">
        <f t="shared" si="21"/>
        <v>20.2327652577431</v>
      </c>
      <c r="AZ17" s="3">
        <f t="shared" si="22"/>
        <v>23.690333837933</v>
      </c>
      <c r="BA17" s="3">
        <f t="shared" si="23"/>
        <v>24.7538734415526</v>
      </c>
      <c r="BB17" s="3">
        <f t="shared" si="24"/>
        <v>25.9418084059992</v>
      </c>
      <c r="BC17" s="3">
        <f t="shared" si="25"/>
        <v>24.4035891246796</v>
      </c>
    </row>
    <row r="18" spans="1:55" ht="15">
      <c r="A18">
        <v>1942</v>
      </c>
      <c r="B18" s="3">
        <v>25.453962827497918</v>
      </c>
      <c r="C18" s="3">
        <v>25.86018033305417</v>
      </c>
      <c r="D18" s="3">
        <v>27.938779997056535</v>
      </c>
      <c r="E18" s="3">
        <v>27.099753397254535</v>
      </c>
      <c r="F18" s="3">
        <v>28.233205877031615</v>
      </c>
      <c r="G18" s="3">
        <v>24.453812678569427</v>
      </c>
      <c r="H18" s="3">
        <v>20.878441221978928</v>
      </c>
      <c r="I18" s="3">
        <v>17.520128955123244</v>
      </c>
      <c r="J18" s="3">
        <v>18.404326963424683</v>
      </c>
      <c r="K18" s="3">
        <v>21.047733182804553</v>
      </c>
      <c r="L18" s="3">
        <v>25.50946791248937</v>
      </c>
      <c r="M18" s="3">
        <v>24.066980481147755</v>
      </c>
      <c r="O18">
        <v>1942</v>
      </c>
      <c r="P18" s="4">
        <v>25.4674911960479</v>
      </c>
      <c r="Q18" s="4">
        <v>25.8759604423618</v>
      </c>
      <c r="R18" s="4">
        <v>27.9179246348719</v>
      </c>
      <c r="S18" s="4">
        <v>27.0597914162502</v>
      </c>
      <c r="T18" s="4">
        <v>28.2665352276393</v>
      </c>
      <c r="U18" s="4">
        <v>24.5023954963941</v>
      </c>
      <c r="V18" s="4">
        <v>21.8659616714054</v>
      </c>
      <c r="W18" s="4">
        <v>18.4118055483346</v>
      </c>
      <c r="X18" s="4">
        <v>18.9479923698637</v>
      </c>
      <c r="Y18" s="4">
        <v>20.9002572339068</v>
      </c>
      <c r="Z18" s="4">
        <v>25.6879831544815</v>
      </c>
      <c r="AA18" s="4">
        <v>24.0680610831579</v>
      </c>
      <c r="AC18">
        <v>1942</v>
      </c>
      <c r="AD18" s="3">
        <f t="shared" si="2"/>
        <v>25.453962827497918</v>
      </c>
      <c r="AE18" s="3">
        <f t="shared" si="3"/>
        <v>25.86018033305417</v>
      </c>
      <c r="AF18" s="3">
        <f t="shared" si="4"/>
        <v>27.938779997056535</v>
      </c>
      <c r="AG18" s="3">
        <f t="shared" si="5"/>
        <v>27.099753397254535</v>
      </c>
      <c r="AH18" s="3">
        <f t="shared" si="6"/>
        <v>28.233205877031615</v>
      </c>
      <c r="AI18" s="3">
        <f t="shared" si="7"/>
        <v>24.453812678569427</v>
      </c>
      <c r="AJ18" s="3">
        <f t="shared" si="8"/>
        <v>20.878441221978928</v>
      </c>
      <c r="AK18" s="3">
        <f t="shared" si="9"/>
        <v>17.520128955123244</v>
      </c>
      <c r="AL18" s="3">
        <f t="shared" si="10"/>
        <v>18.404326963424683</v>
      </c>
      <c r="AM18" s="3">
        <f t="shared" si="11"/>
        <v>21.047733182804553</v>
      </c>
      <c r="AN18" s="3">
        <f t="shared" si="12"/>
        <v>25.50946791248937</v>
      </c>
      <c r="AO18" s="3">
        <f t="shared" si="13"/>
        <v>24.066980481147755</v>
      </c>
      <c r="AQ18">
        <v>1942</v>
      </c>
      <c r="AR18" s="3">
        <f t="shared" si="14"/>
        <v>25.4674911960479</v>
      </c>
      <c r="AS18" s="3">
        <f t="shared" si="15"/>
        <v>25.8759604423618</v>
      </c>
      <c r="AT18" s="3">
        <f t="shared" si="16"/>
        <v>27.9179246348719</v>
      </c>
      <c r="AU18" s="3">
        <f t="shared" si="17"/>
        <v>27.0597914162502</v>
      </c>
      <c r="AV18" s="3">
        <f t="shared" si="18"/>
        <v>28.2665352276393</v>
      </c>
      <c r="AW18" s="3">
        <f t="shared" si="19"/>
        <v>24.5023954963941</v>
      </c>
      <c r="AX18" s="3">
        <f t="shared" si="20"/>
        <v>21.8659616714054</v>
      </c>
      <c r="AY18" s="3">
        <f t="shared" si="21"/>
        <v>18.4118055483346</v>
      </c>
      <c r="AZ18" s="3">
        <f t="shared" si="22"/>
        <v>18.9479923698637</v>
      </c>
      <c r="BA18" s="3">
        <f t="shared" si="23"/>
        <v>20.9002572339068</v>
      </c>
      <c r="BB18" s="3">
        <f t="shared" si="24"/>
        <v>25.6879831544815</v>
      </c>
      <c r="BC18" s="3">
        <f t="shared" si="25"/>
        <v>24.0680610831579</v>
      </c>
    </row>
    <row r="19" spans="1:55" ht="15">
      <c r="A19">
        <v>1943</v>
      </c>
      <c r="B19" s="3">
        <v>24.262322396616778</v>
      </c>
      <c r="C19" s="3">
        <v>25.819424747660157</v>
      </c>
      <c r="D19" s="3">
        <v>28.78633605792958</v>
      </c>
      <c r="E19" s="3">
        <v>24.99587722157919</v>
      </c>
      <c r="F19" s="3">
        <v>24.672403744288843</v>
      </c>
      <c r="G19" s="3">
        <v>20.96435858118744</v>
      </c>
      <c r="H19" s="3">
        <v>8.14780326618089</v>
      </c>
      <c r="I19" s="3">
        <v>14.458789652650074</v>
      </c>
      <c r="J19" s="3">
        <v>6.4705258034997515</v>
      </c>
      <c r="K19" s="3">
        <v>16.492895887151192</v>
      </c>
      <c r="L19" s="3">
        <v>25.12072912416151</v>
      </c>
      <c r="M19" s="3">
        <v>25.371552836100257</v>
      </c>
      <c r="O19">
        <v>1943</v>
      </c>
      <c r="P19" s="4">
        <v>24.2763697385788</v>
      </c>
      <c r="Q19" s="4">
        <v>25.8006581985669</v>
      </c>
      <c r="R19" s="4">
        <v>28.7709050870711</v>
      </c>
      <c r="S19" s="4">
        <v>24.9651926366232</v>
      </c>
      <c r="T19" s="4">
        <v>24.6716663292476</v>
      </c>
      <c r="U19" s="4">
        <v>20.9771476775127</v>
      </c>
      <c r="V19" s="4">
        <v>9.26764307260513</v>
      </c>
      <c r="W19" s="4">
        <v>16.1053589067151</v>
      </c>
      <c r="X19" s="4">
        <v>7.80651469826698</v>
      </c>
      <c r="Y19" s="4">
        <v>15.8551146980135</v>
      </c>
      <c r="Z19" s="4">
        <v>25.1811606830166</v>
      </c>
      <c r="AA19" s="4">
        <v>25.1044528611501</v>
      </c>
      <c r="AC19">
        <v>1943</v>
      </c>
      <c r="AD19" s="3">
        <f t="shared" si="2"/>
        <v>24.262322396616778</v>
      </c>
      <c r="AE19" s="3">
        <f t="shared" si="3"/>
        <v>25.819424747660157</v>
      </c>
      <c r="AF19" s="3">
        <f t="shared" si="4"/>
        <v>28.78633605792958</v>
      </c>
      <c r="AG19" s="3">
        <f t="shared" si="5"/>
        <v>24.99587722157919</v>
      </c>
      <c r="AH19" s="3">
        <f t="shared" si="6"/>
        <v>24.672403744288843</v>
      </c>
      <c r="AI19" s="3">
        <f t="shared" si="7"/>
        <v>20.96435858118744</v>
      </c>
      <c r="AJ19" s="3">
        <f t="shared" si="8"/>
        <v>8.14780326618089</v>
      </c>
      <c r="AK19" s="3">
        <f t="shared" si="9"/>
        <v>14.458789652650074</v>
      </c>
      <c r="AL19" s="3">
        <f t="shared" si="10"/>
        <v>6.4705258034997515</v>
      </c>
      <c r="AM19" s="3">
        <f t="shared" si="11"/>
        <v>16.492895887151192</v>
      </c>
      <c r="AN19" s="3">
        <f t="shared" si="12"/>
        <v>25.12072912416151</v>
      </c>
      <c r="AO19" s="3">
        <f t="shared" si="13"/>
        <v>25.371552836100257</v>
      </c>
      <c r="AQ19">
        <v>1943</v>
      </c>
      <c r="AR19" s="3">
        <f t="shared" si="14"/>
        <v>24.2763697385788</v>
      </c>
      <c r="AS19" s="3">
        <f t="shared" si="15"/>
        <v>25.8006581985669</v>
      </c>
      <c r="AT19" s="3">
        <f t="shared" si="16"/>
        <v>28.7709050870711</v>
      </c>
      <c r="AU19" s="3">
        <f t="shared" si="17"/>
        <v>24.9651926366232</v>
      </c>
      <c r="AV19" s="3">
        <f t="shared" si="18"/>
        <v>24.6716663292476</v>
      </c>
      <c r="AW19" s="3">
        <f t="shared" si="19"/>
        <v>20.9771476775127</v>
      </c>
      <c r="AX19" s="3">
        <f t="shared" si="20"/>
        <v>9.26764307260513</v>
      </c>
      <c r="AY19" s="3">
        <f t="shared" si="21"/>
        <v>16.1053589067151</v>
      </c>
      <c r="AZ19" s="3">
        <f t="shared" si="22"/>
        <v>7.80651469826698</v>
      </c>
      <c r="BA19" s="3">
        <f t="shared" si="23"/>
        <v>15.8551146980135</v>
      </c>
      <c r="BB19" s="3">
        <f t="shared" si="24"/>
        <v>25.1811606830166</v>
      </c>
      <c r="BC19" s="3">
        <f t="shared" si="25"/>
        <v>25.1044528611501</v>
      </c>
    </row>
    <row r="20" spans="1:55" ht="15">
      <c r="A20">
        <v>1944</v>
      </c>
      <c r="B20" s="3">
        <v>23.50852381106346</v>
      </c>
      <c r="C20" s="3">
        <v>24.938848600242075</v>
      </c>
      <c r="D20" s="3">
        <v>29.507134675466887</v>
      </c>
      <c r="E20" s="3">
        <v>31.27778253196388</v>
      </c>
      <c r="F20" s="3">
        <v>32.5586153643472</v>
      </c>
      <c r="G20" s="3">
        <v>27.50175048582967</v>
      </c>
      <c r="H20" s="3">
        <v>23.239147235552473</v>
      </c>
      <c r="I20" s="3">
        <v>22.089115133849525</v>
      </c>
      <c r="J20" s="3">
        <v>26.96461680200364</v>
      </c>
      <c r="K20" s="3">
        <v>26.923364915386333</v>
      </c>
      <c r="L20" s="3">
        <v>27.53846087455749</v>
      </c>
      <c r="M20" s="3">
        <v>25.82734208742778</v>
      </c>
      <c r="O20">
        <v>1944</v>
      </c>
      <c r="P20" s="4">
        <v>23.3296145193038</v>
      </c>
      <c r="Q20" s="4">
        <v>24.7696718817114</v>
      </c>
      <c r="R20" s="4">
        <v>29.3200140712082</v>
      </c>
      <c r="S20" s="4">
        <v>31.1292700485517</v>
      </c>
      <c r="T20" s="4">
        <v>32.5447585855212</v>
      </c>
      <c r="U20" s="4">
        <v>27.5382401385506</v>
      </c>
      <c r="V20" s="4">
        <v>24.7653274472555</v>
      </c>
      <c r="W20" s="4">
        <v>23.7309578975042</v>
      </c>
      <c r="X20" s="4">
        <v>28.1772065374586</v>
      </c>
      <c r="Y20" s="4">
        <v>26.7887250659286</v>
      </c>
      <c r="Z20" s="4">
        <v>27.6993638730818</v>
      </c>
      <c r="AA20" s="4">
        <v>25.8007687648137</v>
      </c>
      <c r="AC20">
        <v>1944</v>
      </c>
      <c r="AD20" s="3">
        <f t="shared" si="2"/>
        <v>23.50852381106346</v>
      </c>
      <c r="AE20" s="3">
        <f t="shared" si="3"/>
        <v>24.938848600242075</v>
      </c>
      <c r="AF20" s="3">
        <f t="shared" si="4"/>
        <v>29.507134675466887</v>
      </c>
      <c r="AG20" s="3">
        <f t="shared" si="5"/>
        <v>31.27778253196388</v>
      </c>
      <c r="AH20" s="3">
        <f t="shared" si="6"/>
        <v>32.5586153643472</v>
      </c>
      <c r="AI20" s="3">
        <f t="shared" si="7"/>
        <v>27.50175048582967</v>
      </c>
      <c r="AJ20" s="3">
        <f t="shared" si="8"/>
        <v>23.239147235552473</v>
      </c>
      <c r="AK20" s="3">
        <f t="shared" si="9"/>
        <v>22.089115133849525</v>
      </c>
      <c r="AL20" s="3">
        <f t="shared" si="10"/>
        <v>26.96461680200364</v>
      </c>
      <c r="AM20" s="3">
        <f t="shared" si="11"/>
        <v>26.923364915386333</v>
      </c>
      <c r="AN20" s="3">
        <f t="shared" si="12"/>
        <v>27.53846087455749</v>
      </c>
      <c r="AO20" s="3">
        <f t="shared" si="13"/>
        <v>25.82734208742778</v>
      </c>
      <c r="AQ20">
        <v>1944</v>
      </c>
      <c r="AR20" s="3">
        <f t="shared" si="14"/>
        <v>23.3296145193038</v>
      </c>
      <c r="AS20" s="3">
        <f t="shared" si="15"/>
        <v>24.7696718817114</v>
      </c>
      <c r="AT20" s="3">
        <f t="shared" si="16"/>
        <v>29.3200140712082</v>
      </c>
      <c r="AU20" s="3">
        <f t="shared" si="17"/>
        <v>31.1292700485517</v>
      </c>
      <c r="AV20" s="3">
        <f t="shared" si="18"/>
        <v>32.5447585855212</v>
      </c>
      <c r="AW20" s="3">
        <f t="shared" si="19"/>
        <v>27.5382401385506</v>
      </c>
      <c r="AX20" s="3">
        <f t="shared" si="20"/>
        <v>24.7653274472555</v>
      </c>
      <c r="AY20" s="3">
        <f t="shared" si="21"/>
        <v>23.7309578975042</v>
      </c>
      <c r="AZ20" s="3">
        <f t="shared" si="22"/>
        <v>28.1772065374586</v>
      </c>
      <c r="BA20" s="3">
        <f t="shared" si="23"/>
        <v>26.7887250659286</v>
      </c>
      <c r="BB20" s="3">
        <f t="shared" si="24"/>
        <v>27.6993638730818</v>
      </c>
      <c r="BC20" s="3">
        <f t="shared" si="25"/>
        <v>25.8007687648137</v>
      </c>
    </row>
    <row r="21" spans="1:55" ht="15">
      <c r="A21">
        <v>1945</v>
      </c>
      <c r="B21" s="3">
        <v>25.7931098084296</v>
      </c>
      <c r="C21" s="3">
        <v>26.758173906125243</v>
      </c>
      <c r="D21" s="3">
        <v>31.502613131205248</v>
      </c>
      <c r="E21" s="3">
        <v>31.642220047468783</v>
      </c>
      <c r="F21" s="3">
        <v>31.25061019488743</v>
      </c>
      <c r="G21" s="3">
        <v>26.39446524213173</v>
      </c>
      <c r="H21" s="3">
        <v>24.099281481107088</v>
      </c>
      <c r="I21" s="3">
        <v>15.950869518967082</v>
      </c>
      <c r="J21" s="3">
        <v>17.331458759307854</v>
      </c>
      <c r="K21" s="3">
        <v>26.548273465710302</v>
      </c>
      <c r="L21" s="3">
        <v>27.028692387765442</v>
      </c>
      <c r="M21" s="3">
        <v>25.15441749731699</v>
      </c>
      <c r="O21">
        <v>1945</v>
      </c>
      <c r="P21" s="4">
        <v>25.8424860239029</v>
      </c>
      <c r="Q21" s="4">
        <v>26.7982667331061</v>
      </c>
      <c r="R21" s="4">
        <v>31.5159246726703</v>
      </c>
      <c r="S21" s="4">
        <v>31.6255174293313</v>
      </c>
      <c r="T21" s="4">
        <v>31.2326694829123</v>
      </c>
      <c r="U21" s="4">
        <v>26.4011562446245</v>
      </c>
      <c r="V21" s="4">
        <v>25.4022723038991</v>
      </c>
      <c r="W21" s="4">
        <v>17.0224552521142</v>
      </c>
      <c r="X21" s="4">
        <v>18.0005288706885</v>
      </c>
      <c r="Y21" s="4">
        <v>26.4615796204536</v>
      </c>
      <c r="Z21" s="4">
        <v>27.2051571507608</v>
      </c>
      <c r="AA21" s="4">
        <v>25.1634912109375</v>
      </c>
      <c r="AC21">
        <v>1945</v>
      </c>
      <c r="AD21" s="3">
        <f t="shared" si="2"/>
        <v>25.7931098084296</v>
      </c>
      <c r="AE21" s="3">
        <f t="shared" si="3"/>
        <v>26.758173906125243</v>
      </c>
      <c r="AF21" s="3">
        <f t="shared" si="4"/>
        <v>31.502613131205248</v>
      </c>
      <c r="AG21" s="3">
        <f t="shared" si="5"/>
        <v>31.642220047468783</v>
      </c>
      <c r="AH21" s="3">
        <f t="shared" si="6"/>
        <v>31.25061019488743</v>
      </c>
      <c r="AI21" s="3">
        <f t="shared" si="7"/>
        <v>26.39446524213173</v>
      </c>
      <c r="AJ21" s="3">
        <f t="shared" si="8"/>
        <v>24.099281481107088</v>
      </c>
      <c r="AK21" s="3">
        <f t="shared" si="9"/>
        <v>15.950869518967082</v>
      </c>
      <c r="AL21" s="3">
        <f t="shared" si="10"/>
        <v>17.331458759307854</v>
      </c>
      <c r="AM21" s="3">
        <f t="shared" si="11"/>
        <v>26.548273465710302</v>
      </c>
      <c r="AN21" s="3">
        <f t="shared" si="12"/>
        <v>27.028692387765442</v>
      </c>
      <c r="AO21" s="3">
        <f t="shared" si="13"/>
        <v>25.15441749731699</v>
      </c>
      <c r="AQ21">
        <v>1945</v>
      </c>
      <c r="AR21" s="3">
        <f t="shared" si="14"/>
        <v>25.8424860239029</v>
      </c>
      <c r="AS21" s="3">
        <f t="shared" si="15"/>
        <v>26.7982667331061</v>
      </c>
      <c r="AT21" s="3">
        <f t="shared" si="16"/>
        <v>31.5159246726703</v>
      </c>
      <c r="AU21" s="3">
        <f t="shared" si="17"/>
        <v>31.6255174293313</v>
      </c>
      <c r="AV21" s="3">
        <f t="shared" si="18"/>
        <v>31.2326694829123</v>
      </c>
      <c r="AW21" s="3">
        <f t="shared" si="19"/>
        <v>26.4011562446245</v>
      </c>
      <c r="AX21" s="3">
        <f t="shared" si="20"/>
        <v>25.4022723038991</v>
      </c>
      <c r="AY21" s="3">
        <f t="shared" si="21"/>
        <v>17.0224552521142</v>
      </c>
      <c r="AZ21" s="3">
        <f t="shared" si="22"/>
        <v>18.0005288706885</v>
      </c>
      <c r="BA21" s="3">
        <f t="shared" si="23"/>
        <v>26.4615796204536</v>
      </c>
      <c r="BB21" s="3">
        <f t="shared" si="24"/>
        <v>27.2051571507608</v>
      </c>
      <c r="BC21" s="3">
        <f t="shared" si="25"/>
        <v>25.1634912109375</v>
      </c>
    </row>
    <row r="22" spans="1:55" ht="15">
      <c r="A22">
        <v>1946</v>
      </c>
      <c r="B22" s="3">
        <v>24.043752704897233</v>
      </c>
      <c r="C22" s="3">
        <v>25.441355748778413</v>
      </c>
      <c r="D22" s="3">
        <v>29.1246966679891</v>
      </c>
      <c r="E22" s="3">
        <v>26.471975108628634</v>
      </c>
      <c r="F22" s="3">
        <v>27.339393445423674</v>
      </c>
      <c r="G22" s="3">
        <v>23.128482051717167</v>
      </c>
      <c r="H22" s="3">
        <v>15.051354827574553</v>
      </c>
      <c r="I22" s="3">
        <v>11.011773879169137</v>
      </c>
      <c r="J22" s="3">
        <v>16.902601265907286</v>
      </c>
      <c r="K22" s="3">
        <v>19.541094823934703</v>
      </c>
      <c r="L22" s="3">
        <v>25.793254880751316</v>
      </c>
      <c r="M22" s="3">
        <v>24.69911653359731</v>
      </c>
      <c r="O22">
        <v>1946</v>
      </c>
      <c r="P22" s="4">
        <v>24.0248744610817</v>
      </c>
      <c r="Q22" s="4">
        <v>25.4503961802521</v>
      </c>
      <c r="R22" s="4">
        <v>29.1489187404674</v>
      </c>
      <c r="S22" s="4">
        <v>26.4744616175211</v>
      </c>
      <c r="T22" s="4">
        <v>27.3859584263393</v>
      </c>
      <c r="U22" s="4">
        <v>23.153285822509</v>
      </c>
      <c r="V22" s="4">
        <v>16.0474996532334</v>
      </c>
      <c r="W22" s="4">
        <v>13.1101142848051</v>
      </c>
      <c r="X22" s="4">
        <v>17.8388799746831</v>
      </c>
      <c r="Y22" s="4">
        <v>19.5618970117261</v>
      </c>
      <c r="Z22" s="4">
        <v>26.0102527241553</v>
      </c>
      <c r="AA22" s="4">
        <v>24.7242105054855</v>
      </c>
      <c r="AC22">
        <v>1946</v>
      </c>
      <c r="AD22" s="3">
        <f t="shared" si="2"/>
        <v>24.043752704897233</v>
      </c>
      <c r="AE22" s="3">
        <f t="shared" si="3"/>
        <v>25.441355748778413</v>
      </c>
      <c r="AF22" s="3">
        <f t="shared" si="4"/>
        <v>29.1246966679891</v>
      </c>
      <c r="AG22" s="3">
        <f t="shared" si="5"/>
        <v>26.471975108628634</v>
      </c>
      <c r="AH22" s="3">
        <f t="shared" si="6"/>
        <v>27.339393445423674</v>
      </c>
      <c r="AI22" s="3">
        <f t="shared" si="7"/>
        <v>23.128482051717167</v>
      </c>
      <c r="AJ22" s="3">
        <f t="shared" si="8"/>
        <v>15.051354827574553</v>
      </c>
      <c r="AK22" s="3">
        <f t="shared" si="9"/>
        <v>11.011773879169137</v>
      </c>
      <c r="AL22" s="3">
        <f t="shared" si="10"/>
        <v>16.902601265907286</v>
      </c>
      <c r="AM22" s="3">
        <f t="shared" si="11"/>
        <v>19.541094823934703</v>
      </c>
      <c r="AN22" s="3">
        <f t="shared" si="12"/>
        <v>25.793254880751316</v>
      </c>
      <c r="AO22" s="3">
        <f t="shared" si="13"/>
        <v>24.69911653359731</v>
      </c>
      <c r="AQ22">
        <v>1946</v>
      </c>
      <c r="AR22" s="3">
        <f t="shared" si="14"/>
        <v>24.0248744610817</v>
      </c>
      <c r="AS22" s="3">
        <f t="shared" si="15"/>
        <v>25.4503961802521</v>
      </c>
      <c r="AT22" s="3">
        <f t="shared" si="16"/>
        <v>29.1489187404674</v>
      </c>
      <c r="AU22" s="3">
        <f t="shared" si="17"/>
        <v>26.4744616175211</v>
      </c>
      <c r="AV22" s="3">
        <f t="shared" si="18"/>
        <v>27.3859584263393</v>
      </c>
      <c r="AW22" s="3">
        <f t="shared" si="19"/>
        <v>23.153285822509</v>
      </c>
      <c r="AX22" s="3">
        <f t="shared" si="20"/>
        <v>16.0474996532334</v>
      </c>
      <c r="AY22" s="3">
        <f t="shared" si="21"/>
        <v>13.1101142848051</v>
      </c>
      <c r="AZ22" s="3">
        <f t="shared" si="22"/>
        <v>17.8388799746831</v>
      </c>
      <c r="BA22" s="3">
        <f t="shared" si="23"/>
        <v>19.5618970117261</v>
      </c>
      <c r="BB22" s="3">
        <f t="shared" si="24"/>
        <v>26.0102527241553</v>
      </c>
      <c r="BC22" s="3">
        <f t="shared" si="25"/>
        <v>24.7242105054855</v>
      </c>
    </row>
    <row r="23" spans="1:55" ht="15">
      <c r="A23">
        <v>1947</v>
      </c>
      <c r="B23" s="3">
        <v>24.466322255903673</v>
      </c>
      <c r="C23" s="3">
        <v>23.767852114837474</v>
      </c>
      <c r="D23" s="3">
        <v>22.95182598303723</v>
      </c>
      <c r="E23" s="3">
        <v>23.677250935185345</v>
      </c>
      <c r="F23" s="3">
        <v>23.050462824957698</v>
      </c>
      <c r="G23" s="3">
        <v>20.61831831577488</v>
      </c>
      <c r="H23" s="3">
        <v>18.201898810598582</v>
      </c>
      <c r="I23" s="3">
        <v>13.922569963239852</v>
      </c>
      <c r="J23" s="3">
        <v>17.76734144820108</v>
      </c>
      <c r="K23" s="3">
        <v>22.36013978629983</v>
      </c>
      <c r="L23" s="3">
        <v>26.603234576409857</v>
      </c>
      <c r="M23" s="3">
        <v>25.763199044863388</v>
      </c>
      <c r="O23">
        <v>1947</v>
      </c>
      <c r="P23" s="4">
        <v>24.438461529824</v>
      </c>
      <c r="Q23" s="4">
        <v>23.7659991381072</v>
      </c>
      <c r="R23" s="4">
        <v>22.9548630670835</v>
      </c>
      <c r="S23" s="4">
        <v>23.6710543732489</v>
      </c>
      <c r="T23" s="4">
        <v>23.0431315592357</v>
      </c>
      <c r="U23" s="4">
        <v>20.6283718115869</v>
      </c>
      <c r="V23" s="4">
        <v>19.1083258165254</v>
      </c>
      <c r="W23" s="4">
        <v>15.4148345287128</v>
      </c>
      <c r="X23" s="4">
        <v>18.6871579024527</v>
      </c>
      <c r="Y23" s="4">
        <v>22.3110090386483</v>
      </c>
      <c r="Z23" s="4">
        <v>26.8194302343553</v>
      </c>
      <c r="AA23" s="4">
        <v>25.7093893877665</v>
      </c>
      <c r="AC23">
        <v>1947</v>
      </c>
      <c r="AD23" s="3">
        <f t="shared" si="2"/>
        <v>24.466322255903673</v>
      </c>
      <c r="AE23" s="3">
        <f t="shared" si="3"/>
        <v>23.767852114837474</v>
      </c>
      <c r="AF23" s="3">
        <f t="shared" si="4"/>
        <v>22.95182598303723</v>
      </c>
      <c r="AG23" s="3">
        <f t="shared" si="5"/>
        <v>23.677250935185345</v>
      </c>
      <c r="AH23" s="3">
        <f t="shared" si="6"/>
        <v>23.050462824957698</v>
      </c>
      <c r="AI23" s="3">
        <f t="shared" si="7"/>
        <v>20.61831831577488</v>
      </c>
      <c r="AJ23" s="3">
        <f t="shared" si="8"/>
        <v>18.201898810598582</v>
      </c>
      <c r="AK23" s="3">
        <f t="shared" si="9"/>
        <v>13.922569963239852</v>
      </c>
      <c r="AL23" s="3">
        <f t="shared" si="10"/>
        <v>17.76734144820108</v>
      </c>
      <c r="AM23" s="3">
        <f t="shared" si="11"/>
        <v>22.36013978629983</v>
      </c>
      <c r="AN23" s="3">
        <f t="shared" si="12"/>
        <v>26.603234576409857</v>
      </c>
      <c r="AO23" s="3">
        <f t="shared" si="13"/>
        <v>25.763199044863388</v>
      </c>
      <c r="AQ23">
        <v>1947</v>
      </c>
      <c r="AR23" s="3">
        <f t="shared" si="14"/>
        <v>24.438461529824</v>
      </c>
      <c r="AS23" s="3">
        <f t="shared" si="15"/>
        <v>23.7659991381072</v>
      </c>
      <c r="AT23" s="3">
        <f t="shared" si="16"/>
        <v>22.9548630670835</v>
      </c>
      <c r="AU23" s="3">
        <f t="shared" si="17"/>
        <v>23.6710543732489</v>
      </c>
      <c r="AV23" s="3">
        <f t="shared" si="18"/>
        <v>23.0431315592357</v>
      </c>
      <c r="AW23" s="3">
        <f t="shared" si="19"/>
        <v>20.6283718115869</v>
      </c>
      <c r="AX23" s="3">
        <f t="shared" si="20"/>
        <v>19.1083258165254</v>
      </c>
      <c r="AY23" s="3">
        <f t="shared" si="21"/>
        <v>15.4148345287128</v>
      </c>
      <c r="AZ23" s="3">
        <f t="shared" si="22"/>
        <v>18.6871579024527</v>
      </c>
      <c r="BA23" s="3">
        <f t="shared" si="23"/>
        <v>22.3110090386483</v>
      </c>
      <c r="BB23" s="3">
        <f t="shared" si="24"/>
        <v>26.8194302343553</v>
      </c>
      <c r="BC23" s="3">
        <f t="shared" si="25"/>
        <v>25.7093893877665</v>
      </c>
    </row>
    <row r="24" spans="1:55" ht="15">
      <c r="A24">
        <v>1948</v>
      </c>
      <c r="B24" s="3">
        <v>19.689208359103056</v>
      </c>
      <c r="C24" s="3">
        <v>23.957975380099917</v>
      </c>
      <c r="D24" s="3">
        <v>27.415995142024048</v>
      </c>
      <c r="E24" s="3">
        <v>23.97716525011166</v>
      </c>
      <c r="F24" s="3">
        <v>26.083946268899105</v>
      </c>
      <c r="G24" s="3">
        <v>23.00638543311231</v>
      </c>
      <c r="H24" s="3">
        <v>19.172965689765086</v>
      </c>
      <c r="I24" s="3">
        <v>8.15435757608984</v>
      </c>
      <c r="J24" s="3">
        <v>7.910865602228379</v>
      </c>
      <c r="K24" s="3">
        <v>19.242072764006984</v>
      </c>
      <c r="L24" s="3">
        <v>21.944939515667578</v>
      </c>
      <c r="M24" s="3">
        <v>24.1200816822052</v>
      </c>
      <c r="O24">
        <v>1948</v>
      </c>
      <c r="P24" s="4">
        <v>19.7063047470585</v>
      </c>
      <c r="Q24" s="4">
        <v>23.9424980008817</v>
      </c>
      <c r="R24" s="4">
        <v>27.3937461212117</v>
      </c>
      <c r="S24" s="4">
        <v>23.981783808944</v>
      </c>
      <c r="T24" s="4">
        <v>26.0699096611568</v>
      </c>
      <c r="U24" s="4">
        <v>22.9706461144007</v>
      </c>
      <c r="V24" s="4">
        <v>20.0209763579898</v>
      </c>
      <c r="W24" s="4">
        <v>8.55071168654869</v>
      </c>
      <c r="X24" s="4">
        <v>8.00451678898599</v>
      </c>
      <c r="Y24" s="4">
        <v>18.966003146351</v>
      </c>
      <c r="Z24" s="4">
        <v>22.1391325650677</v>
      </c>
      <c r="AA24" s="4">
        <v>23.9870406230291</v>
      </c>
      <c r="AC24">
        <v>1948</v>
      </c>
      <c r="AD24" s="3">
        <f t="shared" si="2"/>
        <v>19.689208359103056</v>
      </c>
      <c r="AE24" s="3">
        <f t="shared" si="3"/>
        <v>23.957975380099917</v>
      </c>
      <c r="AF24" s="3">
        <f t="shared" si="4"/>
        <v>27.415995142024048</v>
      </c>
      <c r="AG24" s="3">
        <f t="shared" si="5"/>
        <v>23.97716525011166</v>
      </c>
      <c r="AH24" s="3">
        <f t="shared" si="6"/>
        <v>26.083946268899105</v>
      </c>
      <c r="AI24" s="3">
        <f t="shared" si="7"/>
        <v>23.00638543311231</v>
      </c>
      <c r="AJ24" s="3">
        <f t="shared" si="8"/>
        <v>19.172965689765086</v>
      </c>
      <c r="AK24" s="3">
        <f t="shared" si="9"/>
        <v>8.15435757608984</v>
      </c>
      <c r="AL24" s="3">
        <f t="shared" si="10"/>
        <v>7.910865602228379</v>
      </c>
      <c r="AM24" s="3">
        <f t="shared" si="11"/>
        <v>19.242072764006984</v>
      </c>
      <c r="AN24" s="3">
        <f t="shared" si="12"/>
        <v>21.944939515667578</v>
      </c>
      <c r="AO24" s="3">
        <f t="shared" si="13"/>
        <v>24.1200816822052</v>
      </c>
      <c r="AQ24">
        <v>1948</v>
      </c>
      <c r="AR24" s="3">
        <f t="shared" si="14"/>
        <v>19.7063047470585</v>
      </c>
      <c r="AS24" s="3">
        <f t="shared" si="15"/>
        <v>23.9424980008817</v>
      </c>
      <c r="AT24" s="3">
        <f t="shared" si="16"/>
        <v>27.3937461212117</v>
      </c>
      <c r="AU24" s="3">
        <f t="shared" si="17"/>
        <v>23.981783808944</v>
      </c>
      <c r="AV24" s="3">
        <f t="shared" si="18"/>
        <v>26.0699096611568</v>
      </c>
      <c r="AW24" s="3">
        <f t="shared" si="19"/>
        <v>22.9706461144007</v>
      </c>
      <c r="AX24" s="3">
        <f t="shared" si="20"/>
        <v>20.0209763579898</v>
      </c>
      <c r="AY24" s="3">
        <f t="shared" si="21"/>
        <v>8.55071168654869</v>
      </c>
      <c r="AZ24" s="3">
        <f t="shared" si="22"/>
        <v>8.00451678898599</v>
      </c>
      <c r="BA24" s="3">
        <f t="shared" si="23"/>
        <v>18.966003146351</v>
      </c>
      <c r="BB24" s="3">
        <f t="shared" si="24"/>
        <v>22.1391325650677</v>
      </c>
      <c r="BC24" s="3">
        <f t="shared" si="25"/>
        <v>23.9870406230291</v>
      </c>
    </row>
    <row r="25" spans="1:55" ht="15">
      <c r="A25">
        <v>1949</v>
      </c>
      <c r="B25" s="3">
        <v>23.76515307195725</v>
      </c>
      <c r="C25" s="3">
        <v>26.826009349452647</v>
      </c>
      <c r="D25" s="3">
        <v>28.873250855681704</v>
      </c>
      <c r="E25" s="3">
        <v>26.668272271720305</v>
      </c>
      <c r="F25" s="3">
        <v>26.146911590439924</v>
      </c>
      <c r="G25" s="3">
        <v>19.583472162653592</v>
      </c>
      <c r="H25" s="3">
        <v>15.83625678857168</v>
      </c>
      <c r="I25" s="3">
        <v>8.675287678996504</v>
      </c>
      <c r="J25" s="3">
        <v>15.808550603522198</v>
      </c>
      <c r="K25" s="3">
        <v>25.490307528485534</v>
      </c>
      <c r="L25" s="3">
        <v>26.73923433134633</v>
      </c>
      <c r="M25" s="3">
        <v>24.81002146561941</v>
      </c>
      <c r="O25">
        <v>1949</v>
      </c>
      <c r="P25" s="4">
        <v>23.6844064520251</v>
      </c>
      <c r="Q25" s="4">
        <v>26.8061917161479</v>
      </c>
      <c r="R25" s="4">
        <v>28.7650539926303</v>
      </c>
      <c r="S25" s="4">
        <v>26.6901658940059</v>
      </c>
      <c r="T25" s="4">
        <v>26.18510724817</v>
      </c>
      <c r="U25" s="4">
        <v>19.6481862962487</v>
      </c>
      <c r="V25" s="4">
        <v>16.6879349157545</v>
      </c>
      <c r="W25" s="4">
        <v>10.1041343979537</v>
      </c>
      <c r="X25" s="4">
        <v>16.6950387159983</v>
      </c>
      <c r="Y25" s="4">
        <v>25.1966348396835</v>
      </c>
      <c r="Z25" s="4">
        <v>26.8376764520522</v>
      </c>
      <c r="AA25" s="4">
        <v>24.8197517871857</v>
      </c>
      <c r="AC25">
        <v>1949</v>
      </c>
      <c r="AD25" s="3">
        <f t="shared" si="2"/>
        <v>23.76515307195725</v>
      </c>
      <c r="AE25" s="3">
        <f t="shared" si="3"/>
        <v>26.826009349452647</v>
      </c>
      <c r="AF25" s="3">
        <f t="shared" si="4"/>
        <v>28.873250855681704</v>
      </c>
      <c r="AG25" s="3">
        <f t="shared" si="5"/>
        <v>26.668272271720305</v>
      </c>
      <c r="AH25" s="3">
        <f t="shared" si="6"/>
        <v>26.146911590439924</v>
      </c>
      <c r="AI25" s="3">
        <f t="shared" si="7"/>
        <v>19.583472162653592</v>
      </c>
      <c r="AJ25" s="3">
        <f t="shared" si="8"/>
        <v>15.83625678857168</v>
      </c>
      <c r="AK25" s="3">
        <f t="shared" si="9"/>
        <v>8.675287678996504</v>
      </c>
      <c r="AL25" s="3">
        <f t="shared" si="10"/>
        <v>15.808550603522198</v>
      </c>
      <c r="AM25" s="3">
        <f t="shared" si="11"/>
        <v>25.490307528485534</v>
      </c>
      <c r="AN25" s="3">
        <f t="shared" si="12"/>
        <v>26.73923433134633</v>
      </c>
      <c r="AO25" s="3">
        <f t="shared" si="13"/>
        <v>24.81002146561941</v>
      </c>
      <c r="AQ25">
        <v>1949</v>
      </c>
      <c r="AR25" s="3">
        <f t="shared" si="14"/>
        <v>23.6844064520251</v>
      </c>
      <c r="AS25" s="3">
        <f t="shared" si="15"/>
        <v>26.8061917161479</v>
      </c>
      <c r="AT25" s="3">
        <f t="shared" si="16"/>
        <v>28.7650539926303</v>
      </c>
      <c r="AU25" s="3">
        <f t="shared" si="17"/>
        <v>26.6901658940059</v>
      </c>
      <c r="AV25" s="3">
        <f t="shared" si="18"/>
        <v>26.18510724817</v>
      </c>
      <c r="AW25" s="3">
        <f t="shared" si="19"/>
        <v>19.6481862962487</v>
      </c>
      <c r="AX25" s="3">
        <f t="shared" si="20"/>
        <v>16.6879349157545</v>
      </c>
      <c r="AY25" s="3">
        <f t="shared" si="21"/>
        <v>10.1041343979537</v>
      </c>
      <c r="AZ25" s="3">
        <f t="shared" si="22"/>
        <v>16.6950387159983</v>
      </c>
      <c r="BA25" s="3">
        <f t="shared" si="23"/>
        <v>25.1966348396835</v>
      </c>
      <c r="BB25" s="3">
        <f t="shared" si="24"/>
        <v>26.8376764520522</v>
      </c>
      <c r="BC25" s="3">
        <f>MAX(AA25,0)</f>
        <v>24.8197517871857</v>
      </c>
    </row>
    <row r="26" spans="1:55" ht="15">
      <c r="A26">
        <v>1950</v>
      </c>
      <c r="B26" s="3">
        <v>25.240311285757254</v>
      </c>
      <c r="C26" s="3">
        <v>26.47097179277926</v>
      </c>
      <c r="D26" s="3">
        <v>30.664956249216562</v>
      </c>
      <c r="E26" s="3">
        <v>24.14751006864732</v>
      </c>
      <c r="F26" s="3">
        <v>23.040717193058562</v>
      </c>
      <c r="G26" s="3">
        <v>20.07891043442255</v>
      </c>
      <c r="H26" s="3">
        <v>14.80560049613317</v>
      </c>
      <c r="I26" s="3">
        <v>14.136671940934269</v>
      </c>
      <c r="J26" s="3">
        <v>6.219313260995678</v>
      </c>
      <c r="K26" s="3">
        <v>11.70990472461588</v>
      </c>
      <c r="L26" s="3">
        <v>22.55547776299138</v>
      </c>
      <c r="M26" s="3">
        <v>25.67622903029123</v>
      </c>
      <c r="O26">
        <v>1950</v>
      </c>
      <c r="P26" s="4">
        <v>25.2461202313823</v>
      </c>
      <c r="Q26" s="4">
        <v>26.4860964490041</v>
      </c>
      <c r="R26" s="4">
        <v>30.7684857014687</v>
      </c>
      <c r="S26" s="4">
        <v>24.1605892004505</v>
      </c>
      <c r="T26" s="4">
        <v>23.0526505844934</v>
      </c>
      <c r="U26" s="4">
        <v>20.070362588663</v>
      </c>
      <c r="V26" s="4">
        <v>15.871168030103</v>
      </c>
      <c r="W26" s="4">
        <v>15.6926403199473</v>
      </c>
      <c r="X26" s="4">
        <v>7.19438371360302</v>
      </c>
      <c r="Y26" s="4">
        <v>11.7934208453373</v>
      </c>
      <c r="Z26" s="4">
        <v>22.4239552074863</v>
      </c>
      <c r="AA26" s="4">
        <v>25.3488518301646</v>
      </c>
      <c r="AC26">
        <v>1950</v>
      </c>
      <c r="AD26" s="3">
        <f t="shared" si="2"/>
        <v>25.240311285757254</v>
      </c>
      <c r="AE26" s="3">
        <f t="shared" si="3"/>
        <v>26.47097179277926</v>
      </c>
      <c r="AF26" s="3">
        <f t="shared" si="4"/>
        <v>30.664956249216562</v>
      </c>
      <c r="AG26" s="3">
        <f t="shared" si="5"/>
        <v>24.14751006864732</v>
      </c>
      <c r="AH26" s="3">
        <f t="shared" si="6"/>
        <v>23.040717193058562</v>
      </c>
      <c r="AI26" s="3">
        <f t="shared" si="7"/>
        <v>20.07891043442255</v>
      </c>
      <c r="AJ26" s="3">
        <f t="shared" si="8"/>
        <v>14.80560049613317</v>
      </c>
      <c r="AK26" s="3">
        <f t="shared" si="9"/>
        <v>14.136671940934269</v>
      </c>
      <c r="AL26" s="3">
        <f t="shared" si="10"/>
        <v>6.219313260995678</v>
      </c>
      <c r="AM26" s="3">
        <f t="shared" si="11"/>
        <v>11.70990472461588</v>
      </c>
      <c r="AN26" s="3">
        <f t="shared" si="12"/>
        <v>22.55547776299138</v>
      </c>
      <c r="AO26" s="3">
        <f t="shared" si="13"/>
        <v>25.67622903029123</v>
      </c>
      <c r="AQ26">
        <v>1950</v>
      </c>
      <c r="AR26" s="3">
        <f t="shared" si="14"/>
        <v>25.2461202313823</v>
      </c>
      <c r="AS26" s="3">
        <f t="shared" si="15"/>
        <v>26.4860964490041</v>
      </c>
      <c r="AT26" s="3">
        <f t="shared" si="16"/>
        <v>30.7684857014687</v>
      </c>
      <c r="AU26" s="3">
        <f t="shared" si="17"/>
        <v>24.1605892004505</v>
      </c>
      <c r="AV26" s="3">
        <f t="shared" si="18"/>
        <v>23.0526505844934</v>
      </c>
      <c r="AW26" s="3">
        <f t="shared" si="19"/>
        <v>20.070362588663</v>
      </c>
      <c r="AX26" s="3">
        <f t="shared" si="20"/>
        <v>15.871168030103</v>
      </c>
      <c r="AY26" s="3">
        <f t="shared" si="21"/>
        <v>15.6926403199473</v>
      </c>
      <c r="AZ26" s="3">
        <f t="shared" si="22"/>
        <v>7.19438371360302</v>
      </c>
      <c r="BA26" s="3">
        <f t="shared" si="23"/>
        <v>11.7934208453373</v>
      </c>
      <c r="BB26" s="3">
        <f t="shared" si="24"/>
        <v>22.4239552074863</v>
      </c>
      <c r="BC26" s="3">
        <f t="shared" si="25"/>
        <v>25.3488518301646</v>
      </c>
    </row>
    <row r="27" spans="1:55" ht="15">
      <c r="A27">
        <v>1951</v>
      </c>
      <c r="B27" s="3">
        <v>22.47638399524074</v>
      </c>
      <c r="C27" s="3">
        <v>22.844449404506175</v>
      </c>
      <c r="D27" s="3">
        <v>23.3320567541225</v>
      </c>
      <c r="E27" s="3">
        <v>21.67256420171389</v>
      </c>
      <c r="F27" s="3">
        <v>19.803255083518373</v>
      </c>
      <c r="G27" s="3">
        <v>16.594055009666405</v>
      </c>
      <c r="H27" s="3">
        <v>14.571715718640224</v>
      </c>
      <c r="I27" s="3">
        <v>11.045218034873725</v>
      </c>
      <c r="J27" s="3">
        <v>17.43899845547147</v>
      </c>
      <c r="K27" s="3">
        <v>19.365821541124767</v>
      </c>
      <c r="L27" s="3">
        <v>26.081569737003697</v>
      </c>
      <c r="M27" s="3">
        <v>25.230391764640814</v>
      </c>
      <c r="O27">
        <v>1951</v>
      </c>
      <c r="P27" s="4">
        <v>22.434738729077</v>
      </c>
      <c r="Q27" s="4">
        <v>22.8389768823341</v>
      </c>
      <c r="R27" s="4">
        <v>23.3258416383497</v>
      </c>
      <c r="S27" s="4">
        <v>21.8003185778536</v>
      </c>
      <c r="T27" s="4">
        <v>19.8947354469981</v>
      </c>
      <c r="U27" s="4">
        <v>16.6898559485794</v>
      </c>
      <c r="V27" s="4">
        <v>15.5703461837769</v>
      </c>
      <c r="W27" s="4">
        <v>13.2814031351638</v>
      </c>
      <c r="X27" s="4">
        <v>18.3268752707375</v>
      </c>
      <c r="Y27" s="4">
        <v>19.3237407708681</v>
      </c>
      <c r="Z27" s="4">
        <v>26.3714636518109</v>
      </c>
      <c r="AA27" s="4">
        <v>25.2241930262248</v>
      </c>
      <c r="AC27">
        <v>1951</v>
      </c>
      <c r="AD27" s="3">
        <f t="shared" si="2"/>
        <v>22.47638399524074</v>
      </c>
      <c r="AE27" s="3">
        <f t="shared" si="3"/>
        <v>22.844449404506175</v>
      </c>
      <c r="AF27" s="3">
        <f t="shared" si="4"/>
        <v>23.3320567541225</v>
      </c>
      <c r="AG27" s="3">
        <f t="shared" si="5"/>
        <v>21.67256420171389</v>
      </c>
      <c r="AH27" s="3">
        <f t="shared" si="6"/>
        <v>19.803255083518373</v>
      </c>
      <c r="AI27" s="3">
        <f t="shared" si="7"/>
        <v>16.594055009666405</v>
      </c>
      <c r="AJ27" s="3">
        <f t="shared" si="8"/>
        <v>14.571715718640224</v>
      </c>
      <c r="AK27" s="3">
        <f t="shared" si="9"/>
        <v>11.045218034873725</v>
      </c>
      <c r="AL27" s="3">
        <f t="shared" si="10"/>
        <v>17.43899845547147</v>
      </c>
      <c r="AM27" s="3">
        <f t="shared" si="11"/>
        <v>19.365821541124767</v>
      </c>
      <c r="AN27" s="3">
        <f t="shared" si="12"/>
        <v>26.081569737003697</v>
      </c>
      <c r="AO27" s="3">
        <f t="shared" si="13"/>
        <v>25.230391764640814</v>
      </c>
      <c r="AQ27">
        <v>1951</v>
      </c>
      <c r="AR27" s="3">
        <f t="shared" si="14"/>
        <v>22.434738729077</v>
      </c>
      <c r="AS27" s="3">
        <f t="shared" si="15"/>
        <v>22.8389768823341</v>
      </c>
      <c r="AT27" s="3">
        <f t="shared" si="16"/>
        <v>23.3258416383497</v>
      </c>
      <c r="AU27" s="3">
        <f t="shared" si="17"/>
        <v>21.8003185778536</v>
      </c>
      <c r="AV27" s="3">
        <f t="shared" si="18"/>
        <v>19.8947354469981</v>
      </c>
      <c r="AW27" s="3">
        <f t="shared" si="19"/>
        <v>16.6898559485794</v>
      </c>
      <c r="AX27" s="3">
        <f t="shared" si="20"/>
        <v>15.5703461837769</v>
      </c>
      <c r="AY27" s="3">
        <f t="shared" si="21"/>
        <v>13.2814031351638</v>
      </c>
      <c r="AZ27" s="3">
        <f t="shared" si="22"/>
        <v>18.3268752707375</v>
      </c>
      <c r="BA27" s="3">
        <f t="shared" si="23"/>
        <v>19.3237407708681</v>
      </c>
      <c r="BB27" s="3">
        <f t="shared" si="24"/>
        <v>26.3714636518109</v>
      </c>
      <c r="BC27" s="3">
        <f t="shared" si="25"/>
        <v>25.2241930262248</v>
      </c>
    </row>
    <row r="28" spans="1:55" ht="15">
      <c r="A28">
        <v>1952</v>
      </c>
      <c r="B28" s="3">
        <v>20.300692010694938</v>
      </c>
      <c r="C28" s="3">
        <v>24.188845127498556</v>
      </c>
      <c r="D28" s="3">
        <v>25.639155597071486</v>
      </c>
      <c r="E28" s="3">
        <v>24.727536583972228</v>
      </c>
      <c r="F28" s="3">
        <v>24.070963062558857</v>
      </c>
      <c r="G28" s="3">
        <v>22.69367969841527</v>
      </c>
      <c r="H28" s="3">
        <v>13.676495428681381</v>
      </c>
      <c r="I28" s="3">
        <v>6.209290861474572</v>
      </c>
      <c r="J28" s="3">
        <v>15.773811417155798</v>
      </c>
      <c r="K28" s="3">
        <v>21.20512300229842</v>
      </c>
      <c r="L28" s="3">
        <v>25.304587011952542</v>
      </c>
      <c r="M28" s="3">
        <v>25.657255797386163</v>
      </c>
      <c r="O28">
        <v>1952</v>
      </c>
      <c r="P28" s="4">
        <v>20.3115164372229</v>
      </c>
      <c r="Q28" s="4">
        <v>24.2077412209795</v>
      </c>
      <c r="R28" s="4">
        <v>25.6476397975799</v>
      </c>
      <c r="S28" s="4">
        <v>24.7244403390474</v>
      </c>
      <c r="T28" s="4">
        <v>24.0904340914318</v>
      </c>
      <c r="U28" s="4">
        <v>22.7113667281447</v>
      </c>
      <c r="V28" s="4">
        <v>14.448132944372</v>
      </c>
      <c r="W28" s="4">
        <v>7.23988941279791</v>
      </c>
      <c r="X28" s="4">
        <v>16.7507548385196</v>
      </c>
      <c r="Y28" s="4">
        <v>21.0272692685486</v>
      </c>
      <c r="Z28" s="4">
        <v>25.4870116203062</v>
      </c>
      <c r="AA28" s="4">
        <v>25.5813103040059</v>
      </c>
      <c r="AC28">
        <v>1952</v>
      </c>
      <c r="AD28" s="3">
        <f t="shared" si="2"/>
        <v>20.300692010694938</v>
      </c>
      <c r="AE28" s="3">
        <f t="shared" si="3"/>
        <v>24.188845127498556</v>
      </c>
      <c r="AF28" s="3">
        <f t="shared" si="4"/>
        <v>25.639155597071486</v>
      </c>
      <c r="AG28" s="3">
        <f t="shared" si="5"/>
        <v>24.727536583972228</v>
      </c>
      <c r="AH28" s="3">
        <f t="shared" si="6"/>
        <v>24.070963062558857</v>
      </c>
      <c r="AI28" s="3">
        <f t="shared" si="7"/>
        <v>22.69367969841527</v>
      </c>
      <c r="AJ28" s="3">
        <f t="shared" si="8"/>
        <v>13.676495428681381</v>
      </c>
      <c r="AK28" s="3">
        <f t="shared" si="9"/>
        <v>6.209290861474572</v>
      </c>
      <c r="AL28" s="3">
        <f t="shared" si="10"/>
        <v>15.773811417155798</v>
      </c>
      <c r="AM28" s="3">
        <f t="shared" si="11"/>
        <v>21.20512300229842</v>
      </c>
      <c r="AN28" s="3">
        <f t="shared" si="12"/>
        <v>25.304587011952542</v>
      </c>
      <c r="AO28" s="3">
        <f t="shared" si="13"/>
        <v>25.657255797386163</v>
      </c>
      <c r="AQ28">
        <v>1952</v>
      </c>
      <c r="AR28" s="3">
        <f t="shared" si="14"/>
        <v>20.3115164372229</v>
      </c>
      <c r="AS28" s="3">
        <f t="shared" si="15"/>
        <v>24.2077412209795</v>
      </c>
      <c r="AT28" s="3">
        <f t="shared" si="16"/>
        <v>25.6476397975799</v>
      </c>
      <c r="AU28" s="3">
        <f t="shared" si="17"/>
        <v>24.7244403390474</v>
      </c>
      <c r="AV28" s="3">
        <f t="shared" si="18"/>
        <v>24.0904340914318</v>
      </c>
      <c r="AW28" s="3">
        <f t="shared" si="19"/>
        <v>22.7113667281447</v>
      </c>
      <c r="AX28" s="3">
        <f t="shared" si="20"/>
        <v>14.448132944372</v>
      </c>
      <c r="AY28" s="3">
        <f t="shared" si="21"/>
        <v>7.23988941279791</v>
      </c>
      <c r="AZ28" s="3">
        <f t="shared" si="22"/>
        <v>16.7507548385196</v>
      </c>
      <c r="BA28" s="3">
        <f t="shared" si="23"/>
        <v>21.0272692685486</v>
      </c>
      <c r="BB28" s="3">
        <f t="shared" si="24"/>
        <v>25.4870116203062</v>
      </c>
      <c r="BC28" s="3">
        <f t="shared" si="25"/>
        <v>25.5813103040059</v>
      </c>
    </row>
    <row r="29" spans="1:55" ht="15">
      <c r="A29">
        <v>1953</v>
      </c>
      <c r="B29" s="3">
        <v>24.63298684781597</v>
      </c>
      <c r="C29" s="3">
        <v>26.877034188110525</v>
      </c>
      <c r="D29" s="3">
        <v>30.86542700080461</v>
      </c>
      <c r="E29" s="3">
        <v>27.096964477210907</v>
      </c>
      <c r="F29" s="3">
        <v>24.49423341751098</v>
      </c>
      <c r="G29" s="3">
        <v>22.735976054466267</v>
      </c>
      <c r="H29" s="3">
        <v>20.169373511208438</v>
      </c>
      <c r="I29" s="3">
        <v>15.216335966894713</v>
      </c>
      <c r="J29" s="3">
        <v>5.738060572412279</v>
      </c>
      <c r="K29" s="3">
        <v>16.561302248957332</v>
      </c>
      <c r="L29" s="3">
        <v>24.326476218623498</v>
      </c>
      <c r="M29" s="3">
        <v>24.03716681162516</v>
      </c>
      <c r="O29">
        <v>1953</v>
      </c>
      <c r="P29" s="4">
        <v>24.509559567513</v>
      </c>
      <c r="Q29" s="4">
        <v>26.8159995569766</v>
      </c>
      <c r="R29" s="4">
        <v>30.7471804111235</v>
      </c>
      <c r="S29" s="4">
        <v>27.0703050039148</v>
      </c>
      <c r="T29" s="4">
        <v>24.4912414550781</v>
      </c>
      <c r="U29" s="4">
        <v>22.7851950714758</v>
      </c>
      <c r="V29" s="4">
        <v>21.5609759304259</v>
      </c>
      <c r="W29" s="4">
        <v>16.3727387894866</v>
      </c>
      <c r="X29" s="4">
        <v>6.38541140490108</v>
      </c>
      <c r="Y29" s="4">
        <v>15.9831387984817</v>
      </c>
      <c r="Z29" s="4">
        <v>24.3855410429739</v>
      </c>
      <c r="AA29" s="4">
        <v>23.9250864426295</v>
      </c>
      <c r="AC29">
        <v>1953</v>
      </c>
      <c r="AD29" s="3">
        <f t="shared" si="2"/>
        <v>24.63298684781597</v>
      </c>
      <c r="AE29" s="3">
        <f t="shared" si="3"/>
        <v>26.877034188110525</v>
      </c>
      <c r="AF29" s="3">
        <f t="shared" si="4"/>
        <v>30.86542700080461</v>
      </c>
      <c r="AG29" s="3">
        <f t="shared" si="5"/>
        <v>27.096964477210907</v>
      </c>
      <c r="AH29" s="3">
        <f t="shared" si="6"/>
        <v>24.49423341751098</v>
      </c>
      <c r="AI29" s="3">
        <f t="shared" si="7"/>
        <v>22.735976054466267</v>
      </c>
      <c r="AJ29" s="3">
        <f t="shared" si="8"/>
        <v>20.169373511208438</v>
      </c>
      <c r="AK29" s="3">
        <f t="shared" si="9"/>
        <v>15.216335966894713</v>
      </c>
      <c r="AL29" s="3">
        <f t="shared" si="10"/>
        <v>5.738060572412279</v>
      </c>
      <c r="AM29" s="3">
        <f t="shared" si="11"/>
        <v>16.561302248957332</v>
      </c>
      <c r="AN29" s="3">
        <f t="shared" si="12"/>
        <v>24.326476218623498</v>
      </c>
      <c r="AO29" s="3">
        <f t="shared" si="13"/>
        <v>24.03716681162516</v>
      </c>
      <c r="AQ29">
        <v>1953</v>
      </c>
      <c r="AR29" s="3">
        <f t="shared" si="14"/>
        <v>24.509559567513</v>
      </c>
      <c r="AS29" s="3">
        <f t="shared" si="15"/>
        <v>26.8159995569766</v>
      </c>
      <c r="AT29" s="3">
        <f t="shared" si="16"/>
        <v>30.7471804111235</v>
      </c>
      <c r="AU29" s="3">
        <f t="shared" si="17"/>
        <v>27.0703050039148</v>
      </c>
      <c r="AV29" s="3">
        <f t="shared" si="18"/>
        <v>24.4912414550781</v>
      </c>
      <c r="AW29" s="3">
        <f t="shared" si="19"/>
        <v>22.7851950714758</v>
      </c>
      <c r="AX29" s="3">
        <f t="shared" si="20"/>
        <v>21.5609759304259</v>
      </c>
      <c r="AY29" s="3">
        <f t="shared" si="21"/>
        <v>16.3727387894866</v>
      </c>
      <c r="AZ29" s="3">
        <f t="shared" si="22"/>
        <v>6.38541140490108</v>
      </c>
      <c r="BA29" s="3">
        <f t="shared" si="23"/>
        <v>15.9831387984817</v>
      </c>
      <c r="BB29" s="3">
        <f t="shared" si="24"/>
        <v>24.3855410429739</v>
      </c>
      <c r="BC29" s="3">
        <f t="shared" si="25"/>
        <v>23.9250864426295</v>
      </c>
    </row>
    <row r="30" spans="1:55" ht="15">
      <c r="A30">
        <v>1954</v>
      </c>
      <c r="B30" s="3">
        <v>22.899678250282044</v>
      </c>
      <c r="C30" s="3">
        <v>24.170525295327685</v>
      </c>
      <c r="D30" s="3">
        <v>25.34058467957281</v>
      </c>
      <c r="E30" s="3">
        <v>22.620314445034154</v>
      </c>
      <c r="F30" s="3">
        <v>23.349417744364054</v>
      </c>
      <c r="G30" s="3">
        <v>19.77049376929272</v>
      </c>
      <c r="H30" s="3">
        <v>17.98398979796304</v>
      </c>
      <c r="I30" s="3">
        <v>13.460293531806391</v>
      </c>
      <c r="J30" s="3">
        <v>12.756984015968104</v>
      </c>
      <c r="K30" s="3">
        <v>13.10285910419239</v>
      </c>
      <c r="L30" s="3">
        <v>20.704707112619943</v>
      </c>
      <c r="M30" s="3">
        <v>20.596664775212595</v>
      </c>
      <c r="O30">
        <v>1954</v>
      </c>
      <c r="P30" s="4">
        <v>22.9180007426969</v>
      </c>
      <c r="Q30" s="4">
        <v>24.1706293365992</v>
      </c>
      <c r="R30" s="4">
        <v>25.3317895796991</v>
      </c>
      <c r="S30" s="4">
        <v>22.6355961035657</v>
      </c>
      <c r="T30" s="4">
        <v>23.3484859160015</v>
      </c>
      <c r="U30" s="4">
        <v>19.7963056394261</v>
      </c>
      <c r="V30" s="4">
        <v>18.858340827624</v>
      </c>
      <c r="W30" s="4">
        <v>14.9230054475287</v>
      </c>
      <c r="X30" s="4">
        <v>14.2605132526822</v>
      </c>
      <c r="Y30" s="4">
        <v>13.4755916155314</v>
      </c>
      <c r="Z30" s="4">
        <v>21.0265664654393</v>
      </c>
      <c r="AA30" s="4">
        <v>20.5803347190221</v>
      </c>
      <c r="AC30">
        <v>1954</v>
      </c>
      <c r="AD30" s="3">
        <f t="shared" si="2"/>
        <v>22.899678250282044</v>
      </c>
      <c r="AE30" s="3">
        <f t="shared" si="3"/>
        <v>24.170525295327685</v>
      </c>
      <c r="AF30" s="3">
        <f t="shared" si="4"/>
        <v>25.34058467957281</v>
      </c>
      <c r="AG30" s="3">
        <f t="shared" si="5"/>
        <v>22.620314445034154</v>
      </c>
      <c r="AH30" s="3">
        <f t="shared" si="6"/>
        <v>23.349417744364054</v>
      </c>
      <c r="AI30" s="3">
        <f t="shared" si="7"/>
        <v>19.77049376929272</v>
      </c>
      <c r="AJ30" s="3">
        <f t="shared" si="8"/>
        <v>17.98398979796304</v>
      </c>
      <c r="AK30" s="3">
        <f t="shared" si="9"/>
        <v>13.460293531806391</v>
      </c>
      <c r="AL30" s="3">
        <f t="shared" si="10"/>
        <v>12.756984015968104</v>
      </c>
      <c r="AM30" s="3">
        <f t="shared" si="11"/>
        <v>13.10285910419239</v>
      </c>
      <c r="AN30" s="3">
        <f t="shared" si="12"/>
        <v>20.704707112619943</v>
      </c>
      <c r="AO30" s="3">
        <f t="shared" si="13"/>
        <v>20.596664775212595</v>
      </c>
      <c r="AQ30">
        <v>1954</v>
      </c>
      <c r="AR30" s="3">
        <f t="shared" si="14"/>
        <v>22.9180007426969</v>
      </c>
      <c r="AS30" s="3">
        <f t="shared" si="15"/>
        <v>24.1706293365992</v>
      </c>
      <c r="AT30" s="3">
        <f t="shared" si="16"/>
        <v>25.3317895796991</v>
      </c>
      <c r="AU30" s="3">
        <f t="shared" si="17"/>
        <v>22.6355961035657</v>
      </c>
      <c r="AV30" s="3">
        <f t="shared" si="18"/>
        <v>23.3484859160015</v>
      </c>
      <c r="AW30" s="3">
        <f t="shared" si="19"/>
        <v>19.7963056394261</v>
      </c>
      <c r="AX30" s="3">
        <f t="shared" si="20"/>
        <v>18.858340827624</v>
      </c>
      <c r="AY30" s="3">
        <f t="shared" si="21"/>
        <v>14.9230054475287</v>
      </c>
      <c r="AZ30" s="3">
        <f t="shared" si="22"/>
        <v>14.2605132526822</v>
      </c>
      <c r="BA30" s="3">
        <f t="shared" si="23"/>
        <v>13.4755916155314</v>
      </c>
      <c r="BB30" s="3">
        <f t="shared" si="24"/>
        <v>21.0265664654393</v>
      </c>
      <c r="BC30" s="3">
        <f t="shared" si="25"/>
        <v>20.5803347190221</v>
      </c>
    </row>
    <row r="31" spans="1:55" ht="15">
      <c r="A31">
        <v>1955</v>
      </c>
      <c r="B31" s="3">
        <v>24.803876036213293</v>
      </c>
      <c r="C31" s="3">
        <v>24.275974652307543</v>
      </c>
      <c r="D31" s="3">
        <v>27.885852212803332</v>
      </c>
      <c r="E31" s="3">
        <v>29.80241650919761</v>
      </c>
      <c r="F31" s="3">
        <v>29.0939367021833</v>
      </c>
      <c r="G31" s="3">
        <v>27.797794627565715</v>
      </c>
      <c r="H31" s="3">
        <v>21.531829534106787</v>
      </c>
      <c r="I31" s="3">
        <v>17.912999769692778</v>
      </c>
      <c r="J31" s="3">
        <v>8.22007177902592</v>
      </c>
      <c r="K31" s="3">
        <v>15.798399757313467</v>
      </c>
      <c r="L31" s="3">
        <v>24.523152528270597</v>
      </c>
      <c r="M31" s="3">
        <v>25.93409192403157</v>
      </c>
      <c r="O31">
        <v>1955</v>
      </c>
      <c r="P31" s="4">
        <v>24.7743922902692</v>
      </c>
      <c r="Q31" s="4">
        <v>24.2890336428204</v>
      </c>
      <c r="R31" s="4">
        <v>27.8728620062592</v>
      </c>
      <c r="S31" s="4">
        <v>29.7406159611159</v>
      </c>
      <c r="T31" s="4">
        <v>29.0864469868796</v>
      </c>
      <c r="U31" s="4">
        <v>27.7345615920597</v>
      </c>
      <c r="V31" s="4">
        <v>22.811672563023</v>
      </c>
      <c r="W31" s="4">
        <v>18.8675807891353</v>
      </c>
      <c r="X31" s="4">
        <v>9.84144837492042</v>
      </c>
      <c r="Y31" s="4">
        <v>15.4449052561355</v>
      </c>
      <c r="Z31" s="4">
        <v>24.5661693888326</v>
      </c>
      <c r="AA31" s="4">
        <v>25.5597483857473</v>
      </c>
      <c r="AC31">
        <v>1955</v>
      </c>
      <c r="AD31" s="3">
        <f t="shared" si="2"/>
        <v>24.803876036213293</v>
      </c>
      <c r="AE31" s="3">
        <f t="shared" si="3"/>
        <v>24.275974652307543</v>
      </c>
      <c r="AF31" s="3">
        <f t="shared" si="4"/>
        <v>27.885852212803332</v>
      </c>
      <c r="AG31" s="3">
        <f t="shared" si="5"/>
        <v>29.80241650919761</v>
      </c>
      <c r="AH31" s="3">
        <f t="shared" si="6"/>
        <v>29.0939367021833</v>
      </c>
      <c r="AI31" s="3">
        <f t="shared" si="7"/>
        <v>27.797794627565715</v>
      </c>
      <c r="AJ31" s="3">
        <f t="shared" si="8"/>
        <v>21.531829534106787</v>
      </c>
      <c r="AK31" s="3">
        <f t="shared" si="9"/>
        <v>17.912999769692778</v>
      </c>
      <c r="AL31" s="3">
        <f t="shared" si="10"/>
        <v>8.22007177902592</v>
      </c>
      <c r="AM31" s="3">
        <f t="shared" si="11"/>
        <v>15.798399757313467</v>
      </c>
      <c r="AN31" s="3">
        <f t="shared" si="12"/>
        <v>24.523152528270597</v>
      </c>
      <c r="AO31" s="3">
        <f t="shared" si="13"/>
        <v>25.93409192403157</v>
      </c>
      <c r="AQ31">
        <v>1955</v>
      </c>
      <c r="AR31" s="3">
        <f t="shared" si="14"/>
        <v>24.7743922902692</v>
      </c>
      <c r="AS31" s="3">
        <f t="shared" si="15"/>
        <v>24.2890336428204</v>
      </c>
      <c r="AT31" s="3">
        <f t="shared" si="16"/>
        <v>27.8728620062592</v>
      </c>
      <c r="AU31" s="3">
        <f t="shared" si="17"/>
        <v>29.7406159611159</v>
      </c>
      <c r="AV31" s="3">
        <f t="shared" si="18"/>
        <v>29.0864469868796</v>
      </c>
      <c r="AW31" s="3">
        <f t="shared" si="19"/>
        <v>27.7345615920597</v>
      </c>
      <c r="AX31" s="3">
        <f t="shared" si="20"/>
        <v>22.811672563023</v>
      </c>
      <c r="AY31" s="3">
        <f t="shared" si="21"/>
        <v>18.8675807891353</v>
      </c>
      <c r="AZ31" s="3">
        <f t="shared" si="22"/>
        <v>9.84144837492042</v>
      </c>
      <c r="BA31" s="3">
        <f t="shared" si="23"/>
        <v>15.4449052561355</v>
      </c>
      <c r="BB31" s="3">
        <f t="shared" si="24"/>
        <v>24.5661693888326</v>
      </c>
      <c r="BC31" s="3">
        <f t="shared" si="25"/>
        <v>25.5597483857473</v>
      </c>
    </row>
    <row r="32" spans="1:55" ht="15">
      <c r="A32">
        <v>1956</v>
      </c>
      <c r="B32" s="3">
        <v>22.238546296858015</v>
      </c>
      <c r="C32" s="3">
        <v>22.383545090652863</v>
      </c>
      <c r="D32" s="3">
        <v>22.9164841285316</v>
      </c>
      <c r="E32" s="3">
        <v>20.131158648767784</v>
      </c>
      <c r="F32" s="3">
        <v>20.27965854065758</v>
      </c>
      <c r="G32" s="3">
        <v>18.308100883941467</v>
      </c>
      <c r="H32" s="3">
        <v>13.611499283578661</v>
      </c>
      <c r="I32" s="3">
        <v>7.906794462481169</v>
      </c>
      <c r="J32" s="3">
        <v>7.611395090166485</v>
      </c>
      <c r="K32" s="3">
        <v>18.627990521474548</v>
      </c>
      <c r="L32" s="3">
        <v>24.239766572367763</v>
      </c>
      <c r="M32" s="3">
        <v>25.845880362192794</v>
      </c>
      <c r="O32">
        <v>1956</v>
      </c>
      <c r="P32" s="4">
        <v>22.2199804021466</v>
      </c>
      <c r="Q32" s="4">
        <v>22.3286600626457</v>
      </c>
      <c r="R32" s="4">
        <v>22.9530004791034</v>
      </c>
      <c r="S32" s="4">
        <v>20.2523459524237</v>
      </c>
      <c r="T32" s="4">
        <v>20.3422298874174</v>
      </c>
      <c r="U32" s="4">
        <v>18.3479452535891</v>
      </c>
      <c r="V32" s="4">
        <v>14.2935880435838</v>
      </c>
      <c r="W32" s="4">
        <v>8.29753681523826</v>
      </c>
      <c r="X32" s="4">
        <v>8.64470704330338</v>
      </c>
      <c r="Y32" s="4">
        <v>18.0446952198141</v>
      </c>
      <c r="Z32" s="4">
        <v>24.3611821336131</v>
      </c>
      <c r="AA32" s="4">
        <v>25.6563365189234</v>
      </c>
      <c r="AC32">
        <v>1956</v>
      </c>
      <c r="AD32" s="3">
        <f t="shared" si="2"/>
        <v>22.238546296858015</v>
      </c>
      <c r="AE32" s="3">
        <f t="shared" si="3"/>
        <v>22.383545090652863</v>
      </c>
      <c r="AF32" s="3">
        <f t="shared" si="4"/>
        <v>22.9164841285316</v>
      </c>
      <c r="AG32" s="3">
        <f t="shared" si="5"/>
        <v>20.131158648767784</v>
      </c>
      <c r="AH32" s="3">
        <f t="shared" si="6"/>
        <v>20.27965854065758</v>
      </c>
      <c r="AI32" s="3">
        <f t="shared" si="7"/>
        <v>18.308100883941467</v>
      </c>
      <c r="AJ32" s="3">
        <f t="shared" si="8"/>
        <v>13.611499283578661</v>
      </c>
      <c r="AK32" s="3">
        <f t="shared" si="9"/>
        <v>7.906794462481169</v>
      </c>
      <c r="AL32" s="3">
        <f t="shared" si="10"/>
        <v>7.611395090166485</v>
      </c>
      <c r="AM32" s="3">
        <f t="shared" si="11"/>
        <v>18.627990521474548</v>
      </c>
      <c r="AN32" s="3">
        <f t="shared" si="12"/>
        <v>24.239766572367763</v>
      </c>
      <c r="AO32" s="3">
        <f t="shared" si="13"/>
        <v>25.845880362192794</v>
      </c>
      <c r="AQ32">
        <v>1956</v>
      </c>
      <c r="AR32" s="3">
        <f t="shared" si="14"/>
        <v>22.2199804021466</v>
      </c>
      <c r="AS32" s="3">
        <f t="shared" si="15"/>
        <v>22.3286600626457</v>
      </c>
      <c r="AT32" s="3">
        <f t="shared" si="16"/>
        <v>22.9530004791034</v>
      </c>
      <c r="AU32" s="3">
        <f t="shared" si="17"/>
        <v>20.2523459524237</v>
      </c>
      <c r="AV32" s="3">
        <f t="shared" si="18"/>
        <v>20.3422298874174</v>
      </c>
      <c r="AW32" s="3">
        <f t="shared" si="19"/>
        <v>18.3479452535891</v>
      </c>
      <c r="AX32" s="3">
        <f t="shared" si="20"/>
        <v>14.2935880435838</v>
      </c>
      <c r="AY32" s="3">
        <f t="shared" si="21"/>
        <v>8.29753681523826</v>
      </c>
      <c r="AZ32" s="3">
        <f t="shared" si="22"/>
        <v>8.64470704330338</v>
      </c>
      <c r="BA32" s="3">
        <f t="shared" si="23"/>
        <v>18.0446952198141</v>
      </c>
      <c r="BB32" s="3">
        <f t="shared" si="24"/>
        <v>24.3611821336131</v>
      </c>
      <c r="BC32" s="3">
        <f t="shared" si="25"/>
        <v>25.6563365189234</v>
      </c>
    </row>
    <row r="33" spans="1:55" ht="15">
      <c r="A33">
        <v>1957</v>
      </c>
      <c r="B33" s="3">
        <v>23.801048411092452</v>
      </c>
      <c r="C33" s="3">
        <v>27.049016472238442</v>
      </c>
      <c r="D33" s="3">
        <v>26.915626869406747</v>
      </c>
      <c r="E33" s="3">
        <v>28.21226196391609</v>
      </c>
      <c r="F33" s="3">
        <v>28.582698515483322</v>
      </c>
      <c r="G33" s="3">
        <v>23.469130782163326</v>
      </c>
      <c r="H33" s="3">
        <v>19.485081125895178</v>
      </c>
      <c r="I33" s="3">
        <v>7.738000877666221</v>
      </c>
      <c r="J33" s="3">
        <v>9.517883495986464</v>
      </c>
      <c r="K33" s="3">
        <v>26.498041508787423</v>
      </c>
      <c r="L33" s="3">
        <v>29.305005493471697</v>
      </c>
      <c r="M33" s="3">
        <v>28.18685963312786</v>
      </c>
      <c r="O33">
        <v>1957</v>
      </c>
      <c r="P33" s="4">
        <v>23.5801873445511</v>
      </c>
      <c r="Q33" s="4">
        <v>26.8558656021891</v>
      </c>
      <c r="R33" s="4">
        <v>26.8417945820798</v>
      </c>
      <c r="S33" s="4">
        <v>28.104063176596</v>
      </c>
      <c r="T33" s="4">
        <v>28.5575497899737</v>
      </c>
      <c r="U33" s="4">
        <v>23.5007805861824</v>
      </c>
      <c r="V33" s="4">
        <v>20.3162459230423</v>
      </c>
      <c r="W33" s="4">
        <v>8.25506377385989</v>
      </c>
      <c r="X33" s="4">
        <v>11.0138894286421</v>
      </c>
      <c r="Y33" s="4">
        <v>25.7100468276649</v>
      </c>
      <c r="Z33" s="4">
        <v>29.1021036871018</v>
      </c>
      <c r="AA33" s="4">
        <v>27.7885574150085</v>
      </c>
      <c r="AC33">
        <v>1957</v>
      </c>
      <c r="AD33" s="3">
        <f t="shared" si="2"/>
        <v>23.801048411092452</v>
      </c>
      <c r="AE33" s="3">
        <f t="shared" si="3"/>
        <v>27.049016472238442</v>
      </c>
      <c r="AF33" s="3">
        <f t="shared" si="4"/>
        <v>26.915626869406747</v>
      </c>
      <c r="AG33" s="3">
        <f t="shared" si="5"/>
        <v>28.21226196391609</v>
      </c>
      <c r="AH33" s="3">
        <f t="shared" si="6"/>
        <v>28.582698515483322</v>
      </c>
      <c r="AI33" s="3">
        <f t="shared" si="7"/>
        <v>23.469130782163326</v>
      </c>
      <c r="AJ33" s="3">
        <f t="shared" si="8"/>
        <v>19.485081125895178</v>
      </c>
      <c r="AK33" s="3">
        <f t="shared" si="9"/>
        <v>7.738000877666221</v>
      </c>
      <c r="AL33" s="3">
        <f t="shared" si="10"/>
        <v>9.517883495986464</v>
      </c>
      <c r="AM33" s="3">
        <f t="shared" si="11"/>
        <v>26.498041508787423</v>
      </c>
      <c r="AN33" s="3">
        <f t="shared" si="12"/>
        <v>29.305005493471697</v>
      </c>
      <c r="AO33" s="3">
        <f t="shared" si="13"/>
        <v>28.18685963312786</v>
      </c>
      <c r="AQ33">
        <v>1957</v>
      </c>
      <c r="AR33" s="3">
        <f t="shared" si="14"/>
        <v>23.5801873445511</v>
      </c>
      <c r="AS33" s="3">
        <f t="shared" si="15"/>
        <v>26.8558656021891</v>
      </c>
      <c r="AT33" s="3">
        <f t="shared" si="16"/>
        <v>26.8417945820798</v>
      </c>
      <c r="AU33" s="3">
        <f t="shared" si="17"/>
        <v>28.104063176596</v>
      </c>
      <c r="AV33" s="3">
        <f t="shared" si="18"/>
        <v>28.5575497899737</v>
      </c>
      <c r="AW33" s="3">
        <f t="shared" si="19"/>
        <v>23.5007805861824</v>
      </c>
      <c r="AX33" s="3">
        <f t="shared" si="20"/>
        <v>20.3162459230423</v>
      </c>
      <c r="AY33" s="3">
        <f t="shared" si="21"/>
        <v>8.25506377385989</v>
      </c>
      <c r="AZ33" s="3">
        <f t="shared" si="22"/>
        <v>11.0138894286421</v>
      </c>
      <c r="BA33" s="3">
        <f t="shared" si="23"/>
        <v>25.7100468276649</v>
      </c>
      <c r="BB33" s="3">
        <f t="shared" si="24"/>
        <v>29.1021036871018</v>
      </c>
      <c r="BC33" s="3">
        <f t="shared" si="25"/>
        <v>27.7885574150085</v>
      </c>
    </row>
    <row r="34" spans="1:55" ht="15">
      <c r="A34">
        <v>1958</v>
      </c>
      <c r="B34" s="3">
        <v>26.388328316903888</v>
      </c>
      <c r="C34" s="3">
        <v>27.136496451228403</v>
      </c>
      <c r="D34" s="3">
        <v>31.233764216207685</v>
      </c>
      <c r="E34" s="3">
        <v>25.483007372835637</v>
      </c>
      <c r="F34" s="3">
        <v>25.93655547414507</v>
      </c>
      <c r="G34" s="3">
        <v>22.884839499750818</v>
      </c>
      <c r="H34" s="3">
        <v>19.159667344623138</v>
      </c>
      <c r="I34" s="3">
        <v>9.82170720588296</v>
      </c>
      <c r="J34" s="3">
        <v>11.491411279141904</v>
      </c>
      <c r="K34" s="3">
        <v>24.958549501306273</v>
      </c>
      <c r="L34" s="3">
        <v>26.3197495275928</v>
      </c>
      <c r="M34" s="3">
        <v>25.87942906856538</v>
      </c>
      <c r="O34">
        <v>1958</v>
      </c>
      <c r="P34" s="4">
        <v>25.8073112310902</v>
      </c>
      <c r="Q34" s="4">
        <v>26.5124510487968</v>
      </c>
      <c r="R34" s="4">
        <v>30.5005180476814</v>
      </c>
      <c r="S34" s="4">
        <v>25.3582703326338</v>
      </c>
      <c r="T34" s="4">
        <v>25.925323169572</v>
      </c>
      <c r="U34" s="4">
        <v>22.9501838762057</v>
      </c>
      <c r="V34" s="4">
        <v>20.0536778354645</v>
      </c>
      <c r="W34" s="4">
        <v>11.2865773228308</v>
      </c>
      <c r="X34" s="4">
        <v>13.3355208357175</v>
      </c>
      <c r="Y34" s="4">
        <v>24.4818502718403</v>
      </c>
      <c r="Z34" s="4">
        <v>26.2995866806276</v>
      </c>
      <c r="AA34" s="4">
        <v>25.6947428051631</v>
      </c>
      <c r="AC34">
        <v>1958</v>
      </c>
      <c r="AD34" s="3">
        <f t="shared" si="2"/>
        <v>26.388328316903888</v>
      </c>
      <c r="AE34" s="3">
        <f t="shared" si="3"/>
        <v>27.136496451228403</v>
      </c>
      <c r="AF34" s="3">
        <f t="shared" si="4"/>
        <v>31.233764216207685</v>
      </c>
      <c r="AG34" s="3">
        <f t="shared" si="5"/>
        <v>25.483007372835637</v>
      </c>
      <c r="AH34" s="3">
        <f t="shared" si="6"/>
        <v>25.93655547414507</v>
      </c>
      <c r="AI34" s="3">
        <f t="shared" si="7"/>
        <v>22.884839499750818</v>
      </c>
      <c r="AJ34" s="3">
        <f t="shared" si="8"/>
        <v>19.159667344623138</v>
      </c>
      <c r="AK34" s="3">
        <f t="shared" si="9"/>
        <v>9.82170720588296</v>
      </c>
      <c r="AL34" s="3">
        <f t="shared" si="10"/>
        <v>11.491411279141904</v>
      </c>
      <c r="AM34" s="3">
        <f t="shared" si="11"/>
        <v>24.958549501306273</v>
      </c>
      <c r="AN34" s="3">
        <f t="shared" si="12"/>
        <v>26.3197495275928</v>
      </c>
      <c r="AO34" s="3">
        <f t="shared" si="13"/>
        <v>25.87942906856538</v>
      </c>
      <c r="AQ34">
        <v>1958</v>
      </c>
      <c r="AR34" s="3">
        <f t="shared" si="14"/>
        <v>25.8073112310902</v>
      </c>
      <c r="AS34" s="3">
        <f t="shared" si="15"/>
        <v>26.5124510487968</v>
      </c>
      <c r="AT34" s="3">
        <f t="shared" si="16"/>
        <v>30.5005180476814</v>
      </c>
      <c r="AU34" s="3">
        <f t="shared" si="17"/>
        <v>25.3582703326338</v>
      </c>
      <c r="AV34" s="3">
        <f t="shared" si="18"/>
        <v>25.925323169572</v>
      </c>
      <c r="AW34" s="3">
        <f t="shared" si="19"/>
        <v>22.9501838762057</v>
      </c>
      <c r="AX34" s="3">
        <f t="shared" si="20"/>
        <v>20.0536778354645</v>
      </c>
      <c r="AY34" s="3">
        <f t="shared" si="21"/>
        <v>11.2865773228308</v>
      </c>
      <c r="AZ34" s="3">
        <f t="shared" si="22"/>
        <v>13.3355208357175</v>
      </c>
      <c r="BA34" s="3">
        <f t="shared" si="23"/>
        <v>24.4818502718403</v>
      </c>
      <c r="BB34" s="3">
        <f t="shared" si="24"/>
        <v>26.2995866806276</v>
      </c>
      <c r="BC34" s="3">
        <f t="shared" si="25"/>
        <v>25.6947428051631</v>
      </c>
    </row>
    <row r="35" spans="1:55" ht="15">
      <c r="A35">
        <v>1959</v>
      </c>
      <c r="B35" s="3">
        <v>24.50037028635702</v>
      </c>
      <c r="C35" s="3">
        <v>23.912261037257768</v>
      </c>
      <c r="D35" s="3">
        <v>23.946839659957476</v>
      </c>
      <c r="E35" s="3">
        <v>20.840686573520784</v>
      </c>
      <c r="F35" s="3">
        <v>21.67335869584766</v>
      </c>
      <c r="G35" s="3">
        <v>19.38746670826286</v>
      </c>
      <c r="H35" s="3">
        <v>18.10305349773831</v>
      </c>
      <c r="I35" s="3">
        <v>14.938907721734816</v>
      </c>
      <c r="J35" s="3">
        <v>12.051488401989143</v>
      </c>
      <c r="K35" s="3">
        <v>17.606780673355182</v>
      </c>
      <c r="L35" s="3">
        <v>23.15221598994348</v>
      </c>
      <c r="M35" s="3">
        <v>21.34984480857849</v>
      </c>
      <c r="O35">
        <v>1959</v>
      </c>
      <c r="P35" s="4">
        <v>24.1882389945369</v>
      </c>
      <c r="Q35" s="4">
        <v>23.7839503527349</v>
      </c>
      <c r="R35" s="4">
        <v>23.9981641912973</v>
      </c>
      <c r="S35" s="4">
        <v>20.9572017641478</v>
      </c>
      <c r="T35" s="4">
        <v>21.6967744520732</v>
      </c>
      <c r="U35" s="4">
        <v>19.4199917871891</v>
      </c>
      <c r="V35" s="4">
        <v>19.0274215507507</v>
      </c>
      <c r="W35" s="4">
        <v>16.4733745971034</v>
      </c>
      <c r="X35" s="4">
        <v>13.8726758170459</v>
      </c>
      <c r="Y35" s="4">
        <v>17.5854086520851</v>
      </c>
      <c r="Z35" s="4">
        <v>23.4160424547811</v>
      </c>
      <c r="AA35" s="4">
        <v>21.3766354799271</v>
      </c>
      <c r="AC35">
        <v>1959</v>
      </c>
      <c r="AD35" s="3">
        <f t="shared" si="2"/>
        <v>24.50037028635702</v>
      </c>
      <c r="AE35" s="3">
        <f t="shared" si="3"/>
        <v>23.912261037257768</v>
      </c>
      <c r="AF35" s="3">
        <f t="shared" si="4"/>
        <v>23.946839659957476</v>
      </c>
      <c r="AG35" s="3">
        <f t="shared" si="5"/>
        <v>20.840686573520784</v>
      </c>
      <c r="AH35" s="3">
        <f t="shared" si="6"/>
        <v>21.67335869584766</v>
      </c>
      <c r="AI35" s="3">
        <f t="shared" si="7"/>
        <v>19.38746670826286</v>
      </c>
      <c r="AJ35" s="3">
        <f t="shared" si="8"/>
        <v>18.10305349773831</v>
      </c>
      <c r="AK35" s="3">
        <f t="shared" si="9"/>
        <v>14.938907721734816</v>
      </c>
      <c r="AL35" s="3">
        <f t="shared" si="10"/>
        <v>12.051488401989143</v>
      </c>
      <c r="AM35" s="3">
        <f t="shared" si="11"/>
        <v>17.606780673355182</v>
      </c>
      <c r="AN35" s="3">
        <f t="shared" si="12"/>
        <v>23.15221598994348</v>
      </c>
      <c r="AO35" s="3">
        <f t="shared" si="13"/>
        <v>21.34984480857849</v>
      </c>
      <c r="AQ35">
        <v>1959</v>
      </c>
      <c r="AR35" s="3">
        <f t="shared" si="14"/>
        <v>24.1882389945369</v>
      </c>
      <c r="AS35" s="3">
        <f t="shared" si="15"/>
        <v>23.7839503527349</v>
      </c>
      <c r="AT35" s="3">
        <f t="shared" si="16"/>
        <v>23.9981641912973</v>
      </c>
      <c r="AU35" s="3">
        <f t="shared" si="17"/>
        <v>20.9572017641478</v>
      </c>
      <c r="AV35" s="3">
        <f t="shared" si="18"/>
        <v>21.6967744520732</v>
      </c>
      <c r="AW35" s="3">
        <f t="shared" si="19"/>
        <v>19.4199917871891</v>
      </c>
      <c r="AX35" s="3">
        <f t="shared" si="20"/>
        <v>19.0274215507507</v>
      </c>
      <c r="AY35" s="3">
        <f t="shared" si="21"/>
        <v>16.4733745971034</v>
      </c>
      <c r="AZ35" s="3">
        <f t="shared" si="22"/>
        <v>13.8726758170459</v>
      </c>
      <c r="BA35" s="3">
        <f t="shared" si="23"/>
        <v>17.5854086520851</v>
      </c>
      <c r="BB35" s="3">
        <f t="shared" si="24"/>
        <v>23.4160424547811</v>
      </c>
      <c r="BC35" s="3">
        <f t="shared" si="25"/>
        <v>21.3766354799271</v>
      </c>
    </row>
    <row r="36" spans="1:55" ht="15">
      <c r="A36">
        <v>1960</v>
      </c>
      <c r="B36" s="3">
        <v>19.851880014327254</v>
      </c>
      <c r="C36" s="3">
        <v>22.701505666830666</v>
      </c>
      <c r="D36" s="3">
        <v>25.781344803174335</v>
      </c>
      <c r="E36" s="3">
        <v>26.06776197725727</v>
      </c>
      <c r="F36" s="3">
        <v>25.911861869267057</v>
      </c>
      <c r="G36" s="3">
        <v>22.33071852603158</v>
      </c>
      <c r="H36" s="3">
        <v>12.115684599214136</v>
      </c>
      <c r="I36" s="3">
        <v>16.728235580075168</v>
      </c>
      <c r="J36" s="3">
        <v>14.072731131977509</v>
      </c>
      <c r="K36" s="3">
        <v>20.712202088294493</v>
      </c>
      <c r="L36" s="3">
        <v>24.988099728861155</v>
      </c>
      <c r="M36" s="3">
        <v>24.926277465820313</v>
      </c>
      <c r="O36">
        <v>1960</v>
      </c>
      <c r="P36" s="4">
        <v>19.8908678124028</v>
      </c>
      <c r="Q36" s="4">
        <v>22.7695751211018</v>
      </c>
      <c r="R36" s="4">
        <v>25.8069514169488</v>
      </c>
      <c r="S36" s="4">
        <v>26.0806481484444</v>
      </c>
      <c r="T36" s="4">
        <v>25.9038026877812</v>
      </c>
      <c r="U36" s="4">
        <v>22.3143125862324</v>
      </c>
      <c r="V36" s="4">
        <v>13.4914804442724</v>
      </c>
      <c r="W36" s="4">
        <v>18.053764217387</v>
      </c>
      <c r="X36" s="4">
        <v>15.4601133816772</v>
      </c>
      <c r="Y36" s="4">
        <v>20.7189951125012</v>
      </c>
      <c r="Z36" s="4">
        <v>25.2652038151218</v>
      </c>
      <c r="AA36" s="4">
        <v>24.9606862449646</v>
      </c>
      <c r="AC36">
        <v>1960</v>
      </c>
      <c r="AD36" s="3">
        <f t="shared" si="2"/>
        <v>19.851880014327254</v>
      </c>
      <c r="AE36" s="3">
        <f t="shared" si="3"/>
        <v>22.701505666830666</v>
      </c>
      <c r="AF36" s="3">
        <f t="shared" si="4"/>
        <v>25.781344803174335</v>
      </c>
      <c r="AG36" s="3">
        <f t="shared" si="5"/>
        <v>26.06776197725727</v>
      </c>
      <c r="AH36" s="3">
        <f t="shared" si="6"/>
        <v>25.911861869267057</v>
      </c>
      <c r="AI36" s="3">
        <f t="shared" si="7"/>
        <v>22.33071852603158</v>
      </c>
      <c r="AJ36" s="3">
        <f t="shared" si="8"/>
        <v>12.115684599214136</v>
      </c>
      <c r="AK36" s="3">
        <f t="shared" si="9"/>
        <v>16.728235580075168</v>
      </c>
      <c r="AL36" s="3">
        <f t="shared" si="10"/>
        <v>14.072731131977509</v>
      </c>
      <c r="AM36" s="3">
        <f t="shared" si="11"/>
        <v>20.712202088294493</v>
      </c>
      <c r="AN36" s="3">
        <f t="shared" si="12"/>
        <v>24.988099728861155</v>
      </c>
      <c r="AO36" s="3">
        <f t="shared" si="13"/>
        <v>24.926277465820313</v>
      </c>
      <c r="AQ36">
        <v>1960</v>
      </c>
      <c r="AR36" s="3">
        <f t="shared" si="14"/>
        <v>19.8908678124028</v>
      </c>
      <c r="AS36" s="3">
        <f t="shared" si="15"/>
        <v>22.7695751211018</v>
      </c>
      <c r="AT36" s="3">
        <f t="shared" si="16"/>
        <v>25.8069514169488</v>
      </c>
      <c r="AU36" s="3">
        <f t="shared" si="17"/>
        <v>26.0806481484444</v>
      </c>
      <c r="AV36" s="3">
        <f t="shared" si="18"/>
        <v>25.9038026877812</v>
      </c>
      <c r="AW36" s="3">
        <f t="shared" si="19"/>
        <v>22.3143125862324</v>
      </c>
      <c r="AX36" s="3">
        <f t="shared" si="20"/>
        <v>13.4914804442724</v>
      </c>
      <c r="AY36" s="3">
        <f t="shared" si="21"/>
        <v>18.053764217387</v>
      </c>
      <c r="AZ36" s="3">
        <f t="shared" si="22"/>
        <v>15.4601133816772</v>
      </c>
      <c r="BA36" s="3">
        <f t="shared" si="23"/>
        <v>20.7189951125012</v>
      </c>
      <c r="BB36" s="3">
        <f t="shared" si="24"/>
        <v>25.2652038151218</v>
      </c>
      <c r="BC36" s="3">
        <f t="shared" si="25"/>
        <v>24.9606862449646</v>
      </c>
    </row>
    <row r="37" spans="1:55" ht="15">
      <c r="A37">
        <v>1961</v>
      </c>
      <c r="B37" s="3">
        <v>23.995591518186757</v>
      </c>
      <c r="C37" s="3">
        <v>24.56241693483477</v>
      </c>
      <c r="D37" s="3">
        <v>28.250401387419735</v>
      </c>
      <c r="E37" s="3">
        <v>25.745143372012716</v>
      </c>
      <c r="F37" s="3">
        <v>24.936147846494404</v>
      </c>
      <c r="G37" s="3">
        <v>20.46616071278121</v>
      </c>
      <c r="H37" s="3">
        <v>20.55219719092051</v>
      </c>
      <c r="I37" s="3">
        <v>14.76330952810984</v>
      </c>
      <c r="J37" s="3">
        <v>12.061090248409249</v>
      </c>
      <c r="K37" s="3">
        <v>24.873093264077298</v>
      </c>
      <c r="L37" s="3">
        <v>26.80859326470283</v>
      </c>
      <c r="M37" s="3">
        <v>26.539316838582362</v>
      </c>
      <c r="O37">
        <v>1961</v>
      </c>
      <c r="P37" s="4">
        <v>24.041067155715</v>
      </c>
      <c r="Q37" s="4">
        <v>24.6046301045795</v>
      </c>
      <c r="R37" s="4">
        <v>28.2881184198523</v>
      </c>
      <c r="S37" s="4">
        <v>25.7853756773856</v>
      </c>
      <c r="T37" s="4">
        <v>24.933618416105</v>
      </c>
      <c r="U37" s="4">
        <v>20.4682268400051</v>
      </c>
      <c r="V37" s="4">
        <v>21.5728910832935</v>
      </c>
      <c r="W37" s="4">
        <v>16.3872417546088</v>
      </c>
      <c r="X37" s="4">
        <v>13.3790069719156</v>
      </c>
      <c r="Y37" s="4">
        <v>24.792524925355</v>
      </c>
      <c r="Z37" s="4">
        <v>26.8421736371133</v>
      </c>
      <c r="AA37" s="4">
        <v>26.4425080474218</v>
      </c>
      <c r="AC37">
        <v>1961</v>
      </c>
      <c r="AD37" s="3">
        <f t="shared" si="2"/>
        <v>23.995591518186757</v>
      </c>
      <c r="AE37" s="3">
        <f t="shared" si="3"/>
        <v>24.56241693483477</v>
      </c>
      <c r="AF37" s="3">
        <f t="shared" si="4"/>
        <v>28.250401387419735</v>
      </c>
      <c r="AG37" s="3">
        <f t="shared" si="5"/>
        <v>25.745143372012716</v>
      </c>
      <c r="AH37" s="3">
        <f t="shared" si="6"/>
        <v>24.936147846494404</v>
      </c>
      <c r="AI37" s="3">
        <f t="shared" si="7"/>
        <v>20.46616071278121</v>
      </c>
      <c r="AJ37" s="3">
        <f t="shared" si="8"/>
        <v>20.55219719092051</v>
      </c>
      <c r="AK37" s="3">
        <f t="shared" si="9"/>
        <v>14.76330952810984</v>
      </c>
      <c r="AL37" s="3">
        <f t="shared" si="10"/>
        <v>12.061090248409249</v>
      </c>
      <c r="AM37" s="3">
        <f t="shared" si="11"/>
        <v>24.873093264077298</v>
      </c>
      <c r="AN37" s="3">
        <f t="shared" si="12"/>
        <v>26.80859326470283</v>
      </c>
      <c r="AO37" s="3">
        <f t="shared" si="13"/>
        <v>26.539316838582362</v>
      </c>
      <c r="AQ37">
        <v>1961</v>
      </c>
      <c r="AR37" s="3">
        <f t="shared" si="14"/>
        <v>24.041067155715</v>
      </c>
      <c r="AS37" s="3">
        <f t="shared" si="15"/>
        <v>24.6046301045795</v>
      </c>
      <c r="AT37" s="3">
        <f t="shared" si="16"/>
        <v>28.2881184198523</v>
      </c>
      <c r="AU37" s="3">
        <f t="shared" si="17"/>
        <v>25.7853756773856</v>
      </c>
      <c r="AV37" s="3">
        <f t="shared" si="18"/>
        <v>24.933618416105</v>
      </c>
      <c r="AW37" s="3">
        <f t="shared" si="19"/>
        <v>20.4682268400051</v>
      </c>
      <c r="AX37" s="3">
        <f t="shared" si="20"/>
        <v>21.5728910832935</v>
      </c>
      <c r="AY37" s="3">
        <f t="shared" si="21"/>
        <v>16.3872417546088</v>
      </c>
      <c r="AZ37" s="3">
        <f t="shared" si="22"/>
        <v>13.3790069719156</v>
      </c>
      <c r="BA37" s="3">
        <f t="shared" si="23"/>
        <v>24.792524925355</v>
      </c>
      <c r="BB37" s="3">
        <f t="shared" si="24"/>
        <v>26.8421736371133</v>
      </c>
      <c r="BC37" s="3">
        <f t="shared" si="25"/>
        <v>26.4425080474218</v>
      </c>
    </row>
    <row r="38" spans="1:55" ht="15">
      <c r="A38">
        <v>1962</v>
      </c>
      <c r="B38" s="3">
        <v>25.562927462208656</v>
      </c>
      <c r="C38" s="3">
        <v>26.396995222386646</v>
      </c>
      <c r="D38" s="3">
        <v>29.22119867929848</v>
      </c>
      <c r="E38" s="3">
        <v>26.259641441991256</v>
      </c>
      <c r="F38" s="3">
        <v>27.149518517085475</v>
      </c>
      <c r="G38" s="3">
        <v>27.768332867025528</v>
      </c>
      <c r="H38" s="3">
        <v>13.698721392916312</v>
      </c>
      <c r="I38" s="3">
        <v>16.44070045832664</v>
      </c>
      <c r="J38" s="3">
        <v>18.566801049974238</v>
      </c>
      <c r="K38" s="3">
        <v>23.48740647044233</v>
      </c>
      <c r="L38" s="3">
        <v>26.089884319613056</v>
      </c>
      <c r="M38" s="3">
        <v>26.267779285113015</v>
      </c>
      <c r="O38">
        <v>1962</v>
      </c>
      <c r="P38" s="4">
        <v>25.4872639732976</v>
      </c>
      <c r="Q38" s="4">
        <v>26.3359657555116</v>
      </c>
      <c r="R38" s="4">
        <v>29.1446020946708</v>
      </c>
      <c r="S38" s="4">
        <v>26.2723063343315</v>
      </c>
      <c r="T38" s="4">
        <v>27.1791301250458</v>
      </c>
      <c r="U38" s="4">
        <v>27.8954741940684</v>
      </c>
      <c r="V38" s="4">
        <v>14.768801331785</v>
      </c>
      <c r="W38" s="4">
        <v>17.6912236667448</v>
      </c>
      <c r="X38" s="4">
        <v>19.2540644857619</v>
      </c>
      <c r="Y38" s="4">
        <v>23.4521028690441</v>
      </c>
      <c r="Z38" s="4">
        <v>26.3319125775368</v>
      </c>
      <c r="AA38" s="4">
        <v>26.232999718984</v>
      </c>
      <c r="AC38">
        <v>1962</v>
      </c>
      <c r="AD38" s="3">
        <f t="shared" si="2"/>
        <v>25.562927462208656</v>
      </c>
      <c r="AE38" s="3">
        <f t="shared" si="3"/>
        <v>26.396995222386646</v>
      </c>
      <c r="AF38" s="3">
        <f t="shared" si="4"/>
        <v>29.22119867929848</v>
      </c>
      <c r="AG38" s="3">
        <f t="shared" si="5"/>
        <v>26.259641441991256</v>
      </c>
      <c r="AH38" s="3">
        <f t="shared" si="6"/>
        <v>27.149518517085475</v>
      </c>
      <c r="AI38" s="3">
        <f t="shared" si="7"/>
        <v>27.768332867025528</v>
      </c>
      <c r="AJ38" s="3">
        <f t="shared" si="8"/>
        <v>13.698721392916312</v>
      </c>
      <c r="AK38" s="3">
        <f t="shared" si="9"/>
        <v>16.44070045832664</v>
      </c>
      <c r="AL38" s="3">
        <f t="shared" si="10"/>
        <v>18.566801049974238</v>
      </c>
      <c r="AM38" s="3">
        <f t="shared" si="11"/>
        <v>23.48740647044233</v>
      </c>
      <c r="AN38" s="3">
        <f t="shared" si="12"/>
        <v>26.089884319613056</v>
      </c>
      <c r="AO38" s="3">
        <f t="shared" si="13"/>
        <v>26.267779285113015</v>
      </c>
      <c r="AQ38">
        <v>1962</v>
      </c>
      <c r="AR38" s="3">
        <f t="shared" si="14"/>
        <v>25.4872639732976</v>
      </c>
      <c r="AS38" s="3">
        <f t="shared" si="15"/>
        <v>26.3359657555116</v>
      </c>
      <c r="AT38" s="3">
        <f t="shared" si="16"/>
        <v>29.1446020946708</v>
      </c>
      <c r="AU38" s="3">
        <f t="shared" si="17"/>
        <v>26.2723063343315</v>
      </c>
      <c r="AV38" s="3">
        <f t="shared" si="18"/>
        <v>27.1791301250458</v>
      </c>
      <c r="AW38" s="3">
        <f t="shared" si="19"/>
        <v>27.8954741940684</v>
      </c>
      <c r="AX38" s="3">
        <f t="shared" si="20"/>
        <v>14.768801331785</v>
      </c>
      <c r="AY38" s="3">
        <f t="shared" si="21"/>
        <v>17.6912236667448</v>
      </c>
      <c r="AZ38" s="3">
        <f t="shared" si="22"/>
        <v>19.2540644857619</v>
      </c>
      <c r="BA38" s="3">
        <f t="shared" si="23"/>
        <v>23.4521028690441</v>
      </c>
      <c r="BB38" s="3">
        <f t="shared" si="24"/>
        <v>26.3319125775368</v>
      </c>
      <c r="BC38" s="3">
        <f t="shared" si="25"/>
        <v>26.232999718984</v>
      </c>
    </row>
    <row r="39" spans="1:55" ht="15">
      <c r="A39">
        <v>1963</v>
      </c>
      <c r="B39" s="3">
        <v>24.0372480492438</v>
      </c>
      <c r="C39" s="3">
        <v>25.01838537790242</v>
      </c>
      <c r="D39" s="3">
        <v>27.210071375036755</v>
      </c>
      <c r="E39" s="3">
        <v>26.903652718246622</v>
      </c>
      <c r="F39" s="3">
        <v>24.778134110995715</v>
      </c>
      <c r="G39" s="3">
        <v>24.427134984146058</v>
      </c>
      <c r="H39" s="3">
        <v>21.851707150141404</v>
      </c>
      <c r="I39" s="3">
        <v>17.83178836581528</v>
      </c>
      <c r="J39" s="3">
        <v>19.62512939241196</v>
      </c>
      <c r="K39" s="3">
        <v>23.83034803764794</v>
      </c>
      <c r="L39" s="3">
        <v>28.00215134620667</v>
      </c>
      <c r="M39" s="3">
        <v>26.038422784805306</v>
      </c>
      <c r="O39">
        <v>1963</v>
      </c>
      <c r="P39" s="4">
        <v>24.0445194144403</v>
      </c>
      <c r="Q39" s="4">
        <v>25.0195868332078</v>
      </c>
      <c r="R39" s="4">
        <v>27.2453752622809</v>
      </c>
      <c r="S39" s="4">
        <v>26.9369930241698</v>
      </c>
      <c r="T39" s="4">
        <v>24.807387975284</v>
      </c>
      <c r="U39" s="4">
        <v>24.4716308415016</v>
      </c>
      <c r="V39" s="4">
        <v>23.1777474006017</v>
      </c>
      <c r="W39" s="4">
        <v>18.7880677707734</v>
      </c>
      <c r="X39" s="4">
        <v>20.3226155598958</v>
      </c>
      <c r="Y39" s="4">
        <v>23.7600928614216</v>
      </c>
      <c r="Z39" s="4">
        <v>28.1809082831106</v>
      </c>
      <c r="AA39" s="4">
        <v>26.0350627374649</v>
      </c>
      <c r="AC39">
        <v>1963</v>
      </c>
      <c r="AD39" s="3">
        <f t="shared" si="2"/>
        <v>24.0372480492438</v>
      </c>
      <c r="AE39" s="3">
        <f t="shared" si="3"/>
        <v>25.01838537790242</v>
      </c>
      <c r="AF39" s="3">
        <f t="shared" si="4"/>
        <v>27.210071375036755</v>
      </c>
      <c r="AG39" s="3">
        <f t="shared" si="5"/>
        <v>26.903652718246622</v>
      </c>
      <c r="AH39" s="3">
        <f t="shared" si="6"/>
        <v>24.778134110995715</v>
      </c>
      <c r="AI39" s="3">
        <f t="shared" si="7"/>
        <v>24.427134984146058</v>
      </c>
      <c r="AJ39" s="3">
        <f t="shared" si="8"/>
        <v>21.851707150141404</v>
      </c>
      <c r="AK39" s="3">
        <f t="shared" si="9"/>
        <v>17.83178836581528</v>
      </c>
      <c r="AL39" s="3">
        <f t="shared" si="10"/>
        <v>19.62512939241196</v>
      </c>
      <c r="AM39" s="3">
        <f t="shared" si="11"/>
        <v>23.83034803764794</v>
      </c>
      <c r="AN39" s="3">
        <f t="shared" si="12"/>
        <v>28.00215134620667</v>
      </c>
      <c r="AO39" s="3">
        <f t="shared" si="13"/>
        <v>26.038422784805306</v>
      </c>
      <c r="AQ39">
        <v>1963</v>
      </c>
      <c r="AR39" s="3">
        <f t="shared" si="14"/>
        <v>24.0445194144403</v>
      </c>
      <c r="AS39" s="3">
        <f t="shared" si="15"/>
        <v>25.0195868332078</v>
      </c>
      <c r="AT39" s="3">
        <f t="shared" si="16"/>
        <v>27.2453752622809</v>
      </c>
      <c r="AU39" s="3">
        <f t="shared" si="17"/>
        <v>26.9369930241698</v>
      </c>
      <c r="AV39" s="3">
        <f t="shared" si="18"/>
        <v>24.807387975284</v>
      </c>
      <c r="AW39" s="3">
        <f t="shared" si="19"/>
        <v>24.4716308415016</v>
      </c>
      <c r="AX39" s="3">
        <f t="shared" si="20"/>
        <v>23.1777474006017</v>
      </c>
      <c r="AY39" s="3">
        <f t="shared" si="21"/>
        <v>18.7880677707734</v>
      </c>
      <c r="AZ39" s="3">
        <f t="shared" si="22"/>
        <v>20.3226155598958</v>
      </c>
      <c r="BA39" s="3">
        <f t="shared" si="23"/>
        <v>23.7600928614216</v>
      </c>
      <c r="BB39" s="3">
        <f t="shared" si="24"/>
        <v>28.1809082831106</v>
      </c>
      <c r="BC39" s="3">
        <f t="shared" si="25"/>
        <v>26.0350627374649</v>
      </c>
    </row>
    <row r="40" spans="1:55" ht="15">
      <c r="A40">
        <v>1964</v>
      </c>
      <c r="B40" s="3">
        <v>24.062031728990622</v>
      </c>
      <c r="C40" s="3">
        <v>25.87748623459745</v>
      </c>
      <c r="D40" s="3">
        <v>28.61111808746091</v>
      </c>
      <c r="E40" s="3">
        <v>27.44311145505598</v>
      </c>
      <c r="F40" s="3">
        <v>28.054725319998603</v>
      </c>
      <c r="G40" s="3">
        <v>25.51579113808808</v>
      </c>
      <c r="H40" s="3">
        <v>19.77584344598982</v>
      </c>
      <c r="I40" s="3">
        <v>16.575459896364528</v>
      </c>
      <c r="J40" s="3">
        <v>6.013506708873643</v>
      </c>
      <c r="K40" s="3">
        <v>17.586812365535767</v>
      </c>
      <c r="L40" s="3">
        <v>24.706722186457732</v>
      </c>
      <c r="M40" s="3">
        <v>24.378805467287687</v>
      </c>
      <c r="O40">
        <v>1964</v>
      </c>
      <c r="P40" s="4">
        <v>24.0589709981795</v>
      </c>
      <c r="Q40" s="4">
        <v>25.877980744723</v>
      </c>
      <c r="R40" s="4">
        <v>28.6561799187814</v>
      </c>
      <c r="S40" s="4">
        <v>27.4677375065383</v>
      </c>
      <c r="T40" s="4">
        <v>28.0459733009338</v>
      </c>
      <c r="U40" s="4">
        <v>25.4807318693215</v>
      </c>
      <c r="V40" s="4">
        <v>20.6717433399624</v>
      </c>
      <c r="W40" s="4">
        <v>17.7604057724758</v>
      </c>
      <c r="X40" s="4">
        <v>6.41928905513551</v>
      </c>
      <c r="Y40" s="4">
        <v>17.0351717497713</v>
      </c>
      <c r="Z40" s="4">
        <v>24.9080680354949</v>
      </c>
      <c r="AA40" s="4">
        <v>24.3805973561605</v>
      </c>
      <c r="AC40">
        <v>1964</v>
      </c>
      <c r="AD40" s="3">
        <f t="shared" si="2"/>
        <v>24.062031728990622</v>
      </c>
      <c r="AE40" s="3">
        <f t="shared" si="3"/>
        <v>25.87748623459745</v>
      </c>
      <c r="AF40" s="3">
        <f t="shared" si="4"/>
        <v>28.61111808746091</v>
      </c>
      <c r="AG40" s="3">
        <f t="shared" si="5"/>
        <v>27.44311145505598</v>
      </c>
      <c r="AH40" s="3">
        <f t="shared" si="6"/>
        <v>28.054725319998603</v>
      </c>
      <c r="AI40" s="3">
        <f t="shared" si="7"/>
        <v>25.51579113808808</v>
      </c>
      <c r="AJ40" s="3">
        <f t="shared" si="8"/>
        <v>19.77584344598982</v>
      </c>
      <c r="AK40" s="3">
        <f t="shared" si="9"/>
        <v>16.575459896364528</v>
      </c>
      <c r="AL40" s="3">
        <f t="shared" si="10"/>
        <v>6.013506708873643</v>
      </c>
      <c r="AM40" s="3">
        <f t="shared" si="11"/>
        <v>17.586812365535767</v>
      </c>
      <c r="AN40" s="3">
        <f t="shared" si="12"/>
        <v>24.706722186457732</v>
      </c>
      <c r="AO40" s="3">
        <f t="shared" si="13"/>
        <v>24.378805467287687</v>
      </c>
      <c r="AQ40">
        <v>1964</v>
      </c>
      <c r="AR40" s="3">
        <f t="shared" si="14"/>
        <v>24.0589709981795</v>
      </c>
      <c r="AS40" s="3">
        <f t="shared" si="15"/>
        <v>25.877980744723</v>
      </c>
      <c r="AT40" s="3">
        <f t="shared" si="16"/>
        <v>28.6561799187814</v>
      </c>
      <c r="AU40" s="3">
        <f t="shared" si="17"/>
        <v>27.4677375065383</v>
      </c>
      <c r="AV40" s="3">
        <f t="shared" si="18"/>
        <v>28.0459733009338</v>
      </c>
      <c r="AW40" s="3">
        <f t="shared" si="19"/>
        <v>25.4807318693215</v>
      </c>
      <c r="AX40" s="3">
        <f t="shared" si="20"/>
        <v>20.6717433399624</v>
      </c>
      <c r="AY40" s="3">
        <f t="shared" si="21"/>
        <v>17.7604057724758</v>
      </c>
      <c r="AZ40" s="3">
        <f t="shared" si="22"/>
        <v>6.41928905513551</v>
      </c>
      <c r="BA40" s="3">
        <f t="shared" si="23"/>
        <v>17.0351717497713</v>
      </c>
      <c r="BB40" s="3">
        <f t="shared" si="24"/>
        <v>24.9080680354949</v>
      </c>
      <c r="BC40" s="3">
        <f t="shared" si="25"/>
        <v>24.3805973561605</v>
      </c>
    </row>
    <row r="41" spans="1:55" ht="15">
      <c r="A41">
        <v>1965</v>
      </c>
      <c r="B41" s="3">
        <v>24.57526328640598</v>
      </c>
      <c r="C41" s="3">
        <v>25.571948771337862</v>
      </c>
      <c r="D41" s="3">
        <v>23.504486251646476</v>
      </c>
      <c r="E41" s="3">
        <v>19.773092180810956</v>
      </c>
      <c r="F41" s="3">
        <v>17.832389939682823</v>
      </c>
      <c r="G41" s="3">
        <v>16.81384387709412</v>
      </c>
      <c r="H41" s="3">
        <v>15.406628260877397</v>
      </c>
      <c r="I41" s="3">
        <v>9.899711593382708</v>
      </c>
      <c r="J41" s="3">
        <v>16.15348646110958</v>
      </c>
      <c r="K41" s="3">
        <v>21.585251527960587</v>
      </c>
      <c r="L41" s="3">
        <v>23.3416567233301</v>
      </c>
      <c r="M41" s="3">
        <v>25.613442072868356</v>
      </c>
      <c r="O41">
        <v>1965</v>
      </c>
      <c r="P41" s="4">
        <v>24.5721747652177</v>
      </c>
      <c r="Q41" s="4">
        <v>25.6124298253767</v>
      </c>
      <c r="R41" s="4">
        <v>23.5204826449835</v>
      </c>
      <c r="S41" s="4">
        <v>19.9577459783964</v>
      </c>
      <c r="T41" s="4">
        <v>18.1207542462008</v>
      </c>
      <c r="U41" s="4">
        <v>16.8774385632448</v>
      </c>
      <c r="V41" s="4">
        <v>16.1857345377074</v>
      </c>
      <c r="W41" s="4">
        <v>11.9945684362483</v>
      </c>
      <c r="X41" s="4">
        <v>16.6726885742611</v>
      </c>
      <c r="Y41" s="4">
        <v>21.4384501198287</v>
      </c>
      <c r="Z41" s="4">
        <v>23.604609273326</v>
      </c>
      <c r="AA41" s="4">
        <v>25.5973768107096</v>
      </c>
      <c r="AC41">
        <v>1965</v>
      </c>
      <c r="AD41" s="3">
        <f t="shared" si="2"/>
        <v>24.57526328640598</v>
      </c>
      <c r="AE41" s="3">
        <f t="shared" si="3"/>
        <v>25.571948771337862</v>
      </c>
      <c r="AF41" s="3">
        <f t="shared" si="4"/>
        <v>23.504486251646476</v>
      </c>
      <c r="AG41" s="3">
        <f t="shared" si="5"/>
        <v>19.773092180810956</v>
      </c>
      <c r="AH41" s="3">
        <f t="shared" si="6"/>
        <v>17.832389939682823</v>
      </c>
      <c r="AI41" s="3">
        <f t="shared" si="7"/>
        <v>16.81384387709412</v>
      </c>
      <c r="AJ41" s="3">
        <f t="shared" si="8"/>
        <v>15.406628260877397</v>
      </c>
      <c r="AK41" s="3">
        <f t="shared" si="9"/>
        <v>9.899711593382708</v>
      </c>
      <c r="AL41" s="3">
        <f t="shared" si="10"/>
        <v>16.15348646110958</v>
      </c>
      <c r="AM41" s="3">
        <f t="shared" si="11"/>
        <v>21.585251527960587</v>
      </c>
      <c r="AN41" s="3">
        <f t="shared" si="12"/>
        <v>23.3416567233301</v>
      </c>
      <c r="AO41" s="3">
        <f t="shared" si="13"/>
        <v>25.613442072868356</v>
      </c>
      <c r="AQ41">
        <v>1965</v>
      </c>
      <c r="AR41" s="3">
        <f t="shared" si="14"/>
        <v>24.5721747652177</v>
      </c>
      <c r="AS41" s="3">
        <f t="shared" si="15"/>
        <v>25.6124298253767</v>
      </c>
      <c r="AT41" s="3">
        <f t="shared" si="16"/>
        <v>23.5204826449835</v>
      </c>
      <c r="AU41" s="3">
        <f t="shared" si="17"/>
        <v>19.9577459783964</v>
      </c>
      <c r="AV41" s="3">
        <f t="shared" si="18"/>
        <v>18.1207542462008</v>
      </c>
      <c r="AW41" s="3">
        <f t="shared" si="19"/>
        <v>16.8774385632448</v>
      </c>
      <c r="AX41" s="3">
        <f t="shared" si="20"/>
        <v>16.1857345377074</v>
      </c>
      <c r="AY41" s="3">
        <f t="shared" si="21"/>
        <v>11.9945684362483</v>
      </c>
      <c r="AZ41" s="3">
        <f t="shared" si="22"/>
        <v>16.6726885742611</v>
      </c>
      <c r="BA41" s="3">
        <f t="shared" si="23"/>
        <v>21.4384501198287</v>
      </c>
      <c r="BB41" s="3">
        <f t="shared" si="24"/>
        <v>23.604609273326</v>
      </c>
      <c r="BC41" s="3">
        <f t="shared" si="25"/>
        <v>25.5973768107096</v>
      </c>
    </row>
    <row r="42" spans="1:55" ht="15">
      <c r="A42">
        <v>1966</v>
      </c>
      <c r="B42" s="3">
        <v>23.278386635165063</v>
      </c>
      <c r="C42" s="3">
        <v>26.50503797934556</v>
      </c>
      <c r="D42" s="3">
        <v>28.938241246951513</v>
      </c>
      <c r="E42" s="3">
        <v>28.115991226319345</v>
      </c>
      <c r="F42" s="3">
        <v>28.15567466190883</v>
      </c>
      <c r="G42" s="3">
        <v>24.574306818999318</v>
      </c>
      <c r="H42" s="3">
        <v>17.497613444858132</v>
      </c>
      <c r="I42" s="3">
        <v>19.202405082794936</v>
      </c>
      <c r="J42" s="3">
        <v>19.15054699314966</v>
      </c>
      <c r="K42" s="3">
        <v>21.920124536432244</v>
      </c>
      <c r="L42" s="3">
        <v>25.93348349371264</v>
      </c>
      <c r="M42" s="3">
        <v>25.18263537724812</v>
      </c>
      <c r="O42">
        <v>1966</v>
      </c>
      <c r="P42" s="4">
        <v>23.271488245841</v>
      </c>
      <c r="Q42" s="4">
        <v>26.5229553253409</v>
      </c>
      <c r="R42" s="4">
        <v>28.9269060991144</v>
      </c>
      <c r="S42" s="4">
        <v>28.1350647808403</v>
      </c>
      <c r="T42" s="4">
        <v>28.1589103085654</v>
      </c>
      <c r="U42" s="4">
        <v>24.6152014722734</v>
      </c>
      <c r="V42" s="4">
        <v>18.3708847888311</v>
      </c>
      <c r="W42" s="4">
        <v>20.3996468672188</v>
      </c>
      <c r="X42" s="4">
        <v>19.800506316291</v>
      </c>
      <c r="Y42" s="4">
        <v>21.8386991872582</v>
      </c>
      <c r="Z42" s="4">
        <v>26.084236649544</v>
      </c>
      <c r="AA42" s="4">
        <v>25.1805675888062</v>
      </c>
      <c r="AC42">
        <v>1966</v>
      </c>
      <c r="AD42" s="3">
        <f t="shared" si="2"/>
        <v>23.278386635165063</v>
      </c>
      <c r="AE42" s="3">
        <f t="shared" si="3"/>
        <v>26.50503797934556</v>
      </c>
      <c r="AF42" s="3">
        <f t="shared" si="4"/>
        <v>28.938241246951513</v>
      </c>
      <c r="AG42" s="3">
        <f t="shared" si="5"/>
        <v>28.115991226319345</v>
      </c>
      <c r="AH42" s="3">
        <f t="shared" si="6"/>
        <v>28.15567466190883</v>
      </c>
      <c r="AI42" s="3">
        <f t="shared" si="7"/>
        <v>24.574306818999318</v>
      </c>
      <c r="AJ42" s="3">
        <f t="shared" si="8"/>
        <v>17.497613444858132</v>
      </c>
      <c r="AK42" s="3">
        <f t="shared" si="9"/>
        <v>19.202405082794936</v>
      </c>
      <c r="AL42" s="3">
        <f t="shared" si="10"/>
        <v>19.15054699314966</v>
      </c>
      <c r="AM42" s="3">
        <f t="shared" si="11"/>
        <v>21.920124536432244</v>
      </c>
      <c r="AN42" s="3">
        <f t="shared" si="12"/>
        <v>25.93348349371264</v>
      </c>
      <c r="AO42" s="3">
        <f t="shared" si="13"/>
        <v>25.18263537724812</v>
      </c>
      <c r="AQ42">
        <v>1966</v>
      </c>
      <c r="AR42" s="3">
        <f t="shared" si="14"/>
        <v>23.271488245841</v>
      </c>
      <c r="AS42" s="3">
        <f t="shared" si="15"/>
        <v>26.5229553253409</v>
      </c>
      <c r="AT42" s="3">
        <f t="shared" si="16"/>
        <v>28.9269060991144</v>
      </c>
      <c r="AU42" s="3">
        <f t="shared" si="17"/>
        <v>28.1350647808403</v>
      </c>
      <c r="AV42" s="3">
        <f t="shared" si="18"/>
        <v>28.1589103085654</v>
      </c>
      <c r="AW42" s="3">
        <f t="shared" si="19"/>
        <v>24.6152014722734</v>
      </c>
      <c r="AX42" s="3">
        <f t="shared" si="20"/>
        <v>18.3708847888311</v>
      </c>
      <c r="AY42" s="3">
        <f t="shared" si="21"/>
        <v>20.3996468672188</v>
      </c>
      <c r="AZ42" s="3">
        <f t="shared" si="22"/>
        <v>19.800506316291</v>
      </c>
      <c r="BA42" s="3">
        <f t="shared" si="23"/>
        <v>21.8386991872582</v>
      </c>
      <c r="BB42" s="3">
        <f t="shared" si="24"/>
        <v>26.084236649544</v>
      </c>
      <c r="BC42" s="3">
        <f t="shared" si="25"/>
        <v>25.1805675888062</v>
      </c>
    </row>
    <row r="43" spans="1:55" ht="15">
      <c r="A43">
        <v>1967</v>
      </c>
      <c r="B43" s="3">
        <v>23.66825131754722</v>
      </c>
      <c r="C43" s="3">
        <v>25.182933867027277</v>
      </c>
      <c r="D43" s="3">
        <v>26.22102990406815</v>
      </c>
      <c r="E43" s="3">
        <v>23.642424460893043</v>
      </c>
      <c r="F43" s="3">
        <v>23.452328215326585</v>
      </c>
      <c r="G43" s="3">
        <v>21.123219848000026</v>
      </c>
      <c r="H43" s="3">
        <v>22.53392776489256</v>
      </c>
      <c r="I43" s="3">
        <v>15.593921980678392</v>
      </c>
      <c r="J43" s="3">
        <v>7.137161864174733</v>
      </c>
      <c r="K43" s="3">
        <v>17.447717555460105</v>
      </c>
      <c r="L43" s="3">
        <v>24.386867709313663</v>
      </c>
      <c r="M43" s="3">
        <v>24.174795858065277</v>
      </c>
      <c r="O43">
        <v>1967</v>
      </c>
      <c r="P43" s="4">
        <v>23.6899578140628</v>
      </c>
      <c r="Q43" s="4">
        <v>25.201744834593</v>
      </c>
      <c r="R43" s="4">
        <v>26.2242019186738</v>
      </c>
      <c r="S43" s="4">
        <v>23.6431814498799</v>
      </c>
      <c r="T43" s="4">
        <v>23.4234911169325</v>
      </c>
      <c r="U43" s="4">
        <v>21.1376017646225</v>
      </c>
      <c r="V43" s="4">
        <v>23.7000045225355</v>
      </c>
      <c r="W43" s="4">
        <v>16.7271376043238</v>
      </c>
      <c r="X43" s="4">
        <v>7.80572818749481</v>
      </c>
      <c r="Y43" s="4">
        <v>16.9177355238667</v>
      </c>
      <c r="Z43" s="4">
        <v>24.4844214654738</v>
      </c>
      <c r="AA43" s="4">
        <v>24.0899489657084</v>
      </c>
      <c r="AC43">
        <v>1967</v>
      </c>
      <c r="AD43" s="3">
        <f t="shared" si="2"/>
        <v>23.66825131754722</v>
      </c>
      <c r="AE43" s="3">
        <f t="shared" si="3"/>
        <v>25.182933867027277</v>
      </c>
      <c r="AF43" s="3">
        <f t="shared" si="4"/>
        <v>26.22102990406815</v>
      </c>
      <c r="AG43" s="3">
        <f t="shared" si="5"/>
        <v>23.642424460893043</v>
      </c>
      <c r="AH43" s="3">
        <f t="shared" si="6"/>
        <v>23.452328215326585</v>
      </c>
      <c r="AI43" s="3">
        <f t="shared" si="7"/>
        <v>21.123219848000026</v>
      </c>
      <c r="AJ43" s="3">
        <f t="shared" si="8"/>
        <v>22.53392776489256</v>
      </c>
      <c r="AK43" s="3">
        <f t="shared" si="9"/>
        <v>15.593921980678392</v>
      </c>
      <c r="AL43" s="3">
        <f t="shared" si="10"/>
        <v>7.137161864174733</v>
      </c>
      <c r="AM43" s="3">
        <f t="shared" si="11"/>
        <v>17.447717555460105</v>
      </c>
      <c r="AN43" s="3">
        <f t="shared" si="12"/>
        <v>24.386867709313663</v>
      </c>
      <c r="AO43" s="3">
        <f t="shared" si="13"/>
        <v>24.174795858065277</v>
      </c>
      <c r="AQ43">
        <v>1967</v>
      </c>
      <c r="AR43" s="3">
        <f t="shared" si="14"/>
        <v>23.6899578140628</v>
      </c>
      <c r="AS43" s="3">
        <f t="shared" si="15"/>
        <v>25.201744834593</v>
      </c>
      <c r="AT43" s="3">
        <f t="shared" si="16"/>
        <v>26.2242019186738</v>
      </c>
      <c r="AU43" s="3">
        <f t="shared" si="17"/>
        <v>23.6431814498799</v>
      </c>
      <c r="AV43" s="3">
        <f t="shared" si="18"/>
        <v>23.4234911169325</v>
      </c>
      <c r="AW43" s="3">
        <f t="shared" si="19"/>
        <v>21.1376017646225</v>
      </c>
      <c r="AX43" s="3">
        <f t="shared" si="20"/>
        <v>23.7000045225355</v>
      </c>
      <c r="AY43" s="3">
        <f t="shared" si="21"/>
        <v>16.7271376043238</v>
      </c>
      <c r="AZ43" s="3">
        <f t="shared" si="22"/>
        <v>7.80572818749481</v>
      </c>
      <c r="BA43" s="3">
        <f t="shared" si="23"/>
        <v>16.9177355238667</v>
      </c>
      <c r="BB43" s="3">
        <f t="shared" si="24"/>
        <v>24.4844214654738</v>
      </c>
      <c r="BC43" s="3">
        <f t="shared" si="25"/>
        <v>24.0899489657084</v>
      </c>
    </row>
    <row r="44" spans="1:55" ht="15">
      <c r="A44">
        <v>1968</v>
      </c>
      <c r="B44" s="3">
        <v>25.19918879155191</v>
      </c>
      <c r="C44" s="3">
        <v>26.248337204843228</v>
      </c>
      <c r="D44" s="3">
        <v>27.873008450128697</v>
      </c>
      <c r="E44" s="3">
        <v>25.165277509279157</v>
      </c>
      <c r="F44" s="3">
        <v>25.75772767407553</v>
      </c>
      <c r="G44" s="3">
        <v>22.82420040280791</v>
      </c>
      <c r="H44" s="3">
        <v>24.306666306389708</v>
      </c>
      <c r="I44" s="3">
        <v>19.663472052543398</v>
      </c>
      <c r="J44" s="3">
        <v>13.942101817660864</v>
      </c>
      <c r="K44" s="3">
        <v>22.101219269537157</v>
      </c>
      <c r="L44" s="3">
        <v>25.235517141126817</v>
      </c>
      <c r="M44" s="3">
        <v>23.56095132827759</v>
      </c>
      <c r="O44">
        <v>1968</v>
      </c>
      <c r="P44" s="4">
        <v>25.1261798128005</v>
      </c>
      <c r="Q44" s="4">
        <v>26.2449385320925</v>
      </c>
      <c r="R44" s="4">
        <v>27.8473706324895</v>
      </c>
      <c r="S44" s="4">
        <v>25.1394123059447</v>
      </c>
      <c r="T44" s="4">
        <v>25.7502485377448</v>
      </c>
      <c r="U44" s="4">
        <v>22.8240116357482</v>
      </c>
      <c r="V44" s="4">
        <v>25.7261218431261</v>
      </c>
      <c r="W44" s="4">
        <v>20.6806989262181</v>
      </c>
      <c r="X44" s="4">
        <v>15.5705999480353</v>
      </c>
      <c r="Y44" s="4">
        <v>22.074642755652</v>
      </c>
      <c r="Z44" s="4">
        <v>25.454303882968</v>
      </c>
      <c r="AA44" s="4">
        <v>23.5662676048279</v>
      </c>
      <c r="AC44">
        <v>1968</v>
      </c>
      <c r="AD44" s="3">
        <f t="shared" si="2"/>
        <v>25.19918879155191</v>
      </c>
      <c r="AE44" s="3">
        <f t="shared" si="3"/>
        <v>26.248337204843228</v>
      </c>
      <c r="AF44" s="3">
        <f t="shared" si="4"/>
        <v>27.873008450128697</v>
      </c>
      <c r="AG44" s="3">
        <f t="shared" si="5"/>
        <v>25.165277509279157</v>
      </c>
      <c r="AH44" s="3">
        <f t="shared" si="6"/>
        <v>25.75772767407553</v>
      </c>
      <c r="AI44" s="3">
        <f t="shared" si="7"/>
        <v>22.82420040280791</v>
      </c>
      <c r="AJ44" s="3">
        <f t="shared" si="8"/>
        <v>24.306666306389708</v>
      </c>
      <c r="AK44" s="3">
        <f t="shared" si="9"/>
        <v>19.663472052543398</v>
      </c>
      <c r="AL44" s="3">
        <f t="shared" si="10"/>
        <v>13.942101817660864</v>
      </c>
      <c r="AM44" s="3">
        <f t="shared" si="11"/>
        <v>22.101219269537157</v>
      </c>
      <c r="AN44" s="3">
        <f t="shared" si="12"/>
        <v>25.235517141126817</v>
      </c>
      <c r="AO44" s="3">
        <f t="shared" si="13"/>
        <v>23.56095132827759</v>
      </c>
      <c r="AQ44">
        <v>1968</v>
      </c>
      <c r="AR44" s="3">
        <f t="shared" si="14"/>
        <v>25.1261798128005</v>
      </c>
      <c r="AS44" s="3">
        <f t="shared" si="15"/>
        <v>26.2449385320925</v>
      </c>
      <c r="AT44" s="3">
        <f t="shared" si="16"/>
        <v>27.8473706324895</v>
      </c>
      <c r="AU44" s="3">
        <f t="shared" si="17"/>
        <v>25.1394123059447</v>
      </c>
      <c r="AV44" s="3">
        <f t="shared" si="18"/>
        <v>25.7502485377448</v>
      </c>
      <c r="AW44" s="3">
        <f t="shared" si="19"/>
        <v>22.8240116357482</v>
      </c>
      <c r="AX44" s="3">
        <f t="shared" si="20"/>
        <v>25.7261218431261</v>
      </c>
      <c r="AY44" s="3">
        <f t="shared" si="21"/>
        <v>20.6806989262181</v>
      </c>
      <c r="AZ44" s="3">
        <f t="shared" si="22"/>
        <v>15.5705999480353</v>
      </c>
      <c r="BA44" s="3">
        <f t="shared" si="23"/>
        <v>22.074642755652</v>
      </c>
      <c r="BB44" s="3">
        <f t="shared" si="24"/>
        <v>25.454303882968</v>
      </c>
      <c r="BC44" s="3">
        <f t="shared" si="25"/>
        <v>23.5662676048279</v>
      </c>
    </row>
    <row r="45" spans="1:55" ht="15">
      <c r="A45">
        <v>1969</v>
      </c>
      <c r="B45" s="3">
        <v>22.609794819739562</v>
      </c>
      <c r="C45" s="3">
        <v>23.909082931586017</v>
      </c>
      <c r="D45" s="3">
        <v>26.292171066038076</v>
      </c>
      <c r="E45" s="3">
        <v>23.01810186742454</v>
      </c>
      <c r="F45" s="3">
        <v>21.96164863961083</v>
      </c>
      <c r="G45" s="3">
        <v>20.700657181142965</v>
      </c>
      <c r="H45" s="3">
        <v>12.658146850400502</v>
      </c>
      <c r="I45" s="3">
        <v>6.109248523430159</v>
      </c>
      <c r="J45" s="3">
        <v>14.438276424093374</v>
      </c>
      <c r="K45" s="3">
        <v>22.189971076032172</v>
      </c>
      <c r="L45" s="3">
        <v>26.647095960186373</v>
      </c>
      <c r="M45" s="3">
        <v>25.45416264692942</v>
      </c>
      <c r="O45">
        <v>1969</v>
      </c>
      <c r="P45" s="4">
        <v>22.6349659489047</v>
      </c>
      <c r="Q45" s="4">
        <v>23.9096214798056</v>
      </c>
      <c r="R45" s="4">
        <v>26.2761846847432</v>
      </c>
      <c r="S45" s="4">
        <v>23.0466805103005</v>
      </c>
      <c r="T45" s="4">
        <v>21.9991302422115</v>
      </c>
      <c r="U45" s="4">
        <v>20.7219629759744</v>
      </c>
      <c r="V45" s="4">
        <v>14.0815293955803</v>
      </c>
      <c r="W45" s="4">
        <v>8.19285005882222</v>
      </c>
      <c r="X45" s="4">
        <v>15.7348244428635</v>
      </c>
      <c r="Y45" s="4">
        <v>21.9680611072048</v>
      </c>
      <c r="Z45" s="4">
        <v>26.5744962507679</v>
      </c>
      <c r="AA45" s="4">
        <v>25.264724650383</v>
      </c>
      <c r="AC45">
        <v>1969</v>
      </c>
      <c r="AD45" s="3">
        <f t="shared" si="2"/>
        <v>22.609794819739562</v>
      </c>
      <c r="AE45" s="3">
        <f t="shared" si="3"/>
        <v>23.909082931586017</v>
      </c>
      <c r="AF45" s="3">
        <f t="shared" si="4"/>
        <v>26.292171066038076</v>
      </c>
      <c r="AG45" s="3">
        <f t="shared" si="5"/>
        <v>23.01810186742454</v>
      </c>
      <c r="AH45" s="3">
        <f t="shared" si="6"/>
        <v>21.96164863961083</v>
      </c>
      <c r="AI45" s="3">
        <f t="shared" si="7"/>
        <v>20.700657181142965</v>
      </c>
      <c r="AJ45" s="3">
        <f t="shared" si="8"/>
        <v>12.658146850400502</v>
      </c>
      <c r="AK45" s="3">
        <f t="shared" si="9"/>
        <v>6.109248523430159</v>
      </c>
      <c r="AL45" s="3">
        <f t="shared" si="10"/>
        <v>14.438276424093374</v>
      </c>
      <c r="AM45" s="3">
        <f t="shared" si="11"/>
        <v>22.189971076032172</v>
      </c>
      <c r="AN45" s="3">
        <f t="shared" si="12"/>
        <v>26.647095960186373</v>
      </c>
      <c r="AO45" s="3">
        <f t="shared" si="13"/>
        <v>25.45416264692942</v>
      </c>
      <c r="AQ45">
        <v>1969</v>
      </c>
      <c r="AR45" s="3">
        <f t="shared" si="14"/>
        <v>22.6349659489047</v>
      </c>
      <c r="AS45" s="3">
        <f t="shared" si="15"/>
        <v>23.9096214798056</v>
      </c>
      <c r="AT45" s="3">
        <f t="shared" si="16"/>
        <v>26.2761846847432</v>
      </c>
      <c r="AU45" s="3">
        <f t="shared" si="17"/>
        <v>23.0466805103005</v>
      </c>
      <c r="AV45" s="3">
        <f t="shared" si="18"/>
        <v>21.9991302422115</v>
      </c>
      <c r="AW45" s="3">
        <f t="shared" si="19"/>
        <v>20.7219629759744</v>
      </c>
      <c r="AX45" s="3">
        <f t="shared" si="20"/>
        <v>14.0815293955803</v>
      </c>
      <c r="AY45" s="3">
        <f t="shared" si="21"/>
        <v>8.19285005882222</v>
      </c>
      <c r="AZ45" s="3">
        <f t="shared" si="22"/>
        <v>15.7348244428635</v>
      </c>
      <c r="BA45" s="3">
        <f t="shared" si="23"/>
        <v>21.9680611072048</v>
      </c>
      <c r="BB45" s="3">
        <f t="shared" si="24"/>
        <v>26.5744962507679</v>
      </c>
      <c r="BC45" s="3">
        <f t="shared" si="25"/>
        <v>25.264724650383</v>
      </c>
    </row>
    <row r="46" spans="1:55" ht="15">
      <c r="A46">
        <v>1970</v>
      </c>
      <c r="B46" s="3">
        <v>25.376299459703496</v>
      </c>
      <c r="C46" s="3">
        <v>26.642146954225588</v>
      </c>
      <c r="D46" s="3">
        <v>31.16682898921352</v>
      </c>
      <c r="E46" s="3">
        <v>26.500283370479462</v>
      </c>
      <c r="F46" s="3">
        <v>27.374998739787507</v>
      </c>
      <c r="G46" s="3">
        <v>23.996702538910025</v>
      </c>
      <c r="H46" s="3">
        <v>21.96474189069536</v>
      </c>
      <c r="I46" s="3">
        <v>16.035658829314738</v>
      </c>
      <c r="J46" s="3">
        <v>10.392595054705943</v>
      </c>
      <c r="K46" s="3">
        <v>26.72465509958166</v>
      </c>
      <c r="L46" s="3">
        <v>26.12272853928227</v>
      </c>
      <c r="M46" s="3">
        <v>25.402679065068554</v>
      </c>
      <c r="O46">
        <v>1970</v>
      </c>
      <c r="P46" s="4">
        <v>25.2767651265667</v>
      </c>
      <c r="Q46" s="4">
        <v>26.6691359969019</v>
      </c>
      <c r="R46" s="4">
        <v>31.1730346043905</v>
      </c>
      <c r="S46" s="4">
        <v>26.4878433222412</v>
      </c>
      <c r="T46" s="4">
        <v>27.3869845049722</v>
      </c>
      <c r="U46" s="4">
        <v>24.0056069725776</v>
      </c>
      <c r="V46" s="4">
        <v>23.5659333202574</v>
      </c>
      <c r="W46" s="4">
        <v>17.2831577495862</v>
      </c>
      <c r="X46" s="4">
        <v>11.1167045964135</v>
      </c>
      <c r="Y46" s="4">
        <v>26.3216694131974</v>
      </c>
      <c r="Z46" s="4">
        <v>26.2429072095502</v>
      </c>
      <c r="AA46" s="4">
        <v>25.3460156758626</v>
      </c>
      <c r="AC46">
        <v>1970</v>
      </c>
      <c r="AD46" s="3">
        <f t="shared" si="2"/>
        <v>25.376299459703496</v>
      </c>
      <c r="AE46" s="3">
        <f t="shared" si="3"/>
        <v>26.642146954225588</v>
      </c>
      <c r="AF46" s="3">
        <f t="shared" si="4"/>
        <v>31.16682898921352</v>
      </c>
      <c r="AG46" s="3">
        <f t="shared" si="5"/>
        <v>26.500283370479462</v>
      </c>
      <c r="AH46" s="3">
        <f t="shared" si="6"/>
        <v>27.374998739787507</v>
      </c>
      <c r="AI46" s="3">
        <f t="shared" si="7"/>
        <v>23.996702538910025</v>
      </c>
      <c r="AJ46" s="3">
        <f t="shared" si="8"/>
        <v>21.96474189069536</v>
      </c>
      <c r="AK46" s="3">
        <f t="shared" si="9"/>
        <v>16.035658829314738</v>
      </c>
      <c r="AL46" s="3">
        <f t="shared" si="10"/>
        <v>10.392595054705943</v>
      </c>
      <c r="AM46" s="3">
        <f t="shared" si="11"/>
        <v>26.72465509958166</v>
      </c>
      <c r="AN46" s="3">
        <f t="shared" si="12"/>
        <v>26.12272853928227</v>
      </c>
      <c r="AO46" s="3">
        <f t="shared" si="13"/>
        <v>25.402679065068554</v>
      </c>
      <c r="AQ46">
        <v>1970</v>
      </c>
      <c r="AR46" s="3">
        <f t="shared" si="14"/>
        <v>25.2767651265667</v>
      </c>
      <c r="AS46" s="3">
        <f t="shared" si="15"/>
        <v>26.6691359969019</v>
      </c>
      <c r="AT46" s="3">
        <f t="shared" si="16"/>
        <v>31.1730346043905</v>
      </c>
      <c r="AU46" s="3">
        <f t="shared" si="17"/>
        <v>26.4878433222412</v>
      </c>
      <c r="AV46" s="3">
        <f t="shared" si="18"/>
        <v>27.3869845049722</v>
      </c>
      <c r="AW46" s="3">
        <f t="shared" si="19"/>
        <v>24.0056069725776</v>
      </c>
      <c r="AX46" s="3">
        <f t="shared" si="20"/>
        <v>23.5659333202574</v>
      </c>
      <c r="AY46" s="3">
        <f t="shared" si="21"/>
        <v>17.2831577495862</v>
      </c>
      <c r="AZ46" s="3">
        <f t="shared" si="22"/>
        <v>11.1167045964135</v>
      </c>
      <c r="BA46" s="3">
        <f t="shared" si="23"/>
        <v>26.3216694131974</v>
      </c>
      <c r="BB46" s="3">
        <f t="shared" si="24"/>
        <v>26.2429072095502</v>
      </c>
      <c r="BC46" s="3">
        <f t="shared" si="25"/>
        <v>25.3460156758626</v>
      </c>
    </row>
    <row r="47" spans="1:55" ht="15">
      <c r="A47">
        <v>1971</v>
      </c>
      <c r="B47" s="3">
        <v>24.960547211093274</v>
      </c>
      <c r="C47" s="3">
        <v>25.975611632343146</v>
      </c>
      <c r="D47" s="3">
        <v>28.03588524992748</v>
      </c>
      <c r="E47" s="3">
        <v>21.226334766162328</v>
      </c>
      <c r="F47" s="3">
        <v>17.96208966076373</v>
      </c>
      <c r="G47" s="3">
        <v>17.574057577339833</v>
      </c>
      <c r="H47" s="3">
        <v>15.225651088820566</v>
      </c>
      <c r="I47" s="3">
        <v>8.346313826547512</v>
      </c>
      <c r="J47" s="3">
        <v>6.079493544167941</v>
      </c>
      <c r="K47" s="3">
        <v>15.689319127509668</v>
      </c>
      <c r="L47" s="3">
        <v>22.979133094510715</v>
      </c>
      <c r="M47" s="3">
        <v>25.645526123046874</v>
      </c>
      <c r="O47">
        <v>1971</v>
      </c>
      <c r="P47" s="4">
        <v>24.9347042191413</v>
      </c>
      <c r="Q47" s="4">
        <v>25.9760015921851</v>
      </c>
      <c r="R47" s="4">
        <v>28.0101235820401</v>
      </c>
      <c r="S47" s="4">
        <v>21.3061232504024</v>
      </c>
      <c r="T47" s="4">
        <v>18.3422480076551</v>
      </c>
      <c r="U47" s="4">
        <v>17.6190598256495</v>
      </c>
      <c r="V47" s="4">
        <v>16.3344869083828</v>
      </c>
      <c r="W47" s="4">
        <v>8.74857656467225</v>
      </c>
      <c r="X47" s="4">
        <v>6.65542337981363</v>
      </c>
      <c r="Y47" s="4">
        <v>15.2285968088815</v>
      </c>
      <c r="Z47" s="4">
        <v>23.0597784919123</v>
      </c>
      <c r="AA47" s="4">
        <v>25.4930198733012</v>
      </c>
      <c r="AC47">
        <v>1971</v>
      </c>
      <c r="AD47" s="3">
        <f t="shared" si="2"/>
        <v>24.960547211093274</v>
      </c>
      <c r="AE47" s="3">
        <f t="shared" si="3"/>
        <v>25.975611632343146</v>
      </c>
      <c r="AF47" s="3">
        <f t="shared" si="4"/>
        <v>28.03588524992748</v>
      </c>
      <c r="AG47" s="3">
        <f t="shared" si="5"/>
        <v>21.226334766162328</v>
      </c>
      <c r="AH47" s="3">
        <f t="shared" si="6"/>
        <v>17.96208966076373</v>
      </c>
      <c r="AI47" s="3">
        <f t="shared" si="7"/>
        <v>17.574057577339833</v>
      </c>
      <c r="AJ47" s="3">
        <f t="shared" si="8"/>
        <v>15.225651088820566</v>
      </c>
      <c r="AK47" s="3">
        <f t="shared" si="9"/>
        <v>8.346313826547512</v>
      </c>
      <c r="AL47" s="3">
        <f t="shared" si="10"/>
        <v>6.079493544167941</v>
      </c>
      <c r="AM47" s="3">
        <f t="shared" si="11"/>
        <v>15.689319127509668</v>
      </c>
      <c r="AN47" s="3">
        <f t="shared" si="12"/>
        <v>22.979133094510715</v>
      </c>
      <c r="AO47" s="3">
        <f t="shared" si="13"/>
        <v>25.645526123046874</v>
      </c>
      <c r="AQ47">
        <v>1971</v>
      </c>
      <c r="AR47" s="3">
        <f t="shared" si="14"/>
        <v>24.9347042191413</v>
      </c>
      <c r="AS47" s="3">
        <f t="shared" si="15"/>
        <v>25.9760015921851</v>
      </c>
      <c r="AT47" s="3">
        <f t="shared" si="16"/>
        <v>28.0101235820401</v>
      </c>
      <c r="AU47" s="3">
        <f t="shared" si="17"/>
        <v>21.3061232504024</v>
      </c>
      <c r="AV47" s="3">
        <f t="shared" si="18"/>
        <v>18.3422480076551</v>
      </c>
      <c r="AW47" s="3">
        <f t="shared" si="19"/>
        <v>17.6190598256495</v>
      </c>
      <c r="AX47" s="3">
        <f t="shared" si="20"/>
        <v>16.3344869083828</v>
      </c>
      <c r="AY47" s="3">
        <f t="shared" si="21"/>
        <v>8.74857656467225</v>
      </c>
      <c r="AZ47" s="3">
        <f t="shared" si="22"/>
        <v>6.65542337981363</v>
      </c>
      <c r="BA47" s="3">
        <f t="shared" si="23"/>
        <v>15.2285968088815</v>
      </c>
      <c r="BB47" s="3">
        <f t="shared" si="24"/>
        <v>23.0597784919123</v>
      </c>
      <c r="BC47" s="3">
        <f t="shared" si="25"/>
        <v>25.4930198733012</v>
      </c>
    </row>
    <row r="48" spans="1:55" ht="15">
      <c r="A48">
        <v>1972</v>
      </c>
      <c r="B48" s="3">
        <v>23.162140256358718</v>
      </c>
      <c r="C48" s="3">
        <v>26.55368729014669</v>
      </c>
      <c r="D48" s="3">
        <v>28.22904436152468</v>
      </c>
      <c r="E48" s="3">
        <v>20.91329541616542</v>
      </c>
      <c r="F48" s="3">
        <v>18.555019631130357</v>
      </c>
      <c r="G48" s="3">
        <v>8.054571702944248</v>
      </c>
      <c r="H48" s="3">
        <v>11.29231971999009</v>
      </c>
      <c r="I48" s="3">
        <v>8.243150790280074</v>
      </c>
      <c r="J48" s="3">
        <v>6.785511984800299</v>
      </c>
      <c r="K48" s="3">
        <v>14.04197919565824</v>
      </c>
      <c r="L48" s="3">
        <v>21.433311695437272</v>
      </c>
      <c r="M48" s="3">
        <v>24.32973044077555</v>
      </c>
      <c r="O48">
        <v>1972</v>
      </c>
      <c r="P48" s="4">
        <v>23.2514711595351</v>
      </c>
      <c r="Q48" s="4">
        <v>26.5367994277057</v>
      </c>
      <c r="R48" s="4">
        <v>28.2968530342143</v>
      </c>
      <c r="S48" s="4">
        <v>20.9301227699044</v>
      </c>
      <c r="T48" s="4">
        <v>18.668791872263</v>
      </c>
      <c r="U48" s="4">
        <v>8.53627920902308</v>
      </c>
      <c r="V48" s="4">
        <v>12.905478692849499</v>
      </c>
      <c r="W48" s="4">
        <v>9.60353009505698</v>
      </c>
      <c r="X48" s="4">
        <v>6.85922859410445</v>
      </c>
      <c r="Y48" s="4">
        <v>13.9955261223138</v>
      </c>
      <c r="Z48" s="4">
        <v>21.5924502565015</v>
      </c>
      <c r="AA48" s="4">
        <v>24.1567533191045</v>
      </c>
      <c r="AC48">
        <v>1972</v>
      </c>
      <c r="AD48" s="3">
        <f t="shared" si="2"/>
        <v>23.162140256358718</v>
      </c>
      <c r="AE48" s="3">
        <f t="shared" si="3"/>
        <v>26.55368729014669</v>
      </c>
      <c r="AF48" s="3">
        <f t="shared" si="4"/>
        <v>28.22904436152468</v>
      </c>
      <c r="AG48" s="3">
        <f t="shared" si="5"/>
        <v>20.91329541616542</v>
      </c>
      <c r="AH48" s="3">
        <f t="shared" si="6"/>
        <v>18.555019631130357</v>
      </c>
      <c r="AI48" s="3">
        <f t="shared" si="7"/>
        <v>8.054571702944248</v>
      </c>
      <c r="AJ48" s="3">
        <f t="shared" si="8"/>
        <v>11.29231971999009</v>
      </c>
      <c r="AK48" s="3">
        <f t="shared" si="9"/>
        <v>8.243150790280074</v>
      </c>
      <c r="AL48" s="3">
        <f t="shared" si="10"/>
        <v>6.785511984800299</v>
      </c>
      <c r="AM48" s="3">
        <f t="shared" si="11"/>
        <v>14.04197919565824</v>
      </c>
      <c r="AN48" s="3">
        <f t="shared" si="12"/>
        <v>21.433311695437272</v>
      </c>
      <c r="AO48" s="3">
        <f t="shared" si="13"/>
        <v>24.32973044077555</v>
      </c>
      <c r="AQ48">
        <v>1972</v>
      </c>
      <c r="AR48" s="3">
        <f t="shared" si="14"/>
        <v>23.2514711595351</v>
      </c>
      <c r="AS48" s="3">
        <f t="shared" si="15"/>
        <v>26.5367994277057</v>
      </c>
      <c r="AT48" s="3">
        <f t="shared" si="16"/>
        <v>28.2968530342143</v>
      </c>
      <c r="AU48" s="3">
        <f t="shared" si="17"/>
        <v>20.9301227699044</v>
      </c>
      <c r="AV48" s="3">
        <f t="shared" si="18"/>
        <v>18.668791872263</v>
      </c>
      <c r="AW48" s="3">
        <f t="shared" si="19"/>
        <v>8.53627920902308</v>
      </c>
      <c r="AX48" s="3">
        <f t="shared" si="20"/>
        <v>12.905478692849499</v>
      </c>
      <c r="AY48" s="3">
        <f t="shared" si="21"/>
        <v>9.60353009505698</v>
      </c>
      <c r="AZ48" s="3">
        <f t="shared" si="22"/>
        <v>6.85922859410445</v>
      </c>
      <c r="BA48" s="3">
        <f t="shared" si="23"/>
        <v>13.9955261223138</v>
      </c>
      <c r="BB48" s="3">
        <f t="shared" si="24"/>
        <v>21.5924502565015</v>
      </c>
      <c r="BC48" s="3">
        <f t="shared" si="25"/>
        <v>24.1567533191045</v>
      </c>
    </row>
    <row r="49" spans="1:55" ht="15">
      <c r="A49">
        <v>1973</v>
      </c>
      <c r="B49" s="3">
        <v>23.641557532741185</v>
      </c>
      <c r="C49" s="3">
        <v>26.31932459929119</v>
      </c>
      <c r="D49" s="3">
        <v>27.613919824682256</v>
      </c>
      <c r="E49" s="3">
        <v>26.914290863980522</v>
      </c>
      <c r="F49" s="3">
        <v>28.745688758577625</v>
      </c>
      <c r="G49" s="3">
        <v>25.11530708778916</v>
      </c>
      <c r="H49" s="3">
        <v>22.758912597762215</v>
      </c>
      <c r="I49" s="3">
        <v>18.194659886565262</v>
      </c>
      <c r="J49" s="3">
        <v>23.336331915855407</v>
      </c>
      <c r="K49" s="3">
        <v>24.903092955517515</v>
      </c>
      <c r="L49" s="3">
        <v>27.279524299406233</v>
      </c>
      <c r="M49" s="3">
        <v>24.715401840209957</v>
      </c>
      <c r="O49">
        <v>1973</v>
      </c>
      <c r="P49" s="4">
        <v>23.6014263260749</v>
      </c>
      <c r="Q49" s="4">
        <v>26.193528313445</v>
      </c>
      <c r="R49" s="4">
        <v>27.5246807959772</v>
      </c>
      <c r="S49" s="4">
        <v>26.8473207637828</v>
      </c>
      <c r="T49" s="4">
        <v>28.6978382928031</v>
      </c>
      <c r="U49" s="4">
        <v>25.1628877809199</v>
      </c>
      <c r="V49" s="4">
        <v>24.2871553495195</v>
      </c>
      <c r="W49" s="4">
        <v>19.2519881843239</v>
      </c>
      <c r="X49" s="4">
        <v>24.1426032834583</v>
      </c>
      <c r="Y49" s="4">
        <v>24.7697187805689</v>
      </c>
      <c r="Z49" s="4">
        <v>27.3986887939515</v>
      </c>
      <c r="AA49" s="4">
        <v>24.7036426877975</v>
      </c>
      <c r="AC49">
        <v>1973</v>
      </c>
      <c r="AD49" s="3">
        <f t="shared" si="2"/>
        <v>23.641557532741185</v>
      </c>
      <c r="AE49" s="3">
        <f t="shared" si="3"/>
        <v>26.31932459929119</v>
      </c>
      <c r="AF49" s="3">
        <f t="shared" si="4"/>
        <v>27.613919824682256</v>
      </c>
      <c r="AG49" s="3">
        <f t="shared" si="5"/>
        <v>26.914290863980522</v>
      </c>
      <c r="AH49" s="3">
        <f t="shared" si="6"/>
        <v>28.745688758577625</v>
      </c>
      <c r="AI49" s="3">
        <f t="shared" si="7"/>
        <v>25.11530708778916</v>
      </c>
      <c r="AJ49" s="3">
        <f t="shared" si="8"/>
        <v>22.758912597762215</v>
      </c>
      <c r="AK49" s="3">
        <f t="shared" si="9"/>
        <v>18.194659886565262</v>
      </c>
      <c r="AL49" s="3">
        <f t="shared" si="10"/>
        <v>23.336331915855407</v>
      </c>
      <c r="AM49" s="3">
        <f t="shared" si="11"/>
        <v>24.903092955517515</v>
      </c>
      <c r="AN49" s="3">
        <f t="shared" si="12"/>
        <v>27.279524299406233</v>
      </c>
      <c r="AO49" s="3">
        <f t="shared" si="13"/>
        <v>24.715401840209957</v>
      </c>
      <c r="AQ49">
        <v>1973</v>
      </c>
      <c r="AR49" s="3">
        <f t="shared" si="14"/>
        <v>23.6014263260749</v>
      </c>
      <c r="AS49" s="3">
        <f t="shared" si="15"/>
        <v>26.193528313445</v>
      </c>
      <c r="AT49" s="3">
        <f t="shared" si="16"/>
        <v>27.5246807959772</v>
      </c>
      <c r="AU49" s="3">
        <f t="shared" si="17"/>
        <v>26.8473207637828</v>
      </c>
      <c r="AV49" s="3">
        <f t="shared" si="18"/>
        <v>28.6978382928031</v>
      </c>
      <c r="AW49" s="3">
        <f t="shared" si="19"/>
        <v>25.1628877809199</v>
      </c>
      <c r="AX49" s="3">
        <f t="shared" si="20"/>
        <v>24.2871553495195</v>
      </c>
      <c r="AY49" s="3">
        <f t="shared" si="21"/>
        <v>19.2519881843239</v>
      </c>
      <c r="AZ49" s="3">
        <f t="shared" si="22"/>
        <v>24.1426032834583</v>
      </c>
      <c r="BA49" s="3">
        <f t="shared" si="23"/>
        <v>24.7697187805689</v>
      </c>
      <c r="BB49" s="3">
        <f t="shared" si="24"/>
        <v>27.3986887939515</v>
      </c>
      <c r="BC49" s="3">
        <f t="shared" si="25"/>
        <v>24.7036426877975</v>
      </c>
    </row>
    <row r="50" spans="1:55" ht="15">
      <c r="A50">
        <v>1974</v>
      </c>
      <c r="B50" s="3">
        <v>23.382868092290828</v>
      </c>
      <c r="C50" s="3">
        <v>24.502178990096887</v>
      </c>
      <c r="D50" s="3">
        <v>25.977700466750775</v>
      </c>
      <c r="E50" s="3">
        <v>15.503397006171962</v>
      </c>
      <c r="F50" s="3">
        <v>17.170306001390724</v>
      </c>
      <c r="G50" s="3">
        <v>13.128593737769412</v>
      </c>
      <c r="H50" s="3">
        <v>11.127024900184747</v>
      </c>
      <c r="I50" s="3">
        <v>9.33352393362551</v>
      </c>
      <c r="J50" s="3">
        <v>7.273869822422659</v>
      </c>
      <c r="K50" s="3">
        <v>12.77916653256573</v>
      </c>
      <c r="L50" s="3">
        <v>21.71990211702162</v>
      </c>
      <c r="M50" s="3">
        <v>25.286296345392866</v>
      </c>
      <c r="O50">
        <v>1974</v>
      </c>
      <c r="P50" s="4">
        <v>23.3557432682283</v>
      </c>
      <c r="Q50" s="4">
        <v>24.4809935721214</v>
      </c>
      <c r="R50" s="4">
        <v>25.9832231034515</v>
      </c>
      <c r="S50" s="4">
        <v>15.9949712500457</v>
      </c>
      <c r="T50" s="4">
        <v>17.6150803659643</v>
      </c>
      <c r="U50" s="4">
        <v>13.5062507551058</v>
      </c>
      <c r="V50" s="4">
        <v>12.5026273534033</v>
      </c>
      <c r="W50" s="4">
        <v>11.353300979381</v>
      </c>
      <c r="X50" s="4">
        <v>7.34231364031633</v>
      </c>
      <c r="Y50" s="4">
        <v>12.9120899049585</v>
      </c>
      <c r="Z50" s="4">
        <v>21.7714814432206</v>
      </c>
      <c r="AA50" s="4">
        <v>25.1017662191391</v>
      </c>
      <c r="AC50">
        <v>1974</v>
      </c>
      <c r="AD50" s="3">
        <f t="shared" si="2"/>
        <v>23.382868092290828</v>
      </c>
      <c r="AE50" s="3">
        <f t="shared" si="3"/>
        <v>24.502178990096887</v>
      </c>
      <c r="AF50" s="3">
        <f t="shared" si="4"/>
        <v>25.977700466750775</v>
      </c>
      <c r="AG50" s="3">
        <f t="shared" si="5"/>
        <v>15.503397006171962</v>
      </c>
      <c r="AH50" s="3">
        <f t="shared" si="6"/>
        <v>17.170306001390724</v>
      </c>
      <c r="AI50" s="3">
        <f t="shared" si="7"/>
        <v>13.128593737769412</v>
      </c>
      <c r="AJ50" s="3">
        <f t="shared" si="8"/>
        <v>11.127024900184747</v>
      </c>
      <c r="AK50" s="3">
        <f t="shared" si="9"/>
        <v>9.33352393362551</v>
      </c>
      <c r="AL50" s="3">
        <f t="shared" si="10"/>
        <v>7.273869822422659</v>
      </c>
      <c r="AM50" s="3">
        <f t="shared" si="11"/>
        <v>12.77916653256573</v>
      </c>
      <c r="AN50" s="3">
        <f t="shared" si="12"/>
        <v>21.71990211702162</v>
      </c>
      <c r="AO50" s="3">
        <f t="shared" si="13"/>
        <v>25.286296345392866</v>
      </c>
      <c r="AQ50">
        <v>1974</v>
      </c>
      <c r="AR50" s="3">
        <f t="shared" si="14"/>
        <v>23.3557432682283</v>
      </c>
      <c r="AS50" s="3">
        <f t="shared" si="15"/>
        <v>24.4809935721214</v>
      </c>
      <c r="AT50" s="3">
        <f t="shared" si="16"/>
        <v>25.9832231034515</v>
      </c>
      <c r="AU50" s="3">
        <f t="shared" si="17"/>
        <v>15.9949712500457</v>
      </c>
      <c r="AV50" s="3">
        <f t="shared" si="18"/>
        <v>17.6150803659643</v>
      </c>
      <c r="AW50" s="3">
        <f t="shared" si="19"/>
        <v>13.5062507551058</v>
      </c>
      <c r="AX50" s="3">
        <f t="shared" si="20"/>
        <v>12.5026273534033</v>
      </c>
      <c r="AY50" s="3">
        <f t="shared" si="21"/>
        <v>11.353300979381</v>
      </c>
      <c r="AZ50" s="3">
        <f t="shared" si="22"/>
        <v>7.34231364031633</v>
      </c>
      <c r="BA50" s="3">
        <f t="shared" si="23"/>
        <v>12.9120899049585</v>
      </c>
      <c r="BB50" s="3">
        <f t="shared" si="24"/>
        <v>21.7714814432206</v>
      </c>
      <c r="BC50" s="3">
        <f t="shared" si="25"/>
        <v>25.1017662191391</v>
      </c>
    </row>
    <row r="51" spans="1:55" ht="15">
      <c r="A51">
        <v>1975</v>
      </c>
      <c r="B51" s="3">
        <v>27.525626001050405</v>
      </c>
      <c r="C51" s="3">
        <v>28.18887910525445</v>
      </c>
      <c r="D51" s="3">
        <v>31.355673325959078</v>
      </c>
      <c r="E51" s="3">
        <v>26.075109027534403</v>
      </c>
      <c r="F51" s="3">
        <v>26.307809982981006</v>
      </c>
      <c r="G51" s="3">
        <v>22.910031444291572</v>
      </c>
      <c r="H51" s="3">
        <v>22.807244652112324</v>
      </c>
      <c r="I51" s="3">
        <v>12.965939134423454</v>
      </c>
      <c r="J51" s="3">
        <v>8.013794516192544</v>
      </c>
      <c r="K51" s="3">
        <v>13.644501200252241</v>
      </c>
      <c r="L51" s="3">
        <v>26.128644179528767</v>
      </c>
      <c r="M51" s="3">
        <v>24.99731074015299</v>
      </c>
      <c r="O51">
        <v>1975</v>
      </c>
      <c r="P51" s="4">
        <v>27.4607305196024</v>
      </c>
      <c r="Q51" s="4">
        <v>28.1285012184334</v>
      </c>
      <c r="R51" s="4">
        <v>31.3648526437821</v>
      </c>
      <c r="S51" s="4">
        <v>26.078988514408</v>
      </c>
      <c r="T51" s="4">
        <v>26.300272832598</v>
      </c>
      <c r="U51" s="4">
        <v>22.937303130816</v>
      </c>
      <c r="V51" s="4">
        <v>24.4186823670069</v>
      </c>
      <c r="W51" s="4">
        <v>15.131245278479</v>
      </c>
      <c r="X51" s="4">
        <v>8.7747097586592</v>
      </c>
      <c r="Y51" s="4">
        <v>13.4837574943299</v>
      </c>
      <c r="Z51" s="4">
        <v>26.0875093744647</v>
      </c>
      <c r="AA51" s="4">
        <v>24.8287784639994</v>
      </c>
      <c r="AC51">
        <v>1975</v>
      </c>
      <c r="AD51" s="3">
        <f t="shared" si="2"/>
        <v>27.525626001050405</v>
      </c>
      <c r="AE51" s="3">
        <f t="shared" si="3"/>
        <v>28.18887910525445</v>
      </c>
      <c r="AF51" s="3">
        <f t="shared" si="4"/>
        <v>31.355673325959078</v>
      </c>
      <c r="AG51" s="3">
        <f t="shared" si="5"/>
        <v>26.075109027534403</v>
      </c>
      <c r="AH51" s="3">
        <f t="shared" si="6"/>
        <v>26.307809982981006</v>
      </c>
      <c r="AI51" s="3">
        <f t="shared" si="7"/>
        <v>22.910031444291572</v>
      </c>
      <c r="AJ51" s="3">
        <f t="shared" si="8"/>
        <v>22.807244652112324</v>
      </c>
      <c r="AK51" s="3">
        <f t="shared" si="9"/>
        <v>12.965939134423454</v>
      </c>
      <c r="AL51" s="3">
        <f t="shared" si="10"/>
        <v>8.013794516192544</v>
      </c>
      <c r="AM51" s="3">
        <f t="shared" si="11"/>
        <v>13.644501200252241</v>
      </c>
      <c r="AN51" s="3">
        <f t="shared" si="12"/>
        <v>26.128644179528767</v>
      </c>
      <c r="AO51" s="3">
        <f t="shared" si="13"/>
        <v>24.99731074015299</v>
      </c>
      <c r="AQ51">
        <v>1975</v>
      </c>
      <c r="AR51" s="3">
        <f t="shared" si="14"/>
        <v>27.4607305196024</v>
      </c>
      <c r="AS51" s="3">
        <f t="shared" si="15"/>
        <v>28.1285012184334</v>
      </c>
      <c r="AT51" s="3">
        <f t="shared" si="16"/>
        <v>31.3648526437821</v>
      </c>
      <c r="AU51" s="3">
        <f t="shared" si="17"/>
        <v>26.078988514408</v>
      </c>
      <c r="AV51" s="3">
        <f t="shared" si="18"/>
        <v>26.300272832598</v>
      </c>
      <c r="AW51" s="3">
        <f t="shared" si="19"/>
        <v>22.937303130816</v>
      </c>
      <c r="AX51" s="3">
        <f t="shared" si="20"/>
        <v>24.4186823670069</v>
      </c>
      <c r="AY51" s="3">
        <f t="shared" si="21"/>
        <v>15.131245278479</v>
      </c>
      <c r="AZ51" s="3">
        <f t="shared" si="22"/>
        <v>8.7747097586592</v>
      </c>
      <c r="BA51" s="3">
        <f t="shared" si="23"/>
        <v>13.4837574943299</v>
      </c>
      <c r="BB51" s="3">
        <f t="shared" si="24"/>
        <v>26.0875093744647</v>
      </c>
      <c r="BC51" s="3">
        <f t="shared" si="25"/>
        <v>24.8287784639994</v>
      </c>
    </row>
    <row r="52" spans="1:55" ht="15">
      <c r="A52">
        <v>1976</v>
      </c>
      <c r="B52" s="3">
        <v>20.860309886163286</v>
      </c>
      <c r="C52" s="3">
        <v>21.75250770447158</v>
      </c>
      <c r="D52" s="3">
        <v>20.956489262016863</v>
      </c>
      <c r="E52" s="3">
        <v>21.400822487954162</v>
      </c>
      <c r="F52" s="3">
        <v>22.39932052067348</v>
      </c>
      <c r="G52" s="3">
        <v>18.38742205563978</v>
      </c>
      <c r="H52" s="3">
        <v>14.967754649586158</v>
      </c>
      <c r="I52" s="3">
        <v>8.034260156714627</v>
      </c>
      <c r="J52" s="3">
        <v>13.85747929149203</v>
      </c>
      <c r="K52" s="3">
        <v>17.439905583538042</v>
      </c>
      <c r="L52" s="3">
        <v>21.165649737850316</v>
      </c>
      <c r="M52" s="3">
        <v>20.490426855087282</v>
      </c>
      <c r="O52">
        <v>1976</v>
      </c>
      <c r="P52" s="4">
        <v>20.8345957033096</v>
      </c>
      <c r="Q52" s="4">
        <v>21.7399992686535</v>
      </c>
      <c r="R52" s="4">
        <v>21.0230304123253</v>
      </c>
      <c r="S52" s="4">
        <v>21.4681598337748</v>
      </c>
      <c r="T52" s="4">
        <v>22.4133001599993</v>
      </c>
      <c r="U52" s="4">
        <v>18.4787512473752</v>
      </c>
      <c r="V52" s="4">
        <v>16.0320983081394</v>
      </c>
      <c r="W52" s="4">
        <v>9.14320158411258</v>
      </c>
      <c r="X52" s="4">
        <v>15.33991795116</v>
      </c>
      <c r="Y52" s="4">
        <v>17.4166308231251</v>
      </c>
      <c r="Z52" s="4">
        <v>21.5458518082096</v>
      </c>
      <c r="AA52" s="4">
        <v>20.543614953359</v>
      </c>
      <c r="AC52">
        <v>1976</v>
      </c>
      <c r="AD52" s="3">
        <f t="shared" si="2"/>
        <v>20.860309886163286</v>
      </c>
      <c r="AE52" s="3">
        <f t="shared" si="3"/>
        <v>21.75250770447158</v>
      </c>
      <c r="AF52" s="3">
        <f t="shared" si="4"/>
        <v>20.956489262016863</v>
      </c>
      <c r="AG52" s="3">
        <f t="shared" si="5"/>
        <v>21.400822487954162</v>
      </c>
      <c r="AH52" s="3">
        <f t="shared" si="6"/>
        <v>22.39932052067348</v>
      </c>
      <c r="AI52" s="3">
        <f t="shared" si="7"/>
        <v>18.38742205563978</v>
      </c>
      <c r="AJ52" s="3">
        <f t="shared" si="8"/>
        <v>14.967754649586158</v>
      </c>
      <c r="AK52" s="3">
        <f t="shared" si="9"/>
        <v>8.034260156714627</v>
      </c>
      <c r="AL52" s="3">
        <f t="shared" si="10"/>
        <v>13.85747929149203</v>
      </c>
      <c r="AM52" s="3">
        <f t="shared" si="11"/>
        <v>17.439905583538042</v>
      </c>
      <c r="AN52" s="3">
        <f t="shared" si="12"/>
        <v>21.165649737850316</v>
      </c>
      <c r="AO52" s="3">
        <f t="shared" si="13"/>
        <v>20.490426855087282</v>
      </c>
      <c r="AQ52">
        <v>1976</v>
      </c>
      <c r="AR52" s="3">
        <f t="shared" si="14"/>
        <v>20.8345957033096</v>
      </c>
      <c r="AS52" s="3">
        <f t="shared" si="15"/>
        <v>21.7399992686535</v>
      </c>
      <c r="AT52" s="3">
        <f t="shared" si="16"/>
        <v>21.0230304123253</v>
      </c>
      <c r="AU52" s="3">
        <f t="shared" si="17"/>
        <v>21.4681598337748</v>
      </c>
      <c r="AV52" s="3">
        <f t="shared" si="18"/>
        <v>22.4133001599993</v>
      </c>
      <c r="AW52" s="3">
        <f t="shared" si="19"/>
        <v>18.4787512473752</v>
      </c>
      <c r="AX52" s="3">
        <f t="shared" si="20"/>
        <v>16.0320983081394</v>
      </c>
      <c r="AY52" s="3">
        <f t="shared" si="21"/>
        <v>9.14320158411258</v>
      </c>
      <c r="AZ52" s="3">
        <f t="shared" si="22"/>
        <v>15.33991795116</v>
      </c>
      <c r="BA52" s="3">
        <f t="shared" si="23"/>
        <v>17.4166308231251</v>
      </c>
      <c r="BB52" s="3">
        <f t="shared" si="24"/>
        <v>21.5458518082096</v>
      </c>
      <c r="BC52" s="3">
        <f t="shared" si="25"/>
        <v>20.543614953359</v>
      </c>
    </row>
    <row r="53" spans="1:55" ht="15">
      <c r="A53">
        <v>1977</v>
      </c>
      <c r="B53" s="3">
        <v>24.768596413058617</v>
      </c>
      <c r="C53" s="3">
        <v>26.915766491473306</v>
      </c>
      <c r="D53" s="3">
        <v>32.27426318199403</v>
      </c>
      <c r="E53" s="3">
        <v>32.352170846282796</v>
      </c>
      <c r="F53" s="3">
        <v>31.68495786530631</v>
      </c>
      <c r="G53" s="3">
        <v>26.900345370297806</v>
      </c>
      <c r="H53" s="3">
        <v>23.964248606893754</v>
      </c>
      <c r="I53" s="3">
        <v>21.861499543600182</v>
      </c>
      <c r="J53" s="3">
        <v>26.701677804523037</v>
      </c>
      <c r="K53" s="3">
        <v>26.948191362298946</v>
      </c>
      <c r="L53" s="3">
        <v>27.070418657025982</v>
      </c>
      <c r="M53" s="3">
        <v>27.68513260205587</v>
      </c>
      <c r="O53">
        <v>1977</v>
      </c>
      <c r="P53" s="4">
        <v>24.7736777651695</v>
      </c>
      <c r="Q53" s="4">
        <v>26.8854293153951</v>
      </c>
      <c r="R53" s="4">
        <v>32.2862372341976</v>
      </c>
      <c r="S53" s="4">
        <v>32.4039301867126</v>
      </c>
      <c r="T53" s="4">
        <v>31.7125700678144</v>
      </c>
      <c r="U53" s="4">
        <v>26.919821529658</v>
      </c>
      <c r="V53" s="4">
        <v>25.2563321415583</v>
      </c>
      <c r="W53" s="4">
        <v>23.2568790207627</v>
      </c>
      <c r="X53" s="4">
        <v>27.2242874569363</v>
      </c>
      <c r="Y53" s="4">
        <v>26.9529259735538</v>
      </c>
      <c r="Z53" s="4">
        <v>27.2030741845408</v>
      </c>
      <c r="AA53" s="4">
        <v>27.66858238856</v>
      </c>
      <c r="AC53">
        <v>1977</v>
      </c>
      <c r="AD53" s="3">
        <f t="shared" si="2"/>
        <v>24.768596413058617</v>
      </c>
      <c r="AE53" s="3">
        <f t="shared" si="3"/>
        <v>26.915766491473306</v>
      </c>
      <c r="AF53" s="3">
        <f t="shared" si="4"/>
        <v>32.27426318199403</v>
      </c>
      <c r="AG53" s="3">
        <f t="shared" si="5"/>
        <v>32.352170846282796</v>
      </c>
      <c r="AH53" s="3">
        <f t="shared" si="6"/>
        <v>31.68495786530631</v>
      </c>
      <c r="AI53" s="3">
        <f t="shared" si="7"/>
        <v>26.900345370297806</v>
      </c>
      <c r="AJ53" s="3">
        <f t="shared" si="8"/>
        <v>23.964248606893754</v>
      </c>
      <c r="AK53" s="3">
        <f t="shared" si="9"/>
        <v>21.861499543600182</v>
      </c>
      <c r="AL53" s="3">
        <f t="shared" si="10"/>
        <v>26.701677804523037</v>
      </c>
      <c r="AM53" s="3">
        <f t="shared" si="11"/>
        <v>26.948191362298946</v>
      </c>
      <c r="AN53" s="3">
        <f t="shared" si="12"/>
        <v>27.070418657025982</v>
      </c>
      <c r="AO53" s="3">
        <f t="shared" si="13"/>
        <v>27.68513260205587</v>
      </c>
      <c r="AQ53">
        <v>1977</v>
      </c>
      <c r="AR53" s="3">
        <f t="shared" si="14"/>
        <v>24.7736777651695</v>
      </c>
      <c r="AS53" s="3">
        <f t="shared" si="15"/>
        <v>26.8854293153951</v>
      </c>
      <c r="AT53" s="3">
        <f t="shared" si="16"/>
        <v>32.2862372341976</v>
      </c>
      <c r="AU53" s="3">
        <f t="shared" si="17"/>
        <v>32.4039301867126</v>
      </c>
      <c r="AV53" s="3">
        <f t="shared" si="18"/>
        <v>31.7125700678144</v>
      </c>
      <c r="AW53" s="3">
        <f t="shared" si="19"/>
        <v>26.919821529658</v>
      </c>
      <c r="AX53" s="3">
        <f t="shared" si="20"/>
        <v>25.2563321415583</v>
      </c>
      <c r="AY53" s="3">
        <f t="shared" si="21"/>
        <v>23.2568790207627</v>
      </c>
      <c r="AZ53" s="3">
        <f t="shared" si="22"/>
        <v>27.2242874569363</v>
      </c>
      <c r="BA53" s="3">
        <f t="shared" si="23"/>
        <v>26.9529259735538</v>
      </c>
      <c r="BB53" s="3">
        <f t="shared" si="24"/>
        <v>27.2030741845408</v>
      </c>
      <c r="BC53" s="3">
        <f t="shared" si="25"/>
        <v>27.66858238856</v>
      </c>
    </row>
    <row r="54" spans="1:55" ht="15">
      <c r="A54">
        <v>1978</v>
      </c>
      <c r="B54" s="3">
        <v>25.944453812414604</v>
      </c>
      <c r="C54" s="3">
        <v>27.068946319843302</v>
      </c>
      <c r="D54" s="3">
        <v>29.055679347438193</v>
      </c>
      <c r="E54" s="3">
        <v>27.612492483149282</v>
      </c>
      <c r="F54" s="3">
        <v>27.39216480936323</v>
      </c>
      <c r="G54" s="3">
        <v>24.61999077155163</v>
      </c>
      <c r="H54" s="3">
        <v>17.460277849303356</v>
      </c>
      <c r="I54" s="3">
        <v>14.876228328609978</v>
      </c>
      <c r="J54" s="3">
        <v>21.2293552743064</v>
      </c>
      <c r="K54" s="3">
        <v>22.637266900975213</v>
      </c>
      <c r="L54" s="3">
        <v>28.26717249578045</v>
      </c>
      <c r="M54" s="3">
        <v>23.409629418055218</v>
      </c>
      <c r="O54">
        <v>1978</v>
      </c>
      <c r="P54" s="4">
        <v>25.9391164387426</v>
      </c>
      <c r="Q54" s="4">
        <v>27.0364630315572</v>
      </c>
      <c r="R54" s="4">
        <v>29.0744287090917</v>
      </c>
      <c r="S54" s="4">
        <v>27.6217527774072</v>
      </c>
      <c r="T54" s="4">
        <v>27.3748347691127</v>
      </c>
      <c r="U54" s="4">
        <v>24.6465349961739</v>
      </c>
      <c r="V54" s="4">
        <v>18.3561083046595</v>
      </c>
      <c r="W54" s="4">
        <v>16.6028471721116</v>
      </c>
      <c r="X54" s="4">
        <v>21.9807680500878</v>
      </c>
      <c r="Y54" s="4">
        <v>22.488440520789</v>
      </c>
      <c r="Z54" s="4">
        <v>28.5444773797066</v>
      </c>
      <c r="AA54" s="4">
        <v>23.4324401172002</v>
      </c>
      <c r="AC54">
        <v>1978</v>
      </c>
      <c r="AD54" s="3">
        <f t="shared" si="2"/>
        <v>25.944453812414604</v>
      </c>
      <c r="AE54" s="3">
        <f t="shared" si="3"/>
        <v>27.068946319843302</v>
      </c>
      <c r="AF54" s="3">
        <f t="shared" si="4"/>
        <v>29.055679347438193</v>
      </c>
      <c r="AG54" s="3">
        <f t="shared" si="5"/>
        <v>27.612492483149282</v>
      </c>
      <c r="AH54" s="3">
        <f t="shared" si="6"/>
        <v>27.39216480936323</v>
      </c>
      <c r="AI54" s="3">
        <f t="shared" si="7"/>
        <v>24.61999077155163</v>
      </c>
      <c r="AJ54" s="3">
        <f t="shared" si="8"/>
        <v>17.460277849303356</v>
      </c>
      <c r="AK54" s="3">
        <f t="shared" si="9"/>
        <v>14.876228328609978</v>
      </c>
      <c r="AL54" s="3">
        <f t="shared" si="10"/>
        <v>21.2293552743064</v>
      </c>
      <c r="AM54" s="3">
        <f t="shared" si="11"/>
        <v>22.637266900975213</v>
      </c>
      <c r="AN54" s="3">
        <f t="shared" si="12"/>
        <v>28.26717249578045</v>
      </c>
      <c r="AO54" s="3">
        <f t="shared" si="13"/>
        <v>23.409629418055218</v>
      </c>
      <c r="AQ54">
        <v>1978</v>
      </c>
      <c r="AR54" s="3">
        <f t="shared" si="14"/>
        <v>25.9391164387426</v>
      </c>
      <c r="AS54" s="3">
        <f t="shared" si="15"/>
        <v>27.0364630315572</v>
      </c>
      <c r="AT54" s="3">
        <f t="shared" si="16"/>
        <v>29.0744287090917</v>
      </c>
      <c r="AU54" s="3">
        <f t="shared" si="17"/>
        <v>27.6217527774072</v>
      </c>
      <c r="AV54" s="3">
        <f t="shared" si="18"/>
        <v>27.3748347691127</v>
      </c>
      <c r="AW54" s="3">
        <f t="shared" si="19"/>
        <v>24.6465349961739</v>
      </c>
      <c r="AX54" s="3">
        <f t="shared" si="20"/>
        <v>18.3561083046595</v>
      </c>
      <c r="AY54" s="3">
        <f t="shared" si="21"/>
        <v>16.6028471721116</v>
      </c>
      <c r="AZ54" s="3">
        <f t="shared" si="22"/>
        <v>21.9807680500878</v>
      </c>
      <c r="BA54" s="3">
        <f t="shared" si="23"/>
        <v>22.488440520789</v>
      </c>
      <c r="BB54" s="3">
        <f t="shared" si="24"/>
        <v>28.5444773797066</v>
      </c>
      <c r="BC54" s="3">
        <f t="shared" si="25"/>
        <v>23.4324401172002</v>
      </c>
    </row>
    <row r="55" spans="1:55" ht="15">
      <c r="A55">
        <v>1979</v>
      </c>
      <c r="B55" s="3">
        <v>23.82315876714644</v>
      </c>
      <c r="C55" s="3">
        <v>26.39538364251674</v>
      </c>
      <c r="D55" s="3">
        <v>30.22733958716035</v>
      </c>
      <c r="E55" s="3">
        <v>26.833308914656282</v>
      </c>
      <c r="F55" s="3">
        <v>28.98264316150121</v>
      </c>
      <c r="G55" s="3">
        <v>22.64211517548336</v>
      </c>
      <c r="H55" s="3">
        <v>23.05781806839837</v>
      </c>
      <c r="I55" s="3">
        <v>15.759757697582254</v>
      </c>
      <c r="J55" s="3">
        <v>21.702462575170724</v>
      </c>
      <c r="K55" s="3">
        <v>28.82869878943249</v>
      </c>
      <c r="L55" s="3">
        <v>28.903407186077477</v>
      </c>
      <c r="M55" s="3">
        <v>26.16955221494039</v>
      </c>
      <c r="O55">
        <v>1979</v>
      </c>
      <c r="P55" s="4">
        <v>23.8508779433466</v>
      </c>
      <c r="Q55" s="4">
        <v>26.3964772139111</v>
      </c>
      <c r="R55" s="4">
        <v>30.2778782972725</v>
      </c>
      <c r="S55" s="4">
        <v>26.8183463037655</v>
      </c>
      <c r="T55" s="4">
        <v>28.9823990140642</v>
      </c>
      <c r="U55" s="4">
        <v>22.6261289522112</v>
      </c>
      <c r="V55" s="4">
        <v>24.7635568888982</v>
      </c>
      <c r="W55" s="4">
        <v>17.0899979709297</v>
      </c>
      <c r="X55" s="4">
        <v>22.4891542858548</v>
      </c>
      <c r="Y55" s="4">
        <v>28.7668073849011</v>
      </c>
      <c r="Z55" s="4">
        <v>29.092794885943</v>
      </c>
      <c r="AA55" s="4">
        <v>26.1538931020101</v>
      </c>
      <c r="AC55">
        <v>1979</v>
      </c>
      <c r="AD55" s="3">
        <f t="shared" si="2"/>
        <v>23.82315876714644</v>
      </c>
      <c r="AE55" s="3">
        <f t="shared" si="3"/>
        <v>26.39538364251674</v>
      </c>
      <c r="AF55" s="3">
        <f t="shared" si="4"/>
        <v>30.22733958716035</v>
      </c>
      <c r="AG55" s="3">
        <f t="shared" si="5"/>
        <v>26.833308914656282</v>
      </c>
      <c r="AH55" s="3">
        <f t="shared" si="6"/>
        <v>28.98264316150121</v>
      </c>
      <c r="AI55" s="3">
        <f t="shared" si="7"/>
        <v>22.64211517548336</v>
      </c>
      <c r="AJ55" s="3">
        <f t="shared" si="8"/>
        <v>23.05781806839837</v>
      </c>
      <c r="AK55" s="3">
        <f t="shared" si="9"/>
        <v>15.759757697582254</v>
      </c>
      <c r="AL55" s="3">
        <f t="shared" si="10"/>
        <v>21.702462575170724</v>
      </c>
      <c r="AM55" s="3">
        <f t="shared" si="11"/>
        <v>28.82869878943249</v>
      </c>
      <c r="AN55" s="3">
        <f t="shared" si="12"/>
        <v>28.903407186077477</v>
      </c>
      <c r="AO55" s="3">
        <f t="shared" si="13"/>
        <v>26.16955221494039</v>
      </c>
      <c r="AQ55">
        <v>1979</v>
      </c>
      <c r="AR55" s="3">
        <f t="shared" si="14"/>
        <v>23.8508779433466</v>
      </c>
      <c r="AS55" s="3">
        <f t="shared" si="15"/>
        <v>26.3964772139111</v>
      </c>
      <c r="AT55" s="3">
        <f t="shared" si="16"/>
        <v>30.2778782972725</v>
      </c>
      <c r="AU55" s="3">
        <f t="shared" si="17"/>
        <v>26.8183463037655</v>
      </c>
      <c r="AV55" s="3">
        <f t="shared" si="18"/>
        <v>28.9823990140642</v>
      </c>
      <c r="AW55" s="3">
        <f t="shared" si="19"/>
        <v>22.6261289522112</v>
      </c>
      <c r="AX55" s="3">
        <f t="shared" si="20"/>
        <v>24.7635568888982</v>
      </c>
      <c r="AY55" s="3">
        <f t="shared" si="21"/>
        <v>17.0899979709297</v>
      </c>
      <c r="AZ55" s="3">
        <f t="shared" si="22"/>
        <v>22.4891542858548</v>
      </c>
      <c r="BA55" s="3">
        <f t="shared" si="23"/>
        <v>28.7668073849011</v>
      </c>
      <c r="BB55" s="3">
        <f t="shared" si="24"/>
        <v>29.092794885943</v>
      </c>
      <c r="BC55" s="3">
        <f t="shared" si="25"/>
        <v>26.1538931020101</v>
      </c>
    </row>
    <row r="56" spans="1:55" ht="15">
      <c r="A56">
        <v>1980</v>
      </c>
      <c r="B56" s="3">
        <v>24.854368561314</v>
      </c>
      <c r="C56" s="3">
        <v>25.852183090400434</v>
      </c>
      <c r="D56" s="3">
        <v>29.855893027397894</v>
      </c>
      <c r="E56" s="3">
        <v>26.981763398262764</v>
      </c>
      <c r="F56" s="3">
        <v>27.5930498123169</v>
      </c>
      <c r="G56" s="3">
        <v>25.435550865863885</v>
      </c>
      <c r="H56" s="3">
        <v>18.80519331614176</v>
      </c>
      <c r="I56" s="3">
        <v>9.303172083239081</v>
      </c>
      <c r="J56" s="3">
        <v>13.794765550891563</v>
      </c>
      <c r="K56" s="3">
        <v>23.860695856360984</v>
      </c>
      <c r="L56" s="3">
        <v>27.547826836955164</v>
      </c>
      <c r="M56" s="3">
        <v>25.063453146616617</v>
      </c>
      <c r="O56">
        <v>1980</v>
      </c>
      <c r="P56" s="4">
        <v>24.8475628060679</v>
      </c>
      <c r="Q56" s="4">
        <v>25.833687760033</v>
      </c>
      <c r="R56" s="4">
        <v>29.8866587305582</v>
      </c>
      <c r="S56" s="4">
        <v>26.9882165267903</v>
      </c>
      <c r="T56" s="4">
        <v>27.583404983793</v>
      </c>
      <c r="U56" s="4">
        <v>25.438582773645</v>
      </c>
      <c r="V56" s="4">
        <v>19.6994240146213</v>
      </c>
      <c r="W56" s="4">
        <v>12.0974254149904</v>
      </c>
      <c r="X56" s="4">
        <v>15.4229654583666</v>
      </c>
      <c r="Y56" s="4">
        <v>23.6108468155707</v>
      </c>
      <c r="Z56" s="4">
        <v>27.4793766706221</v>
      </c>
      <c r="AA56" s="4">
        <v>24.9264578135808</v>
      </c>
      <c r="AC56">
        <v>1980</v>
      </c>
      <c r="AD56" s="3">
        <f t="shared" si="2"/>
        <v>24.854368561314</v>
      </c>
      <c r="AE56" s="3">
        <f t="shared" si="3"/>
        <v>25.852183090400434</v>
      </c>
      <c r="AF56" s="3">
        <f t="shared" si="4"/>
        <v>29.855893027397894</v>
      </c>
      <c r="AG56" s="3">
        <f t="shared" si="5"/>
        <v>26.981763398262764</v>
      </c>
      <c r="AH56" s="3">
        <f t="shared" si="6"/>
        <v>27.5930498123169</v>
      </c>
      <c r="AI56" s="3">
        <f t="shared" si="7"/>
        <v>25.435550865863885</v>
      </c>
      <c r="AJ56" s="3">
        <f t="shared" si="8"/>
        <v>18.80519331614176</v>
      </c>
      <c r="AK56" s="3">
        <f t="shared" si="9"/>
        <v>9.303172083239081</v>
      </c>
      <c r="AL56" s="3">
        <f t="shared" si="10"/>
        <v>13.794765550891563</v>
      </c>
      <c r="AM56" s="3">
        <f t="shared" si="11"/>
        <v>23.860695856360984</v>
      </c>
      <c r="AN56" s="3">
        <f t="shared" si="12"/>
        <v>27.547826836955164</v>
      </c>
      <c r="AO56" s="3">
        <f t="shared" si="13"/>
        <v>25.063453146616617</v>
      </c>
      <c r="AQ56">
        <v>1980</v>
      </c>
      <c r="AR56" s="3">
        <f t="shared" si="14"/>
        <v>24.8475628060679</v>
      </c>
      <c r="AS56" s="3">
        <f t="shared" si="15"/>
        <v>25.833687760033</v>
      </c>
      <c r="AT56" s="3">
        <f t="shared" si="16"/>
        <v>29.8866587305582</v>
      </c>
      <c r="AU56" s="3">
        <f t="shared" si="17"/>
        <v>26.9882165267903</v>
      </c>
      <c r="AV56" s="3">
        <f t="shared" si="18"/>
        <v>27.583404983793</v>
      </c>
      <c r="AW56" s="3">
        <f t="shared" si="19"/>
        <v>25.438582773645</v>
      </c>
      <c r="AX56" s="3">
        <f t="shared" si="20"/>
        <v>19.6994240146213</v>
      </c>
      <c r="AY56" s="3">
        <f t="shared" si="21"/>
        <v>12.0974254149904</v>
      </c>
      <c r="AZ56" s="3">
        <f t="shared" si="22"/>
        <v>15.4229654583666</v>
      </c>
      <c r="BA56" s="3">
        <f t="shared" si="23"/>
        <v>23.6108468155707</v>
      </c>
      <c r="BB56" s="3">
        <f t="shared" si="24"/>
        <v>27.4793766706221</v>
      </c>
      <c r="BC56" s="3">
        <f t="shared" si="25"/>
        <v>24.9264578135808</v>
      </c>
    </row>
    <row r="57" spans="1:55" ht="15">
      <c r="A57">
        <v>1981</v>
      </c>
      <c r="B57" s="3">
        <v>23.691883430942404</v>
      </c>
      <c r="C57" s="3">
        <v>24.708629749552053</v>
      </c>
      <c r="D57" s="3">
        <v>23.86515812412385</v>
      </c>
      <c r="E57" s="3">
        <v>23.17709747693873</v>
      </c>
      <c r="F57" s="3">
        <v>24.3363940852029</v>
      </c>
      <c r="G57" s="3">
        <v>24.924527941449647</v>
      </c>
      <c r="H57" s="3">
        <v>23.529301320181943</v>
      </c>
      <c r="I57" s="3">
        <v>17.54437065432149</v>
      </c>
      <c r="J57" s="3">
        <v>11.349038923117853</v>
      </c>
      <c r="K57" s="3">
        <v>21.466298737833576</v>
      </c>
      <c r="L57" s="3">
        <v>23.9207303854727</v>
      </c>
      <c r="M57" s="3">
        <v>25.375613004366553</v>
      </c>
      <c r="O57">
        <v>1981</v>
      </c>
      <c r="P57" s="4">
        <v>23.5910144329071</v>
      </c>
      <c r="Q57" s="4">
        <v>24.603015923467</v>
      </c>
      <c r="R57" s="4">
        <v>23.8910148464223</v>
      </c>
      <c r="S57" s="4">
        <v>23.2529931804185</v>
      </c>
      <c r="T57" s="4">
        <v>24.3793266364506</v>
      </c>
      <c r="U57" s="4">
        <v>25.0167255576815</v>
      </c>
      <c r="V57" s="4">
        <v>25.056974990103</v>
      </c>
      <c r="W57" s="4">
        <v>18.5893406196307</v>
      </c>
      <c r="X57" s="4">
        <v>13.5921876019902</v>
      </c>
      <c r="Y57" s="4">
        <v>21.3201700043935</v>
      </c>
      <c r="Z57" s="4">
        <v>24.2459313969458</v>
      </c>
      <c r="AA57" s="4">
        <v>25.3519960562388</v>
      </c>
      <c r="AC57">
        <v>1981</v>
      </c>
      <c r="AD57" s="3">
        <f t="shared" si="2"/>
        <v>23.691883430942404</v>
      </c>
      <c r="AE57" s="3">
        <f t="shared" si="3"/>
        <v>24.708629749552053</v>
      </c>
      <c r="AF57" s="3">
        <f t="shared" si="4"/>
        <v>23.86515812412385</v>
      </c>
      <c r="AG57" s="3">
        <f t="shared" si="5"/>
        <v>23.17709747693873</v>
      </c>
      <c r="AH57" s="3">
        <f t="shared" si="6"/>
        <v>24.3363940852029</v>
      </c>
      <c r="AI57" s="3">
        <f t="shared" si="7"/>
        <v>24.924527941449647</v>
      </c>
      <c r="AJ57" s="3">
        <f t="shared" si="8"/>
        <v>23.529301320181943</v>
      </c>
      <c r="AK57" s="3">
        <f t="shared" si="9"/>
        <v>17.54437065432149</v>
      </c>
      <c r="AL57" s="3">
        <f t="shared" si="10"/>
        <v>11.349038923117853</v>
      </c>
      <c r="AM57" s="3">
        <f t="shared" si="11"/>
        <v>21.466298737833576</v>
      </c>
      <c r="AN57" s="3">
        <f t="shared" si="12"/>
        <v>23.9207303854727</v>
      </c>
      <c r="AO57" s="3">
        <f t="shared" si="13"/>
        <v>25.375613004366553</v>
      </c>
      <c r="AQ57">
        <v>1981</v>
      </c>
      <c r="AR57" s="3">
        <f t="shared" si="14"/>
        <v>23.5910144329071</v>
      </c>
      <c r="AS57" s="3">
        <f t="shared" si="15"/>
        <v>24.603015923467</v>
      </c>
      <c r="AT57" s="3">
        <f t="shared" si="16"/>
        <v>23.8910148464223</v>
      </c>
      <c r="AU57" s="3">
        <f t="shared" si="17"/>
        <v>23.2529931804185</v>
      </c>
      <c r="AV57" s="3">
        <f t="shared" si="18"/>
        <v>24.3793266364506</v>
      </c>
      <c r="AW57" s="3">
        <f t="shared" si="19"/>
        <v>25.0167255576815</v>
      </c>
      <c r="AX57" s="3">
        <f t="shared" si="20"/>
        <v>25.056974990103</v>
      </c>
      <c r="AY57" s="3">
        <f t="shared" si="21"/>
        <v>18.5893406196307</v>
      </c>
      <c r="AZ57" s="3">
        <f t="shared" si="22"/>
        <v>13.5921876019902</v>
      </c>
      <c r="BA57" s="3">
        <f t="shared" si="23"/>
        <v>21.3201700043935</v>
      </c>
      <c r="BB57" s="3">
        <f t="shared" si="24"/>
        <v>24.2459313969458</v>
      </c>
      <c r="BC57" s="3">
        <f t="shared" si="25"/>
        <v>25.3519960562388</v>
      </c>
    </row>
    <row r="58" spans="1:55" ht="15">
      <c r="A58">
        <v>1982</v>
      </c>
      <c r="B58" s="3">
        <v>23.657128346350884</v>
      </c>
      <c r="C58" s="3">
        <v>25.224052186217293</v>
      </c>
      <c r="D58" s="3">
        <v>27.608960815142563</v>
      </c>
      <c r="E58" s="3">
        <v>24.80968570093955</v>
      </c>
      <c r="F58" s="3">
        <v>18.25000716357358</v>
      </c>
      <c r="G58" s="3">
        <v>14.052365720171782</v>
      </c>
      <c r="H58" s="3">
        <v>16.978151310284925</v>
      </c>
      <c r="I58" s="3">
        <v>11.363510703527792</v>
      </c>
      <c r="J58" s="3">
        <v>10.280522289127116</v>
      </c>
      <c r="K58" s="3">
        <v>13.991737337362377</v>
      </c>
      <c r="L58" s="3">
        <v>24.067111293731188</v>
      </c>
      <c r="M58" s="3">
        <v>24.138188489278157</v>
      </c>
      <c r="O58">
        <v>1982</v>
      </c>
      <c r="P58" s="4">
        <v>23.5985726010415</v>
      </c>
      <c r="Q58" s="4">
        <v>25.2073163483576</v>
      </c>
      <c r="R58" s="4">
        <v>27.6282036253201</v>
      </c>
      <c r="S58" s="4">
        <v>24.7976919286995</v>
      </c>
      <c r="T58" s="4">
        <v>18.5728809680257</v>
      </c>
      <c r="U58" s="4">
        <v>14.3132221613606</v>
      </c>
      <c r="V58" s="4">
        <v>17.9062229357825</v>
      </c>
      <c r="W58" s="4">
        <v>13.4576782676481</v>
      </c>
      <c r="X58" s="4">
        <v>11.3528595752186</v>
      </c>
      <c r="Y58" s="4">
        <v>14.1545953950895</v>
      </c>
      <c r="Z58" s="4">
        <v>24.1352373892261</v>
      </c>
      <c r="AA58" s="4">
        <v>24.0316746648153</v>
      </c>
      <c r="AC58">
        <v>1982</v>
      </c>
      <c r="AD58" s="3">
        <f t="shared" si="2"/>
        <v>23.657128346350884</v>
      </c>
      <c r="AE58" s="3">
        <f t="shared" si="3"/>
        <v>25.224052186217293</v>
      </c>
      <c r="AF58" s="3">
        <f t="shared" si="4"/>
        <v>27.608960815142563</v>
      </c>
      <c r="AG58" s="3">
        <f t="shared" si="5"/>
        <v>24.80968570093955</v>
      </c>
      <c r="AH58" s="3">
        <f t="shared" si="6"/>
        <v>18.25000716357358</v>
      </c>
      <c r="AI58" s="3">
        <f t="shared" si="7"/>
        <v>14.052365720171782</v>
      </c>
      <c r="AJ58" s="3">
        <f t="shared" si="8"/>
        <v>16.978151310284925</v>
      </c>
      <c r="AK58" s="3">
        <f t="shared" si="9"/>
        <v>11.363510703527792</v>
      </c>
      <c r="AL58" s="3">
        <f t="shared" si="10"/>
        <v>10.280522289127116</v>
      </c>
      <c r="AM58" s="3">
        <f t="shared" si="11"/>
        <v>13.991737337362377</v>
      </c>
      <c r="AN58" s="3">
        <f t="shared" si="12"/>
        <v>24.067111293731188</v>
      </c>
      <c r="AO58" s="3">
        <f t="shared" si="13"/>
        <v>24.138188489278157</v>
      </c>
      <c r="AQ58">
        <v>1982</v>
      </c>
      <c r="AR58" s="3">
        <f t="shared" si="14"/>
        <v>23.5985726010415</v>
      </c>
      <c r="AS58" s="3">
        <f t="shared" si="15"/>
        <v>25.2073163483576</v>
      </c>
      <c r="AT58" s="3">
        <f t="shared" si="16"/>
        <v>27.6282036253201</v>
      </c>
      <c r="AU58" s="3">
        <f t="shared" si="17"/>
        <v>24.7976919286995</v>
      </c>
      <c r="AV58" s="3">
        <f t="shared" si="18"/>
        <v>18.5728809680257</v>
      </c>
      <c r="AW58" s="3">
        <f t="shared" si="19"/>
        <v>14.3132221613606</v>
      </c>
      <c r="AX58" s="3">
        <f t="shared" si="20"/>
        <v>17.9062229357825</v>
      </c>
      <c r="AY58" s="3">
        <f t="shared" si="21"/>
        <v>13.4576782676481</v>
      </c>
      <c r="AZ58" s="3">
        <f t="shared" si="22"/>
        <v>11.3528595752186</v>
      </c>
      <c r="BA58" s="3">
        <f t="shared" si="23"/>
        <v>14.1545953950895</v>
      </c>
      <c r="BB58" s="3">
        <f t="shared" si="24"/>
        <v>24.1352373892261</v>
      </c>
      <c r="BC58" s="3">
        <f t="shared" si="25"/>
        <v>24.0316746648153</v>
      </c>
    </row>
    <row r="59" spans="1:55" ht="15">
      <c r="A59">
        <v>1983</v>
      </c>
      <c r="B59" s="3">
        <v>22.900574919485276</v>
      </c>
      <c r="C59" s="3">
        <v>25.491371616411147</v>
      </c>
      <c r="D59" s="3">
        <v>26.51923404047567</v>
      </c>
      <c r="E59" s="3">
        <v>23.546475495574303</v>
      </c>
      <c r="F59" s="3">
        <v>23.44605587209975</v>
      </c>
      <c r="G59" s="3">
        <v>18.731855383792116</v>
      </c>
      <c r="H59" s="3">
        <v>18.858939193089803</v>
      </c>
      <c r="I59" s="3">
        <v>13.912337714754113</v>
      </c>
      <c r="J59" s="3">
        <v>14.31694990793864</v>
      </c>
      <c r="K59" s="3">
        <v>16.879066617129947</v>
      </c>
      <c r="L59" s="3">
        <v>23.509232516442573</v>
      </c>
      <c r="M59" s="3">
        <v>23.843506752649947</v>
      </c>
      <c r="O59">
        <v>1983</v>
      </c>
      <c r="P59" s="4">
        <v>22.8258802252431</v>
      </c>
      <c r="Q59" s="4">
        <v>25.456962762494</v>
      </c>
      <c r="R59" s="4">
        <v>26.4998877520202</v>
      </c>
      <c r="S59" s="4">
        <v>23.5719278030498</v>
      </c>
      <c r="T59" s="4">
        <v>23.4665139402662</v>
      </c>
      <c r="U59" s="4">
        <v>18.7730544147389</v>
      </c>
      <c r="V59" s="4">
        <v>19.7583896817101</v>
      </c>
      <c r="W59" s="4">
        <v>15.5239234633343</v>
      </c>
      <c r="X59" s="4">
        <v>15.7471382962333</v>
      </c>
      <c r="Y59" s="4">
        <v>16.7315849006817</v>
      </c>
      <c r="Z59" s="4">
        <v>23.8074392349489</v>
      </c>
      <c r="AA59" s="4">
        <v>23.8222531223297</v>
      </c>
      <c r="AC59">
        <v>1983</v>
      </c>
      <c r="AD59" s="3">
        <f t="shared" si="2"/>
        <v>22.900574919485276</v>
      </c>
      <c r="AE59" s="3">
        <f t="shared" si="3"/>
        <v>25.491371616411147</v>
      </c>
      <c r="AF59" s="3">
        <f t="shared" si="4"/>
        <v>26.51923404047567</v>
      </c>
      <c r="AG59" s="3">
        <f t="shared" si="5"/>
        <v>23.546475495574303</v>
      </c>
      <c r="AH59" s="3">
        <f t="shared" si="6"/>
        <v>23.44605587209975</v>
      </c>
      <c r="AI59" s="3">
        <f t="shared" si="7"/>
        <v>18.731855383792116</v>
      </c>
      <c r="AJ59" s="3">
        <f t="shared" si="8"/>
        <v>18.858939193089803</v>
      </c>
      <c r="AK59" s="3">
        <f t="shared" si="9"/>
        <v>13.912337714754113</v>
      </c>
      <c r="AL59" s="3">
        <f t="shared" si="10"/>
        <v>14.31694990793864</v>
      </c>
      <c r="AM59" s="3">
        <f t="shared" si="11"/>
        <v>16.879066617129947</v>
      </c>
      <c r="AN59" s="3">
        <f t="shared" si="12"/>
        <v>23.509232516442573</v>
      </c>
      <c r="AO59" s="3">
        <f t="shared" si="13"/>
        <v>23.843506752649947</v>
      </c>
      <c r="AQ59">
        <v>1983</v>
      </c>
      <c r="AR59" s="3">
        <f t="shared" si="14"/>
        <v>22.8258802252431</v>
      </c>
      <c r="AS59" s="3">
        <f t="shared" si="15"/>
        <v>25.456962762494</v>
      </c>
      <c r="AT59" s="3">
        <f t="shared" si="16"/>
        <v>26.4998877520202</v>
      </c>
      <c r="AU59" s="3">
        <f t="shared" si="17"/>
        <v>23.5719278030498</v>
      </c>
      <c r="AV59" s="3">
        <f t="shared" si="18"/>
        <v>23.4665139402662</v>
      </c>
      <c r="AW59" s="3">
        <f t="shared" si="19"/>
        <v>18.7730544147389</v>
      </c>
      <c r="AX59" s="3">
        <f t="shared" si="20"/>
        <v>19.7583896817101</v>
      </c>
      <c r="AY59" s="3">
        <f t="shared" si="21"/>
        <v>15.5239234633343</v>
      </c>
      <c r="AZ59" s="3">
        <f t="shared" si="22"/>
        <v>15.7471382962333</v>
      </c>
      <c r="BA59" s="3">
        <f t="shared" si="23"/>
        <v>16.7315849006817</v>
      </c>
      <c r="BB59" s="3">
        <f t="shared" si="24"/>
        <v>23.8074392349489</v>
      </c>
      <c r="BC59" s="3">
        <f t="shared" si="25"/>
        <v>23.8222531223297</v>
      </c>
    </row>
    <row r="60" spans="1:55" ht="15">
      <c r="A60">
        <v>1984</v>
      </c>
      <c r="B60" s="3">
        <v>24.137277479325572</v>
      </c>
      <c r="C60" s="3">
        <v>22.493085787398797</v>
      </c>
      <c r="D60" s="3">
        <v>26.165592451762127</v>
      </c>
      <c r="E60" s="3">
        <v>24.25400578642404</v>
      </c>
      <c r="F60" s="3">
        <v>24.120693683624268</v>
      </c>
      <c r="G60" s="3">
        <v>21.08617249359834</v>
      </c>
      <c r="H60" s="3">
        <v>14.59751635799805</v>
      </c>
      <c r="I60" s="3">
        <v>14.438316437249531</v>
      </c>
      <c r="J60" s="3">
        <v>10.425737810631592</v>
      </c>
      <c r="K60" s="3">
        <v>19.71329355203015</v>
      </c>
      <c r="L60" s="3">
        <v>24.573402414783352</v>
      </c>
      <c r="M60" s="3">
        <v>23.985154900550846</v>
      </c>
      <c r="O60">
        <v>1984</v>
      </c>
      <c r="P60" s="4">
        <v>24.1301147030246</v>
      </c>
      <c r="Q60" s="4">
        <v>22.5229317529522</v>
      </c>
      <c r="R60" s="4">
        <v>26.1486155576603</v>
      </c>
      <c r="S60" s="4">
        <v>24.2791916706229</v>
      </c>
      <c r="T60" s="4">
        <v>24.1301193067006</v>
      </c>
      <c r="U60" s="4">
        <v>21.1018768076621</v>
      </c>
      <c r="V60" s="4">
        <v>15.4332607444127</v>
      </c>
      <c r="W60" s="4">
        <v>15.565030658886</v>
      </c>
      <c r="X60" s="4">
        <v>11.225743856695</v>
      </c>
      <c r="Y60" s="4">
        <v>19.4023222700242</v>
      </c>
      <c r="Z60" s="4">
        <v>24.6712713456923</v>
      </c>
      <c r="AA60" s="4">
        <v>23.9310993480682</v>
      </c>
      <c r="AC60">
        <v>1984</v>
      </c>
      <c r="AD60" s="3">
        <f t="shared" si="2"/>
        <v>24.137277479325572</v>
      </c>
      <c r="AE60" s="3">
        <f t="shared" si="3"/>
        <v>22.493085787398797</v>
      </c>
      <c r="AF60" s="3">
        <f t="shared" si="4"/>
        <v>26.165592451762127</v>
      </c>
      <c r="AG60" s="3">
        <f t="shared" si="5"/>
        <v>24.25400578642404</v>
      </c>
      <c r="AH60" s="3">
        <f t="shared" si="6"/>
        <v>24.120693683624268</v>
      </c>
      <c r="AI60" s="3">
        <f t="shared" si="7"/>
        <v>21.08617249359834</v>
      </c>
      <c r="AJ60" s="3">
        <f t="shared" si="8"/>
        <v>14.59751635799805</v>
      </c>
      <c r="AK60" s="3">
        <f t="shared" si="9"/>
        <v>14.438316437249531</v>
      </c>
      <c r="AL60" s="3">
        <f t="shared" si="10"/>
        <v>10.425737810631592</v>
      </c>
      <c r="AM60" s="3">
        <f t="shared" si="11"/>
        <v>19.71329355203015</v>
      </c>
      <c r="AN60" s="3">
        <f t="shared" si="12"/>
        <v>24.573402414783352</v>
      </c>
      <c r="AO60" s="3">
        <f t="shared" si="13"/>
        <v>23.985154900550846</v>
      </c>
      <c r="AQ60">
        <v>1984</v>
      </c>
      <c r="AR60" s="3">
        <f t="shared" si="14"/>
        <v>24.1301147030246</v>
      </c>
      <c r="AS60" s="3">
        <f t="shared" si="15"/>
        <v>22.5229317529522</v>
      </c>
      <c r="AT60" s="3">
        <f t="shared" si="16"/>
        <v>26.1486155576603</v>
      </c>
      <c r="AU60" s="3">
        <f t="shared" si="17"/>
        <v>24.2791916706229</v>
      </c>
      <c r="AV60" s="3">
        <f t="shared" si="18"/>
        <v>24.1301193067006</v>
      </c>
      <c r="AW60" s="3">
        <f t="shared" si="19"/>
        <v>21.1018768076621</v>
      </c>
      <c r="AX60" s="3">
        <f t="shared" si="20"/>
        <v>15.4332607444127</v>
      </c>
      <c r="AY60" s="3">
        <f t="shared" si="21"/>
        <v>15.565030658886</v>
      </c>
      <c r="AZ60" s="3">
        <f t="shared" si="22"/>
        <v>11.225743856695</v>
      </c>
      <c r="BA60" s="3">
        <f t="shared" si="23"/>
        <v>19.4023222700242</v>
      </c>
      <c r="BB60" s="3">
        <f t="shared" si="24"/>
        <v>24.6712713456923</v>
      </c>
      <c r="BC60" s="3">
        <f t="shared" si="25"/>
        <v>23.9310993480682</v>
      </c>
    </row>
    <row r="61" spans="1:55" ht="15">
      <c r="A61">
        <v>1985</v>
      </c>
      <c r="B61" s="3">
        <v>22.946952614476604</v>
      </c>
      <c r="C61" s="3">
        <v>23.311789061193167</v>
      </c>
      <c r="D61" s="3">
        <v>27.23232874408844</v>
      </c>
      <c r="E61" s="3">
        <v>27.116156976197356</v>
      </c>
      <c r="F61" s="3">
        <v>27.71778095109122</v>
      </c>
      <c r="G61" s="3">
        <v>24.740571792610233</v>
      </c>
      <c r="H61" s="3">
        <v>17.72906816429561</v>
      </c>
      <c r="I61" s="3">
        <v>15.990923369828087</v>
      </c>
      <c r="J61" s="3">
        <v>20.637574243545533</v>
      </c>
      <c r="K61" s="3">
        <v>25.287690403384552</v>
      </c>
      <c r="L61" s="3">
        <v>29.00947771610752</v>
      </c>
      <c r="M61" s="3">
        <v>25.512235290209453</v>
      </c>
      <c r="O61">
        <v>1985</v>
      </c>
      <c r="P61" s="4">
        <v>22.8699349818691</v>
      </c>
      <c r="Q61" s="4">
        <v>23.2967331633654</v>
      </c>
      <c r="R61" s="4">
        <v>27.270756552809</v>
      </c>
      <c r="S61" s="4">
        <v>27.1521994172886</v>
      </c>
      <c r="T61" s="4">
        <v>27.7415091514587</v>
      </c>
      <c r="U61" s="4">
        <v>24.7917779718402</v>
      </c>
      <c r="V61" s="4">
        <v>18.5241760677761</v>
      </c>
      <c r="W61" s="4">
        <v>17.3524200994481</v>
      </c>
      <c r="X61" s="4">
        <v>21.3657484875785</v>
      </c>
      <c r="Y61" s="4">
        <v>25.2455858774083</v>
      </c>
      <c r="Z61" s="4">
        <v>29.1703900221855</v>
      </c>
      <c r="AA61" s="4">
        <v>25.5089742739995</v>
      </c>
      <c r="AC61">
        <v>1985</v>
      </c>
      <c r="AD61" s="3">
        <f t="shared" si="2"/>
        <v>22.946952614476604</v>
      </c>
      <c r="AE61" s="3">
        <f t="shared" si="3"/>
        <v>23.311789061193167</v>
      </c>
      <c r="AF61" s="3">
        <f t="shared" si="4"/>
        <v>27.23232874408844</v>
      </c>
      <c r="AG61" s="3">
        <f t="shared" si="5"/>
        <v>27.116156976197356</v>
      </c>
      <c r="AH61" s="3">
        <f t="shared" si="6"/>
        <v>27.71778095109122</v>
      </c>
      <c r="AI61" s="3">
        <f t="shared" si="7"/>
        <v>24.740571792610233</v>
      </c>
      <c r="AJ61" s="3">
        <f t="shared" si="8"/>
        <v>17.72906816429561</v>
      </c>
      <c r="AK61" s="3">
        <f t="shared" si="9"/>
        <v>15.990923369828087</v>
      </c>
      <c r="AL61" s="3">
        <f t="shared" si="10"/>
        <v>20.637574243545533</v>
      </c>
      <c r="AM61" s="3">
        <f t="shared" si="11"/>
        <v>25.287690403384552</v>
      </c>
      <c r="AN61" s="3">
        <f t="shared" si="12"/>
        <v>29.00947771610752</v>
      </c>
      <c r="AO61" s="3">
        <f t="shared" si="13"/>
        <v>25.512235290209453</v>
      </c>
      <c r="AQ61">
        <v>1985</v>
      </c>
      <c r="AR61" s="3">
        <f t="shared" si="14"/>
        <v>22.8699349818691</v>
      </c>
      <c r="AS61" s="3">
        <f t="shared" si="15"/>
        <v>23.2967331633654</v>
      </c>
      <c r="AT61" s="3">
        <f t="shared" si="16"/>
        <v>27.270756552809</v>
      </c>
      <c r="AU61" s="3">
        <f t="shared" si="17"/>
        <v>27.1521994172886</v>
      </c>
      <c r="AV61" s="3">
        <f t="shared" si="18"/>
        <v>27.7415091514587</v>
      </c>
      <c r="AW61" s="3">
        <f t="shared" si="19"/>
        <v>24.7917779718402</v>
      </c>
      <c r="AX61" s="3">
        <f t="shared" si="20"/>
        <v>18.5241760677761</v>
      </c>
      <c r="AY61" s="3">
        <f t="shared" si="21"/>
        <v>17.3524200994481</v>
      </c>
      <c r="AZ61" s="3">
        <f t="shared" si="22"/>
        <v>21.3657484875785</v>
      </c>
      <c r="BA61" s="3">
        <f t="shared" si="23"/>
        <v>25.2455858774083</v>
      </c>
      <c r="BB61" s="3">
        <f t="shared" si="24"/>
        <v>29.1703900221855</v>
      </c>
      <c r="BC61" s="3">
        <f t="shared" si="25"/>
        <v>25.5089742739995</v>
      </c>
    </row>
    <row r="62" spans="1:55" ht="15">
      <c r="A62">
        <v>1986</v>
      </c>
      <c r="B62" s="3">
        <v>24.513957898078434</v>
      </c>
      <c r="C62" s="3">
        <v>23.6383954868568</v>
      </c>
      <c r="D62" s="3">
        <v>28.92647412054</v>
      </c>
      <c r="E62" s="3">
        <v>26.300077848280626</v>
      </c>
      <c r="F62" s="3">
        <v>24.880120962006707</v>
      </c>
      <c r="G62" s="3">
        <v>16.060987571830463</v>
      </c>
      <c r="H62" s="3">
        <v>14.290768875281021</v>
      </c>
      <c r="I62" s="3">
        <v>17.7789217018312</v>
      </c>
      <c r="J62" s="3">
        <v>17.866979082425445</v>
      </c>
      <c r="K62" s="3">
        <v>25.39351502182662</v>
      </c>
      <c r="L62" s="3">
        <v>27.199919473740362</v>
      </c>
      <c r="M62" s="3">
        <v>26.108954032262165</v>
      </c>
      <c r="O62">
        <v>1986</v>
      </c>
      <c r="P62" s="4">
        <v>24.4986531880594</v>
      </c>
      <c r="Q62" s="4">
        <v>23.6393470115371</v>
      </c>
      <c r="R62" s="4">
        <v>28.9292843157245</v>
      </c>
      <c r="S62" s="4">
        <v>26.2983209520258</v>
      </c>
      <c r="T62" s="4">
        <v>24.9000909328461</v>
      </c>
      <c r="U62" s="4">
        <v>16.1387922171428</v>
      </c>
      <c r="V62" s="4">
        <v>15.6056184411049</v>
      </c>
      <c r="W62" s="4">
        <v>19.0976899141906</v>
      </c>
      <c r="X62" s="4">
        <v>18.7247056563695</v>
      </c>
      <c r="Y62" s="4">
        <v>25.3855595552793</v>
      </c>
      <c r="Z62" s="4">
        <v>27.3784237200214</v>
      </c>
      <c r="AA62" s="4">
        <v>26.1061745389303</v>
      </c>
      <c r="AC62">
        <v>1986</v>
      </c>
      <c r="AD62" s="3">
        <f t="shared" si="2"/>
        <v>24.513957898078434</v>
      </c>
      <c r="AE62" s="3">
        <f t="shared" si="3"/>
        <v>23.6383954868568</v>
      </c>
      <c r="AF62" s="3">
        <f t="shared" si="4"/>
        <v>28.92647412054</v>
      </c>
      <c r="AG62" s="3">
        <f t="shared" si="5"/>
        <v>26.300077848280626</v>
      </c>
      <c r="AH62" s="3">
        <f t="shared" si="6"/>
        <v>24.880120962006707</v>
      </c>
      <c r="AI62" s="3">
        <f t="shared" si="7"/>
        <v>16.060987571830463</v>
      </c>
      <c r="AJ62" s="3">
        <f t="shared" si="8"/>
        <v>14.290768875281021</v>
      </c>
      <c r="AK62" s="3">
        <f t="shared" si="9"/>
        <v>17.7789217018312</v>
      </c>
      <c r="AL62" s="3">
        <f t="shared" si="10"/>
        <v>17.866979082425445</v>
      </c>
      <c r="AM62" s="3">
        <f t="shared" si="11"/>
        <v>25.39351502182662</v>
      </c>
      <c r="AN62" s="3">
        <f t="shared" si="12"/>
        <v>27.199919473740362</v>
      </c>
      <c r="AO62" s="3">
        <f t="shared" si="13"/>
        <v>26.108954032262165</v>
      </c>
      <c r="AQ62">
        <v>1986</v>
      </c>
      <c r="AR62" s="3">
        <f t="shared" si="14"/>
        <v>24.4986531880594</v>
      </c>
      <c r="AS62" s="3">
        <f t="shared" si="15"/>
        <v>23.6393470115371</v>
      </c>
      <c r="AT62" s="3">
        <f t="shared" si="16"/>
        <v>28.9292843157245</v>
      </c>
      <c r="AU62" s="3">
        <f t="shared" si="17"/>
        <v>26.2983209520258</v>
      </c>
      <c r="AV62" s="3">
        <f t="shared" si="18"/>
        <v>24.9000909328461</v>
      </c>
      <c r="AW62" s="3">
        <f t="shared" si="19"/>
        <v>16.1387922171428</v>
      </c>
      <c r="AX62" s="3">
        <f t="shared" si="20"/>
        <v>15.6056184411049</v>
      </c>
      <c r="AY62" s="3">
        <f t="shared" si="21"/>
        <v>19.0976899141906</v>
      </c>
      <c r="AZ62" s="3">
        <f t="shared" si="22"/>
        <v>18.7247056563695</v>
      </c>
      <c r="BA62" s="3">
        <f t="shared" si="23"/>
        <v>25.3855595552793</v>
      </c>
      <c r="BB62" s="3">
        <f t="shared" si="24"/>
        <v>27.3784237200214</v>
      </c>
      <c r="BC62" s="3">
        <f t="shared" si="25"/>
        <v>26.1061745389303</v>
      </c>
    </row>
    <row r="63" spans="1:55" ht="15">
      <c r="A63">
        <v>1987</v>
      </c>
      <c r="B63" s="3">
        <v>25.377249003994848</v>
      </c>
      <c r="C63" s="3">
        <v>25.372714945281263</v>
      </c>
      <c r="D63" s="3">
        <v>27.46692802777855</v>
      </c>
      <c r="E63" s="3">
        <v>28.953468874449364</v>
      </c>
      <c r="F63" s="3">
        <v>30.318874229703635</v>
      </c>
      <c r="G63" s="3">
        <v>23.55618634053867</v>
      </c>
      <c r="H63" s="3">
        <v>22.48579430633122</v>
      </c>
      <c r="I63" s="3">
        <v>17.0263292462595</v>
      </c>
      <c r="J63" s="3">
        <v>22.375629438294297</v>
      </c>
      <c r="K63" s="3">
        <v>27.313370926149428</v>
      </c>
      <c r="L63" s="3">
        <v>29.43577341879568</v>
      </c>
      <c r="M63" s="3">
        <v>26.763109442392988</v>
      </c>
      <c r="O63">
        <v>1987</v>
      </c>
      <c r="P63" s="4">
        <v>25.400880733613</v>
      </c>
      <c r="Q63" s="4">
        <v>25.371781492597</v>
      </c>
      <c r="R63" s="4">
        <v>27.5179241072747</v>
      </c>
      <c r="S63" s="4">
        <v>28.9315410911396</v>
      </c>
      <c r="T63" s="4">
        <v>30.3221612794059</v>
      </c>
      <c r="U63" s="4">
        <v>23.5954669807352</v>
      </c>
      <c r="V63" s="4">
        <v>24.1612883053886</v>
      </c>
      <c r="W63" s="4">
        <v>18.0284150769634</v>
      </c>
      <c r="X63" s="4">
        <v>22.8555418968201</v>
      </c>
      <c r="Y63" s="4">
        <v>27.2424353625185</v>
      </c>
      <c r="Z63" s="4">
        <v>29.5728924382117</v>
      </c>
      <c r="AA63" s="4">
        <v>26.7739463806152</v>
      </c>
      <c r="AC63">
        <v>1987</v>
      </c>
      <c r="AD63" s="3">
        <f t="shared" si="2"/>
        <v>25.377249003994848</v>
      </c>
      <c r="AE63" s="3">
        <f t="shared" si="3"/>
        <v>25.372714945281263</v>
      </c>
      <c r="AF63" s="3">
        <f t="shared" si="4"/>
        <v>27.46692802777855</v>
      </c>
      <c r="AG63" s="3">
        <f t="shared" si="5"/>
        <v>28.953468874449364</v>
      </c>
      <c r="AH63" s="3">
        <f t="shared" si="6"/>
        <v>30.318874229703635</v>
      </c>
      <c r="AI63" s="3">
        <f t="shared" si="7"/>
        <v>23.55618634053867</v>
      </c>
      <c r="AJ63" s="3">
        <f t="shared" si="8"/>
        <v>22.48579430633122</v>
      </c>
      <c r="AK63" s="3">
        <f t="shared" si="9"/>
        <v>17.0263292462595</v>
      </c>
      <c r="AL63" s="3">
        <f t="shared" si="10"/>
        <v>22.375629438294297</v>
      </c>
      <c r="AM63" s="3">
        <f t="shared" si="11"/>
        <v>27.313370926149428</v>
      </c>
      <c r="AN63" s="3">
        <f t="shared" si="12"/>
        <v>29.43577341879568</v>
      </c>
      <c r="AO63" s="3">
        <f t="shared" si="13"/>
        <v>26.763109442392988</v>
      </c>
      <c r="AQ63">
        <v>1987</v>
      </c>
      <c r="AR63" s="3">
        <f t="shared" si="14"/>
        <v>25.400880733613</v>
      </c>
      <c r="AS63" s="3">
        <f t="shared" si="15"/>
        <v>25.371781492597</v>
      </c>
      <c r="AT63" s="3">
        <f t="shared" si="16"/>
        <v>27.5179241072747</v>
      </c>
      <c r="AU63" s="3">
        <f t="shared" si="17"/>
        <v>28.9315410911396</v>
      </c>
      <c r="AV63" s="3">
        <f t="shared" si="18"/>
        <v>30.3221612794059</v>
      </c>
      <c r="AW63" s="3">
        <f t="shared" si="19"/>
        <v>23.5954669807352</v>
      </c>
      <c r="AX63" s="3">
        <f t="shared" si="20"/>
        <v>24.1612883053886</v>
      </c>
      <c r="AY63" s="3">
        <f t="shared" si="21"/>
        <v>18.0284150769634</v>
      </c>
      <c r="AZ63" s="3">
        <f t="shared" si="22"/>
        <v>22.8555418968201</v>
      </c>
      <c r="BA63" s="3">
        <f t="shared" si="23"/>
        <v>27.2424353625185</v>
      </c>
      <c r="BB63" s="3">
        <f t="shared" si="24"/>
        <v>29.5728924382117</v>
      </c>
      <c r="BC63" s="3">
        <f t="shared" si="25"/>
        <v>26.7739463806152</v>
      </c>
    </row>
    <row r="64" spans="1:55" ht="15">
      <c r="A64">
        <v>1988</v>
      </c>
      <c r="B64" s="3">
        <v>24.815984968985283</v>
      </c>
      <c r="C64" s="3">
        <v>26.3831762543333</v>
      </c>
      <c r="D64" s="3">
        <v>31.698345219704407</v>
      </c>
      <c r="E64" s="3">
        <v>31.314809477713805</v>
      </c>
      <c r="F64" s="3">
        <v>33.71881325585501</v>
      </c>
      <c r="G64" s="3">
        <v>25.275478160365264</v>
      </c>
      <c r="H64" s="3">
        <v>21.27254642539555</v>
      </c>
      <c r="I64" s="3">
        <v>18.689787450400736</v>
      </c>
      <c r="J64" s="3">
        <v>22.749876112408113</v>
      </c>
      <c r="K64" s="3">
        <v>24.674671686080195</v>
      </c>
      <c r="L64" s="3">
        <v>27.934992083426437</v>
      </c>
      <c r="M64" s="3">
        <v>26.276111493110648</v>
      </c>
      <c r="O64">
        <v>1988</v>
      </c>
      <c r="P64" s="4">
        <v>24.8163577764265</v>
      </c>
      <c r="Q64" s="4">
        <v>26.3796046970621</v>
      </c>
      <c r="R64" s="4">
        <v>31.6866528946866</v>
      </c>
      <c r="S64" s="4">
        <v>31.3294564549641</v>
      </c>
      <c r="T64" s="4">
        <v>33.6721664973668</v>
      </c>
      <c r="U64" s="4">
        <v>25.2878299634518</v>
      </c>
      <c r="V64" s="4">
        <v>22.6698420884874</v>
      </c>
      <c r="W64" s="4">
        <v>19.6024621066227</v>
      </c>
      <c r="X64" s="4">
        <v>23.5824145423041</v>
      </c>
      <c r="Y64" s="4">
        <v>24.577787015515</v>
      </c>
      <c r="Z64" s="4">
        <v>28.0618850815681</v>
      </c>
      <c r="AA64" s="4">
        <v>26.2558116118113</v>
      </c>
      <c r="AC64">
        <v>1988</v>
      </c>
      <c r="AD64" s="3">
        <f t="shared" si="2"/>
        <v>24.815984968985283</v>
      </c>
      <c r="AE64" s="3">
        <f t="shared" si="3"/>
        <v>26.3831762543333</v>
      </c>
      <c r="AF64" s="3">
        <f t="shared" si="4"/>
        <v>31.698345219704407</v>
      </c>
      <c r="AG64" s="3">
        <f t="shared" si="5"/>
        <v>31.314809477713805</v>
      </c>
      <c r="AH64" s="3">
        <f t="shared" si="6"/>
        <v>33.71881325585501</v>
      </c>
      <c r="AI64" s="3">
        <f t="shared" si="7"/>
        <v>25.275478160365264</v>
      </c>
      <c r="AJ64" s="3">
        <f t="shared" si="8"/>
        <v>21.27254642539555</v>
      </c>
      <c r="AK64" s="3">
        <f t="shared" si="9"/>
        <v>18.689787450400736</v>
      </c>
      <c r="AL64" s="3">
        <f t="shared" si="10"/>
        <v>22.749876112408113</v>
      </c>
      <c r="AM64" s="3">
        <f t="shared" si="11"/>
        <v>24.674671686080195</v>
      </c>
      <c r="AN64" s="3">
        <f t="shared" si="12"/>
        <v>27.934992083426437</v>
      </c>
      <c r="AO64" s="3">
        <f t="shared" si="13"/>
        <v>26.276111493110648</v>
      </c>
      <c r="AQ64">
        <v>1988</v>
      </c>
      <c r="AR64" s="3">
        <f t="shared" si="14"/>
        <v>24.8163577764265</v>
      </c>
      <c r="AS64" s="3">
        <f t="shared" si="15"/>
        <v>26.3796046970621</v>
      </c>
      <c r="AT64" s="3">
        <f t="shared" si="16"/>
        <v>31.6866528946866</v>
      </c>
      <c r="AU64" s="3">
        <f t="shared" si="17"/>
        <v>31.3294564549641</v>
      </c>
      <c r="AV64" s="3">
        <f t="shared" si="18"/>
        <v>33.6721664973668</v>
      </c>
      <c r="AW64" s="3">
        <f t="shared" si="19"/>
        <v>25.2878299634518</v>
      </c>
      <c r="AX64" s="3">
        <f t="shared" si="20"/>
        <v>22.6698420884874</v>
      </c>
      <c r="AY64" s="3">
        <f t="shared" si="21"/>
        <v>19.6024621066227</v>
      </c>
      <c r="AZ64" s="3">
        <f t="shared" si="22"/>
        <v>23.5824145423041</v>
      </c>
      <c r="BA64" s="3">
        <f t="shared" si="23"/>
        <v>24.577787015515</v>
      </c>
      <c r="BB64" s="3">
        <f t="shared" si="24"/>
        <v>28.0618850815681</v>
      </c>
      <c r="BC64" s="3">
        <f t="shared" si="25"/>
        <v>26.2558116118113</v>
      </c>
    </row>
    <row r="65" spans="1:55" ht="15">
      <c r="A65">
        <v>1989</v>
      </c>
      <c r="B65" s="3">
        <v>24.810029632814473</v>
      </c>
      <c r="C65" s="3">
        <v>24.621178396267297</v>
      </c>
      <c r="D65" s="3">
        <v>29.825311978658043</v>
      </c>
      <c r="E65" s="3">
        <v>30.518062297246786</v>
      </c>
      <c r="F65" s="3">
        <v>32.694405787331725</v>
      </c>
      <c r="G65" s="3">
        <v>23.256607754875482</v>
      </c>
      <c r="H65" s="3">
        <v>17.530416773160297</v>
      </c>
      <c r="I65" s="3">
        <v>17.553745547738124</v>
      </c>
      <c r="J65" s="3">
        <v>21.487728460629768</v>
      </c>
      <c r="K65" s="3">
        <v>26.825046209622457</v>
      </c>
      <c r="L65" s="3">
        <v>28.77144933823617</v>
      </c>
      <c r="M65" s="3">
        <v>27.021888326009115</v>
      </c>
      <c r="O65">
        <v>1989</v>
      </c>
      <c r="P65" s="4">
        <v>24.8082404167421</v>
      </c>
      <c r="Q65" s="4">
        <v>24.6101983037306</v>
      </c>
      <c r="R65" s="4">
        <v>29.8384958128775</v>
      </c>
      <c r="S65" s="4">
        <v>30.5445008857276</v>
      </c>
      <c r="T65" s="4">
        <v>32.6880356788635</v>
      </c>
      <c r="U65" s="4">
        <v>23.248746037772</v>
      </c>
      <c r="V65" s="4">
        <v>18.2792389625973</v>
      </c>
      <c r="W65" s="4">
        <v>18.7224047122463</v>
      </c>
      <c r="X65" s="4">
        <v>22.1025957716836</v>
      </c>
      <c r="Y65" s="4">
        <v>26.7544387212364</v>
      </c>
      <c r="Z65" s="4">
        <v>28.9560778064113</v>
      </c>
      <c r="AA65" s="4">
        <v>27.0102623796463</v>
      </c>
      <c r="AC65">
        <v>1989</v>
      </c>
      <c r="AD65" s="3">
        <f t="shared" si="2"/>
        <v>24.810029632814473</v>
      </c>
      <c r="AE65" s="3">
        <f t="shared" si="3"/>
        <v>24.621178396267297</v>
      </c>
      <c r="AF65" s="3">
        <f t="shared" si="4"/>
        <v>29.825311978658043</v>
      </c>
      <c r="AG65" s="3">
        <f t="shared" si="5"/>
        <v>30.518062297246786</v>
      </c>
      <c r="AH65" s="3">
        <f t="shared" si="6"/>
        <v>32.694405787331725</v>
      </c>
      <c r="AI65" s="3">
        <f t="shared" si="7"/>
        <v>23.256607754875482</v>
      </c>
      <c r="AJ65" s="3">
        <f t="shared" si="8"/>
        <v>17.530416773160297</v>
      </c>
      <c r="AK65" s="3">
        <f t="shared" si="9"/>
        <v>17.553745547738124</v>
      </c>
      <c r="AL65" s="3">
        <f t="shared" si="10"/>
        <v>21.487728460629768</v>
      </c>
      <c r="AM65" s="3">
        <f t="shared" si="11"/>
        <v>26.825046209622457</v>
      </c>
      <c r="AN65" s="3">
        <f t="shared" si="12"/>
        <v>28.77144933823617</v>
      </c>
      <c r="AO65" s="3">
        <f t="shared" si="13"/>
        <v>27.021888326009115</v>
      </c>
      <c r="AQ65">
        <v>1989</v>
      </c>
      <c r="AR65" s="3">
        <f t="shared" si="14"/>
        <v>24.8082404167421</v>
      </c>
      <c r="AS65" s="3">
        <f t="shared" si="15"/>
        <v>24.6101983037306</v>
      </c>
      <c r="AT65" s="3">
        <f t="shared" si="16"/>
        <v>29.8384958128775</v>
      </c>
      <c r="AU65" s="3">
        <f t="shared" si="17"/>
        <v>30.5445008857276</v>
      </c>
      <c r="AV65" s="3">
        <f t="shared" si="18"/>
        <v>32.6880356788635</v>
      </c>
      <c r="AW65" s="3">
        <f t="shared" si="19"/>
        <v>23.248746037772</v>
      </c>
      <c r="AX65" s="3">
        <f t="shared" si="20"/>
        <v>18.2792389625973</v>
      </c>
      <c r="AY65" s="3">
        <f t="shared" si="21"/>
        <v>18.7224047122463</v>
      </c>
      <c r="AZ65" s="3">
        <f t="shared" si="22"/>
        <v>22.1025957716836</v>
      </c>
      <c r="BA65" s="3">
        <f t="shared" si="23"/>
        <v>26.7544387212364</v>
      </c>
      <c r="BB65" s="3">
        <f t="shared" si="24"/>
        <v>28.9560778064113</v>
      </c>
      <c r="BC65" s="3">
        <f t="shared" si="25"/>
        <v>27.0102623796463</v>
      </c>
    </row>
    <row r="66" spans="1:55" ht="15">
      <c r="A66">
        <v>1990</v>
      </c>
      <c r="B66" s="3">
        <v>25.942421123289297</v>
      </c>
      <c r="C66" s="3">
        <v>26.400660547370215</v>
      </c>
      <c r="D66" s="3">
        <v>28.036317888895674</v>
      </c>
      <c r="E66" s="3">
        <v>26.89384630059684</v>
      </c>
      <c r="F66" s="3">
        <v>26.733988761901863</v>
      </c>
      <c r="G66" s="3">
        <v>21.988801662918696</v>
      </c>
      <c r="H66" s="3">
        <v>17.89222422334883</v>
      </c>
      <c r="I66" s="3">
        <v>18.010895091487527</v>
      </c>
      <c r="J66" s="3">
        <v>13.980547964572901</v>
      </c>
      <c r="K66" s="3">
        <v>22.43123795370903</v>
      </c>
      <c r="L66" s="3">
        <v>24.121039190599987</v>
      </c>
      <c r="M66" s="3">
        <v>25.385799233118696</v>
      </c>
      <c r="O66">
        <v>1990</v>
      </c>
      <c r="P66" s="4">
        <v>25.9527803328729</v>
      </c>
      <c r="Q66" s="4">
        <v>26.3994546841318</v>
      </c>
      <c r="R66" s="4">
        <v>28.0435893089541</v>
      </c>
      <c r="S66" s="4">
        <v>26.8904796384996</v>
      </c>
      <c r="T66" s="4">
        <v>26.7088942050934</v>
      </c>
      <c r="U66" s="4">
        <v>21.9805549056501</v>
      </c>
      <c r="V66" s="4">
        <v>18.7148602819443</v>
      </c>
      <c r="W66" s="4">
        <v>19.0478202517315</v>
      </c>
      <c r="X66" s="4">
        <v>15.3920436490741</v>
      </c>
      <c r="Y66" s="4">
        <v>22.4053570311557</v>
      </c>
      <c r="Z66" s="4">
        <v>24.3516703897907</v>
      </c>
      <c r="AA66" s="4">
        <v>25.400279417038</v>
      </c>
      <c r="AC66">
        <v>1990</v>
      </c>
      <c r="AD66" s="3">
        <f t="shared" si="2"/>
        <v>25.942421123289297</v>
      </c>
      <c r="AE66" s="3">
        <f t="shared" si="3"/>
        <v>26.400660547370215</v>
      </c>
      <c r="AF66" s="3">
        <f t="shared" si="4"/>
        <v>28.036317888895674</v>
      </c>
      <c r="AG66" s="3">
        <f t="shared" si="5"/>
        <v>26.89384630059684</v>
      </c>
      <c r="AH66" s="3">
        <f t="shared" si="6"/>
        <v>26.733988761901863</v>
      </c>
      <c r="AI66" s="3">
        <f t="shared" si="7"/>
        <v>21.988801662918696</v>
      </c>
      <c r="AJ66" s="3">
        <f t="shared" si="8"/>
        <v>17.89222422334883</v>
      </c>
      <c r="AK66" s="3">
        <f t="shared" si="9"/>
        <v>18.010895091487527</v>
      </c>
      <c r="AL66" s="3">
        <f t="shared" si="10"/>
        <v>13.980547964572901</v>
      </c>
      <c r="AM66" s="3">
        <f t="shared" si="11"/>
        <v>22.43123795370903</v>
      </c>
      <c r="AN66" s="3">
        <f t="shared" si="12"/>
        <v>24.121039190599987</v>
      </c>
      <c r="AO66" s="3">
        <f t="shared" si="13"/>
        <v>25.385799233118696</v>
      </c>
      <c r="AQ66">
        <v>1990</v>
      </c>
      <c r="AR66" s="3">
        <f t="shared" si="14"/>
        <v>25.9527803328729</v>
      </c>
      <c r="AS66" s="3">
        <f t="shared" si="15"/>
        <v>26.3994546841318</v>
      </c>
      <c r="AT66" s="3">
        <f t="shared" si="16"/>
        <v>28.0435893089541</v>
      </c>
      <c r="AU66" s="3">
        <f t="shared" si="17"/>
        <v>26.8904796384996</v>
      </c>
      <c r="AV66" s="3">
        <f t="shared" si="18"/>
        <v>26.7088942050934</v>
      </c>
      <c r="AW66" s="3">
        <f t="shared" si="19"/>
        <v>21.9805549056501</v>
      </c>
      <c r="AX66" s="3">
        <f t="shared" si="20"/>
        <v>18.7148602819443</v>
      </c>
      <c r="AY66" s="3">
        <f t="shared" si="21"/>
        <v>19.0478202517315</v>
      </c>
      <c r="AZ66" s="3">
        <f t="shared" si="22"/>
        <v>15.3920436490741</v>
      </c>
      <c r="BA66" s="3">
        <f t="shared" si="23"/>
        <v>22.4053570311557</v>
      </c>
      <c r="BB66" s="3">
        <f t="shared" si="24"/>
        <v>24.3516703897907</v>
      </c>
      <c r="BC66" s="3">
        <f t="shared" si="25"/>
        <v>25.400279417038</v>
      </c>
    </row>
    <row r="67" spans="1:55" ht="15">
      <c r="A67">
        <v>1991</v>
      </c>
      <c r="B67" s="3">
        <v>23.332038224127984</v>
      </c>
      <c r="C67" s="3">
        <v>21.33159028726544</v>
      </c>
      <c r="D67" s="3">
        <v>25.91697495034946</v>
      </c>
      <c r="E67" s="3">
        <v>24.108791125205265</v>
      </c>
      <c r="F67" s="3">
        <v>23.513735416957307</v>
      </c>
      <c r="G67" s="3">
        <v>20.795955138700638</v>
      </c>
      <c r="H67" s="3">
        <v>19.70813764254252</v>
      </c>
      <c r="I67" s="3">
        <v>17.488835596012812</v>
      </c>
      <c r="J67" s="3">
        <v>18.15189741584991</v>
      </c>
      <c r="K67" s="3">
        <v>19.490943483735926</v>
      </c>
      <c r="L67" s="3">
        <v>25.76284667522677</v>
      </c>
      <c r="M67" s="3">
        <v>27.019292786916093</v>
      </c>
      <c r="O67">
        <v>1991</v>
      </c>
      <c r="P67" s="4">
        <v>23.3743457540389</v>
      </c>
      <c r="Q67" s="4">
        <v>21.3452517028986</v>
      </c>
      <c r="R67" s="4">
        <v>25.9012922938152</v>
      </c>
      <c r="S67" s="4">
        <v>24.101012073281</v>
      </c>
      <c r="T67" s="4">
        <v>23.5342282567705</v>
      </c>
      <c r="U67" s="4">
        <v>20.8057209684582</v>
      </c>
      <c r="V67" s="4">
        <v>20.6609542126126</v>
      </c>
      <c r="W67" s="4">
        <v>18.6424205800538</v>
      </c>
      <c r="X67" s="4">
        <v>19.181033539772</v>
      </c>
      <c r="Y67" s="4">
        <v>19.4518526549301</v>
      </c>
      <c r="Z67" s="4">
        <v>26.0114944711808</v>
      </c>
      <c r="AA67" s="4">
        <v>27.0239294656118</v>
      </c>
      <c r="AC67">
        <v>1991</v>
      </c>
      <c r="AD67" s="3">
        <f t="shared" si="2"/>
        <v>23.332038224127984</v>
      </c>
      <c r="AE67" s="3">
        <f t="shared" si="3"/>
        <v>21.33159028726544</v>
      </c>
      <c r="AF67" s="3">
        <f t="shared" si="4"/>
        <v>25.91697495034946</v>
      </c>
      <c r="AG67" s="3">
        <f t="shared" si="5"/>
        <v>24.108791125205265</v>
      </c>
      <c r="AH67" s="3">
        <f t="shared" si="6"/>
        <v>23.513735416957307</v>
      </c>
      <c r="AI67" s="3">
        <f t="shared" si="7"/>
        <v>20.795955138700638</v>
      </c>
      <c r="AJ67" s="3">
        <f t="shared" si="8"/>
        <v>19.70813764254252</v>
      </c>
      <c r="AK67" s="3">
        <f t="shared" si="9"/>
        <v>17.488835596012812</v>
      </c>
      <c r="AL67" s="3">
        <f t="shared" si="10"/>
        <v>18.15189741584991</v>
      </c>
      <c r="AM67" s="3">
        <f t="shared" si="11"/>
        <v>19.490943483735926</v>
      </c>
      <c r="AN67" s="3">
        <f t="shared" si="12"/>
        <v>25.76284667522677</v>
      </c>
      <c r="AO67" s="3">
        <f t="shared" si="13"/>
        <v>27.019292786916093</v>
      </c>
      <c r="AQ67">
        <v>1991</v>
      </c>
      <c r="AR67" s="3">
        <f t="shared" si="14"/>
        <v>23.3743457540389</v>
      </c>
      <c r="AS67" s="3">
        <f t="shared" si="15"/>
        <v>21.3452517028986</v>
      </c>
      <c r="AT67" s="3">
        <f t="shared" si="16"/>
        <v>25.9012922938152</v>
      </c>
      <c r="AU67" s="3">
        <f t="shared" si="17"/>
        <v>24.101012073281</v>
      </c>
      <c r="AV67" s="3">
        <f t="shared" si="18"/>
        <v>23.5342282567705</v>
      </c>
      <c r="AW67" s="3">
        <f t="shared" si="19"/>
        <v>20.8057209684582</v>
      </c>
      <c r="AX67" s="3">
        <f t="shared" si="20"/>
        <v>20.6609542126126</v>
      </c>
      <c r="AY67" s="3">
        <f t="shared" si="21"/>
        <v>18.6424205800538</v>
      </c>
      <c r="AZ67" s="3">
        <f t="shared" si="22"/>
        <v>19.181033539772</v>
      </c>
      <c r="BA67" s="3">
        <f t="shared" si="23"/>
        <v>19.4518526549301</v>
      </c>
      <c r="BB67" s="3">
        <f t="shared" si="24"/>
        <v>26.0114944711808</v>
      </c>
      <c r="BC67" s="3">
        <f t="shared" si="25"/>
        <v>27.0239294656118</v>
      </c>
    </row>
    <row r="68" spans="1:55" ht="15">
      <c r="A68">
        <v>1992</v>
      </c>
      <c r="B68" s="3">
        <v>24.185617747614465</v>
      </c>
      <c r="C68" s="3">
        <v>25.719730443068237</v>
      </c>
      <c r="D68" s="3">
        <v>31.24684560119465</v>
      </c>
      <c r="E68" s="3">
        <v>29.071270883724246</v>
      </c>
      <c r="F68" s="3">
        <v>28.404999610355937</v>
      </c>
      <c r="G68" s="3">
        <v>24.075169166581627</v>
      </c>
      <c r="H68" s="3">
        <v>25.375970051023703</v>
      </c>
      <c r="I68" s="3">
        <v>20.8614884981545</v>
      </c>
      <c r="J68" s="3">
        <v>26.534035507837935</v>
      </c>
      <c r="K68" s="3">
        <v>28.19732510735911</v>
      </c>
      <c r="L68" s="3">
        <v>28.901520284529646</v>
      </c>
      <c r="M68" s="3">
        <v>27.530176917711895</v>
      </c>
      <c r="O68">
        <v>1992</v>
      </c>
      <c r="P68" s="4">
        <v>24.1308226985316</v>
      </c>
      <c r="Q68" s="4">
        <v>25.7156065438888</v>
      </c>
      <c r="R68" s="4">
        <v>31.3256802640935</v>
      </c>
      <c r="S68" s="4">
        <v>29.084614804996</v>
      </c>
      <c r="T68" s="4">
        <v>28.4424570560455</v>
      </c>
      <c r="U68" s="4">
        <v>24.0802412146354</v>
      </c>
      <c r="V68" s="4">
        <v>26.9176092682944</v>
      </c>
      <c r="W68" s="4">
        <v>21.8723337555444</v>
      </c>
      <c r="X68" s="4">
        <v>27.1520288997226</v>
      </c>
      <c r="Y68" s="4">
        <v>28.1454496152939</v>
      </c>
      <c r="Z68" s="4">
        <v>29.0240038902529</v>
      </c>
      <c r="AA68" s="4">
        <v>27.5197938013077</v>
      </c>
      <c r="AC68">
        <v>1992</v>
      </c>
      <c r="AD68" s="3">
        <f t="shared" si="2"/>
        <v>24.185617747614465</v>
      </c>
      <c r="AE68" s="3">
        <f t="shared" si="3"/>
        <v>25.719730443068237</v>
      </c>
      <c r="AF68" s="3">
        <f t="shared" si="4"/>
        <v>31.24684560119465</v>
      </c>
      <c r="AG68" s="3">
        <f t="shared" si="5"/>
        <v>29.071270883724246</v>
      </c>
      <c r="AH68" s="3">
        <f t="shared" si="6"/>
        <v>28.404999610355937</v>
      </c>
      <c r="AI68" s="3">
        <f t="shared" si="7"/>
        <v>24.075169166581627</v>
      </c>
      <c r="AJ68" s="3">
        <f t="shared" si="8"/>
        <v>25.375970051023703</v>
      </c>
      <c r="AK68" s="3">
        <f t="shared" si="9"/>
        <v>20.8614884981545</v>
      </c>
      <c r="AL68" s="3">
        <f t="shared" si="10"/>
        <v>26.534035507837935</v>
      </c>
      <c r="AM68" s="3">
        <f t="shared" si="11"/>
        <v>28.19732510735911</v>
      </c>
      <c r="AN68" s="3">
        <f t="shared" si="12"/>
        <v>28.901520284529646</v>
      </c>
      <c r="AO68" s="3">
        <f t="shared" si="13"/>
        <v>27.530176917711895</v>
      </c>
      <c r="AQ68">
        <v>1992</v>
      </c>
      <c r="AR68" s="3">
        <f t="shared" si="14"/>
        <v>24.1308226985316</v>
      </c>
      <c r="AS68" s="3">
        <f t="shared" si="15"/>
        <v>25.7156065438888</v>
      </c>
      <c r="AT68" s="3">
        <f t="shared" si="16"/>
        <v>31.3256802640935</v>
      </c>
      <c r="AU68" s="3">
        <f t="shared" si="17"/>
        <v>29.084614804996</v>
      </c>
      <c r="AV68" s="3">
        <f t="shared" si="18"/>
        <v>28.4424570560455</v>
      </c>
      <c r="AW68" s="3">
        <f t="shared" si="19"/>
        <v>24.0802412146354</v>
      </c>
      <c r="AX68" s="3">
        <f t="shared" si="20"/>
        <v>26.9176092682944</v>
      </c>
      <c r="AY68" s="3">
        <f t="shared" si="21"/>
        <v>21.8723337555444</v>
      </c>
      <c r="AZ68" s="3">
        <f t="shared" si="22"/>
        <v>27.1520288997226</v>
      </c>
      <c r="BA68" s="3">
        <f t="shared" si="23"/>
        <v>28.1454496152939</v>
      </c>
      <c r="BB68" s="3">
        <f t="shared" si="24"/>
        <v>29.0240038902529</v>
      </c>
      <c r="BC68" s="3">
        <f t="shared" si="25"/>
        <v>27.5197938013077</v>
      </c>
    </row>
    <row r="69" spans="1:55" ht="15">
      <c r="A69">
        <v>1993</v>
      </c>
      <c r="B69" s="3">
        <v>25.29638391156349</v>
      </c>
      <c r="C69" s="3">
        <v>25.64781457716483</v>
      </c>
      <c r="D69" s="3">
        <v>30.407208122745647</v>
      </c>
      <c r="E69" s="3">
        <v>31.811454781665606</v>
      </c>
      <c r="F69" s="3">
        <v>36.256817647389</v>
      </c>
      <c r="G69" s="3">
        <v>24.486566630443058</v>
      </c>
      <c r="H69" s="3">
        <v>20.737040389908678</v>
      </c>
      <c r="I69" s="3">
        <v>15.960420848349093</v>
      </c>
      <c r="J69" s="3">
        <v>19.664986701806377</v>
      </c>
      <c r="K69" s="3">
        <v>25.396553567660764</v>
      </c>
      <c r="L69" s="3">
        <v>26.597234496762677</v>
      </c>
      <c r="M69" s="3">
        <v>26.03040502071381</v>
      </c>
      <c r="O69">
        <v>1993</v>
      </c>
      <c r="P69" s="4">
        <v>25.3303231270083</v>
      </c>
      <c r="Q69" s="4">
        <v>25.6280479435451</v>
      </c>
      <c r="R69" s="4">
        <v>30.403618982274</v>
      </c>
      <c r="S69" s="4">
        <v>31.7964781884224</v>
      </c>
      <c r="T69" s="4">
        <v>36.2714750902993</v>
      </c>
      <c r="U69" s="4">
        <v>24.5304707576256</v>
      </c>
      <c r="V69" s="4">
        <v>21.6570781755447</v>
      </c>
      <c r="W69" s="4">
        <v>17.0955067658937</v>
      </c>
      <c r="X69" s="4">
        <v>20.3246615330378</v>
      </c>
      <c r="Y69" s="4">
        <v>25.2784529601374</v>
      </c>
      <c r="Z69" s="4">
        <v>26.8144569158554</v>
      </c>
      <c r="AA69" s="4">
        <v>26.0031285429001</v>
      </c>
      <c r="AC69">
        <v>1993</v>
      </c>
      <c r="AD69" s="3">
        <f t="shared" si="2"/>
        <v>25.29638391156349</v>
      </c>
      <c r="AE69" s="3">
        <f t="shared" si="3"/>
        <v>25.64781457716483</v>
      </c>
      <c r="AF69" s="3">
        <f t="shared" si="4"/>
        <v>30.407208122745647</v>
      </c>
      <c r="AG69" s="3">
        <f t="shared" si="5"/>
        <v>31.811454781665606</v>
      </c>
      <c r="AH69" s="3">
        <f t="shared" si="6"/>
        <v>36.256817647389</v>
      </c>
      <c r="AI69" s="3">
        <f t="shared" si="7"/>
        <v>24.486566630443058</v>
      </c>
      <c r="AJ69" s="3">
        <f t="shared" si="8"/>
        <v>20.737040389908678</v>
      </c>
      <c r="AK69" s="3">
        <f t="shared" si="9"/>
        <v>15.960420848349093</v>
      </c>
      <c r="AL69" s="3">
        <f t="shared" si="10"/>
        <v>19.664986701806377</v>
      </c>
      <c r="AM69" s="3">
        <f t="shared" si="11"/>
        <v>25.396553567660764</v>
      </c>
      <c r="AN69" s="3">
        <f t="shared" si="12"/>
        <v>26.597234496762677</v>
      </c>
      <c r="AO69" s="3">
        <f t="shared" si="13"/>
        <v>26.03040502071381</v>
      </c>
      <c r="AQ69">
        <v>1993</v>
      </c>
      <c r="AR69" s="3">
        <f t="shared" si="14"/>
        <v>25.3303231270083</v>
      </c>
      <c r="AS69" s="3">
        <f t="shared" si="15"/>
        <v>25.6280479435451</v>
      </c>
      <c r="AT69" s="3">
        <f t="shared" si="16"/>
        <v>30.403618982274</v>
      </c>
      <c r="AU69" s="3">
        <f t="shared" si="17"/>
        <v>31.7964781884224</v>
      </c>
      <c r="AV69" s="3">
        <f t="shared" si="18"/>
        <v>36.2714750902993</v>
      </c>
      <c r="AW69" s="3">
        <f t="shared" si="19"/>
        <v>24.5304707576256</v>
      </c>
      <c r="AX69" s="3">
        <f t="shared" si="20"/>
        <v>21.6570781755447</v>
      </c>
      <c r="AY69" s="3">
        <f t="shared" si="21"/>
        <v>17.0955067658937</v>
      </c>
      <c r="AZ69" s="3">
        <f t="shared" si="22"/>
        <v>20.3246615330378</v>
      </c>
      <c r="BA69" s="3">
        <f t="shared" si="23"/>
        <v>25.2784529601374</v>
      </c>
      <c r="BB69" s="3">
        <f t="shared" si="24"/>
        <v>26.8144569158554</v>
      </c>
      <c r="BC69" s="3">
        <f t="shared" si="25"/>
        <v>26.0031285429001</v>
      </c>
    </row>
    <row r="70" spans="1:55" ht="15">
      <c r="A70">
        <v>1994</v>
      </c>
      <c r="B70" s="3">
        <v>25.15363482275317</v>
      </c>
      <c r="C70" s="3">
        <v>25.672670515168896</v>
      </c>
      <c r="D70" s="3">
        <v>29.33240275793177</v>
      </c>
      <c r="E70" s="3">
        <v>31.553017670108414</v>
      </c>
      <c r="F70" s="3">
        <v>31.001774345125476</v>
      </c>
      <c r="G70" s="3">
        <v>26.42999698509278</v>
      </c>
      <c r="H70" s="3">
        <v>22.32554438061184</v>
      </c>
      <c r="I70" s="3">
        <v>17.873501876861823</v>
      </c>
      <c r="J70" s="3">
        <v>22.03009686470032</v>
      </c>
      <c r="K70" s="3">
        <v>25.912055188866066</v>
      </c>
      <c r="L70" s="3">
        <v>28.427073984761392</v>
      </c>
      <c r="M70" s="3">
        <v>25.502335906028744</v>
      </c>
      <c r="O70">
        <v>1994</v>
      </c>
      <c r="P70" s="4">
        <v>25.1802995781745</v>
      </c>
      <c r="Q70" s="4">
        <v>25.6796945302397</v>
      </c>
      <c r="R70" s="4">
        <v>29.3842141397538</v>
      </c>
      <c r="S70" s="4">
        <v>31.5582530242141</v>
      </c>
      <c r="T70" s="4">
        <v>31.0119296414512</v>
      </c>
      <c r="U70" s="4">
        <v>26.4515023708985</v>
      </c>
      <c r="V70" s="4">
        <v>23.7037660720613</v>
      </c>
      <c r="W70" s="4">
        <v>18.9053918912847</v>
      </c>
      <c r="X70" s="4">
        <v>22.5657159566879</v>
      </c>
      <c r="Y70" s="4">
        <v>25.8109563617296</v>
      </c>
      <c r="Z70" s="4">
        <v>28.5553815895511</v>
      </c>
      <c r="AA70" s="4">
        <v>25.4882818476359</v>
      </c>
      <c r="AC70">
        <v>1994</v>
      </c>
      <c r="AD70" s="3">
        <f aca="true" t="shared" si="26" ref="AD70:AD84">MAX(B70,0)</f>
        <v>25.15363482275317</v>
      </c>
      <c r="AE70" s="3">
        <f aca="true" t="shared" si="27" ref="AE70:AE84">MAX(C70,0)</f>
        <v>25.672670515168896</v>
      </c>
      <c r="AF70" s="3">
        <f aca="true" t="shared" si="28" ref="AF70:AF84">MAX(D70,0)</f>
        <v>29.33240275793177</v>
      </c>
      <c r="AG70" s="3">
        <f aca="true" t="shared" si="29" ref="AG70:AG84">MAX(E70,0)</f>
        <v>31.553017670108414</v>
      </c>
      <c r="AH70" s="3">
        <f aca="true" t="shared" si="30" ref="AH70:AH84">MAX(F70,0)</f>
        <v>31.001774345125476</v>
      </c>
      <c r="AI70" s="3">
        <f aca="true" t="shared" si="31" ref="AI70:AI84">MAX(G70,0)</f>
        <v>26.42999698509278</v>
      </c>
      <c r="AJ70" s="3">
        <f aca="true" t="shared" si="32" ref="AJ70:AJ84">MAX(H70,0)</f>
        <v>22.32554438061184</v>
      </c>
      <c r="AK70" s="3">
        <f aca="true" t="shared" si="33" ref="AK70:AK84">MAX(I70,0)</f>
        <v>17.873501876861823</v>
      </c>
      <c r="AL70" s="3">
        <f aca="true" t="shared" si="34" ref="AL70:AL84">MAX(J70,0)</f>
        <v>22.03009686470032</v>
      </c>
      <c r="AM70" s="3">
        <f aca="true" t="shared" si="35" ref="AM70:AM84">MAX(K70,0)</f>
        <v>25.912055188866066</v>
      </c>
      <c r="AN70" s="3">
        <f aca="true" t="shared" si="36" ref="AN70:AN84">MAX(L70,0)</f>
        <v>28.427073984761392</v>
      </c>
      <c r="AO70" s="3">
        <f aca="true" t="shared" si="37" ref="AO70:AO84">MAX(M70,0)</f>
        <v>25.502335906028744</v>
      </c>
      <c r="AQ70">
        <v>1994</v>
      </c>
      <c r="AR70" s="3">
        <f aca="true" t="shared" si="38" ref="AR70:AR84">MAX(P70,0)</f>
        <v>25.1802995781745</v>
      </c>
      <c r="AS70" s="3">
        <f aca="true" t="shared" si="39" ref="AS70:AS84">MAX(Q70,0)</f>
        <v>25.6796945302397</v>
      </c>
      <c r="AT70" s="3">
        <f aca="true" t="shared" si="40" ref="AT70:AT84">MAX(R70,0)</f>
        <v>29.3842141397538</v>
      </c>
      <c r="AU70" s="3">
        <f aca="true" t="shared" si="41" ref="AU70:AU84">MAX(S70,0)</f>
        <v>31.5582530242141</v>
      </c>
      <c r="AV70" s="3">
        <f aca="true" t="shared" si="42" ref="AV70:AV84">MAX(T70,0)</f>
        <v>31.0119296414512</v>
      </c>
      <c r="AW70" s="3">
        <f aca="true" t="shared" si="43" ref="AW70:AW84">MAX(U70,0)</f>
        <v>26.4515023708985</v>
      </c>
      <c r="AX70" s="3">
        <f aca="true" t="shared" si="44" ref="AX70:AX84">MAX(V70,0)</f>
        <v>23.7037660720613</v>
      </c>
      <c r="AY70" s="3">
        <f aca="true" t="shared" si="45" ref="AY70:AY84">MAX(W70,0)</f>
        <v>18.9053918912847</v>
      </c>
      <c r="AZ70" s="3">
        <f aca="true" t="shared" si="46" ref="AZ70:AZ84">MAX(X70,0)</f>
        <v>22.5657159566879</v>
      </c>
      <c r="BA70" s="3">
        <f aca="true" t="shared" si="47" ref="BA70:BA84">MAX(Y70,0)</f>
        <v>25.8109563617296</v>
      </c>
      <c r="BB70" s="3">
        <f aca="true" t="shared" si="48" ref="BB70:BB84">MAX(Z70,0)</f>
        <v>28.5553815895511</v>
      </c>
      <c r="BC70" s="3">
        <f aca="true" t="shared" si="49" ref="BC70:BC84">MAX(AA70,0)</f>
        <v>25.4882818476359</v>
      </c>
    </row>
    <row r="71" spans="1:55" ht="15">
      <c r="A71">
        <v>1995</v>
      </c>
      <c r="B71" s="3">
        <v>25.13039732363916</v>
      </c>
      <c r="C71" s="3">
        <v>27.289905116627523</v>
      </c>
      <c r="D71" s="3">
        <v>31.116545047042184</v>
      </c>
      <c r="E71" s="3">
        <v>28.210422471261786</v>
      </c>
      <c r="F71" s="3">
        <v>26.527070747103004</v>
      </c>
      <c r="G71" s="3">
        <v>22.564651372134286</v>
      </c>
      <c r="H71" s="3">
        <v>22.516086668438383</v>
      </c>
      <c r="I71" s="3">
        <v>17.252110122352516</v>
      </c>
      <c r="J71" s="3">
        <v>12.083705958641243</v>
      </c>
      <c r="K71" s="3">
        <v>23.21130017747162</v>
      </c>
      <c r="L71" s="3">
        <v>26.53722729682923</v>
      </c>
      <c r="M71" s="3">
        <v>24.721279536883046</v>
      </c>
      <c r="O71">
        <v>1995</v>
      </c>
      <c r="P71" s="4">
        <v>25.1239834539352</v>
      </c>
      <c r="Q71" s="4">
        <v>27.2721955864175</v>
      </c>
      <c r="R71" s="4">
        <v>31.0950153530285</v>
      </c>
      <c r="S71" s="4">
        <v>28.1936956667131</v>
      </c>
      <c r="T71" s="4">
        <v>26.53361188003</v>
      </c>
      <c r="U71" s="4">
        <v>22.5459129429441</v>
      </c>
      <c r="V71" s="4">
        <v>23.8330590491825</v>
      </c>
      <c r="W71" s="4">
        <v>18.4020952804114</v>
      </c>
      <c r="X71" s="4">
        <v>13.9688196367688</v>
      </c>
      <c r="Y71" s="4">
        <v>22.8582884160421</v>
      </c>
      <c r="Z71" s="4">
        <v>26.6572671267294</v>
      </c>
      <c r="AA71" s="4">
        <v>24.7107015339533</v>
      </c>
      <c r="AC71">
        <v>1995</v>
      </c>
      <c r="AD71" s="3">
        <f t="shared" si="26"/>
        <v>25.13039732363916</v>
      </c>
      <c r="AE71" s="3">
        <f t="shared" si="27"/>
        <v>27.289905116627523</v>
      </c>
      <c r="AF71" s="3">
        <f t="shared" si="28"/>
        <v>31.116545047042184</v>
      </c>
      <c r="AG71" s="3">
        <f t="shared" si="29"/>
        <v>28.210422471261786</v>
      </c>
      <c r="AH71" s="3">
        <f t="shared" si="30"/>
        <v>26.527070747103004</v>
      </c>
      <c r="AI71" s="3">
        <f t="shared" si="31"/>
        <v>22.564651372134286</v>
      </c>
      <c r="AJ71" s="3">
        <f t="shared" si="32"/>
        <v>22.516086668438383</v>
      </c>
      <c r="AK71" s="3">
        <f t="shared" si="33"/>
        <v>17.252110122352516</v>
      </c>
      <c r="AL71" s="3">
        <f t="shared" si="34"/>
        <v>12.083705958641243</v>
      </c>
      <c r="AM71" s="3">
        <f t="shared" si="35"/>
        <v>23.21130017747162</v>
      </c>
      <c r="AN71" s="3">
        <f t="shared" si="36"/>
        <v>26.53722729682923</v>
      </c>
      <c r="AO71" s="3">
        <f t="shared" si="37"/>
        <v>24.721279536883046</v>
      </c>
      <c r="AQ71">
        <v>1995</v>
      </c>
      <c r="AR71" s="3">
        <f t="shared" si="38"/>
        <v>25.1239834539352</v>
      </c>
      <c r="AS71" s="3">
        <f t="shared" si="39"/>
        <v>27.2721955864175</v>
      </c>
      <c r="AT71" s="3">
        <f t="shared" si="40"/>
        <v>31.0950153530285</v>
      </c>
      <c r="AU71" s="3">
        <f t="shared" si="41"/>
        <v>28.1936956667131</v>
      </c>
      <c r="AV71" s="3">
        <f t="shared" si="42"/>
        <v>26.53361188003</v>
      </c>
      <c r="AW71" s="3">
        <f t="shared" si="43"/>
        <v>22.5459129429441</v>
      </c>
      <c r="AX71" s="3">
        <f t="shared" si="44"/>
        <v>23.8330590491825</v>
      </c>
      <c r="AY71" s="3">
        <f t="shared" si="45"/>
        <v>18.4020952804114</v>
      </c>
      <c r="AZ71" s="3">
        <f t="shared" si="46"/>
        <v>13.9688196367688</v>
      </c>
      <c r="BA71" s="3">
        <f t="shared" si="47"/>
        <v>22.8582884160421</v>
      </c>
      <c r="BB71" s="3">
        <f t="shared" si="48"/>
        <v>26.6572671267294</v>
      </c>
      <c r="BC71" s="3">
        <f t="shared" si="49"/>
        <v>24.7107015339533</v>
      </c>
    </row>
    <row r="72" spans="1:55" ht="15">
      <c r="A72">
        <v>1996</v>
      </c>
      <c r="B72" s="3">
        <v>23.453425851944957</v>
      </c>
      <c r="C72" s="3">
        <v>21.079535278467137</v>
      </c>
      <c r="D72" s="3">
        <v>16.873843764105164</v>
      </c>
      <c r="E72" s="3">
        <v>17.00298947206428</v>
      </c>
      <c r="F72" s="3">
        <v>16.06535693162254</v>
      </c>
      <c r="G72" s="3">
        <v>11.1934988572652</v>
      </c>
      <c r="H72" s="3">
        <v>12.10270352860292</v>
      </c>
      <c r="I72" s="3">
        <v>9.153267761103574</v>
      </c>
      <c r="J72" s="3">
        <v>14.176669116814926</v>
      </c>
      <c r="K72" s="3">
        <v>18.254309171245943</v>
      </c>
      <c r="L72" s="3">
        <v>24.105383118506406</v>
      </c>
      <c r="M72" s="3">
        <v>25.57171852906546</v>
      </c>
      <c r="O72">
        <v>1996</v>
      </c>
      <c r="P72" s="4">
        <v>23.4464134954637</v>
      </c>
      <c r="Q72" s="4">
        <v>21.1127182772024</v>
      </c>
      <c r="R72" s="4">
        <v>17.263879004217</v>
      </c>
      <c r="S72" s="4">
        <v>17.3891500795881</v>
      </c>
      <c r="T72" s="4">
        <v>16.6604469637786</v>
      </c>
      <c r="U72" s="4">
        <v>11.6923892206892</v>
      </c>
      <c r="V72" s="4">
        <v>13.6333993257417</v>
      </c>
      <c r="W72" s="4">
        <v>11.4588241962656</v>
      </c>
      <c r="X72" s="4">
        <v>15.1851772897773</v>
      </c>
      <c r="Y72" s="4">
        <v>18.115080950978</v>
      </c>
      <c r="Z72" s="4">
        <v>24.2021675494409</v>
      </c>
      <c r="AA72" s="4">
        <v>25.3389871692657</v>
      </c>
      <c r="AC72">
        <v>1996</v>
      </c>
      <c r="AD72" s="3">
        <f t="shared" si="26"/>
        <v>23.453425851944957</v>
      </c>
      <c r="AE72" s="3">
        <f t="shared" si="27"/>
        <v>21.079535278467137</v>
      </c>
      <c r="AF72" s="3">
        <f t="shared" si="28"/>
        <v>16.873843764105164</v>
      </c>
      <c r="AG72" s="3">
        <f t="shared" si="29"/>
        <v>17.00298947206428</v>
      </c>
      <c r="AH72" s="3">
        <f t="shared" si="30"/>
        <v>16.06535693162254</v>
      </c>
      <c r="AI72" s="3">
        <f t="shared" si="31"/>
        <v>11.1934988572652</v>
      </c>
      <c r="AJ72" s="3">
        <f t="shared" si="32"/>
        <v>12.10270352860292</v>
      </c>
      <c r="AK72" s="3">
        <f t="shared" si="33"/>
        <v>9.153267761103574</v>
      </c>
      <c r="AL72" s="3">
        <f t="shared" si="34"/>
        <v>14.176669116814926</v>
      </c>
      <c r="AM72" s="3">
        <f t="shared" si="35"/>
        <v>18.254309171245943</v>
      </c>
      <c r="AN72" s="3">
        <f t="shared" si="36"/>
        <v>24.105383118506406</v>
      </c>
      <c r="AO72" s="3">
        <f t="shared" si="37"/>
        <v>25.57171852906546</v>
      </c>
      <c r="AQ72">
        <v>1996</v>
      </c>
      <c r="AR72" s="3">
        <f t="shared" si="38"/>
        <v>23.4464134954637</v>
      </c>
      <c r="AS72" s="3">
        <f t="shared" si="39"/>
        <v>21.1127182772024</v>
      </c>
      <c r="AT72" s="3">
        <f t="shared" si="40"/>
        <v>17.263879004217</v>
      </c>
      <c r="AU72" s="3">
        <f t="shared" si="41"/>
        <v>17.3891500795881</v>
      </c>
      <c r="AV72" s="3">
        <f t="shared" si="42"/>
        <v>16.6604469637786</v>
      </c>
      <c r="AW72" s="3">
        <f t="shared" si="43"/>
        <v>11.6923892206892</v>
      </c>
      <c r="AX72" s="3">
        <f t="shared" si="44"/>
        <v>13.6333993257417</v>
      </c>
      <c r="AY72" s="3">
        <f t="shared" si="45"/>
        <v>11.4588241962656</v>
      </c>
      <c r="AZ72" s="3">
        <f t="shared" si="46"/>
        <v>15.1851772897773</v>
      </c>
      <c r="BA72" s="3">
        <f t="shared" si="47"/>
        <v>18.115080950978</v>
      </c>
      <c r="BB72" s="3">
        <f t="shared" si="48"/>
        <v>24.2021675494409</v>
      </c>
      <c r="BC72" s="3">
        <f t="shared" si="49"/>
        <v>25.3389871692657</v>
      </c>
    </row>
    <row r="73" spans="1:55" ht="15">
      <c r="A73">
        <v>1997</v>
      </c>
      <c r="B73" s="3">
        <v>22.81650406237571</v>
      </c>
      <c r="C73" s="3">
        <v>23.993578024611555</v>
      </c>
      <c r="D73" s="3">
        <v>24.56959083721201</v>
      </c>
      <c r="E73" s="3">
        <v>14.91122214371158</v>
      </c>
      <c r="F73" s="3">
        <v>14.880982019858703</v>
      </c>
      <c r="G73" s="3">
        <v>11.414644738995687</v>
      </c>
      <c r="H73" s="3">
        <v>10.22307328720888</v>
      </c>
      <c r="I73" s="3">
        <v>6.9158868936321145</v>
      </c>
      <c r="J73" s="3">
        <v>7.908097374439241</v>
      </c>
      <c r="K73" s="3">
        <v>15.93646468532983</v>
      </c>
      <c r="L73" s="3">
        <v>23.370989946396108</v>
      </c>
      <c r="M73" s="3">
        <v>23.279309296607973</v>
      </c>
      <c r="O73">
        <v>1997</v>
      </c>
      <c r="P73" s="4">
        <v>22.6850236446627</v>
      </c>
      <c r="Q73" s="4">
        <v>23.9119331885971</v>
      </c>
      <c r="R73" s="4">
        <v>24.6083932028022</v>
      </c>
      <c r="S73" s="4">
        <v>15.456275581961</v>
      </c>
      <c r="T73" s="4">
        <v>15.5081514381937</v>
      </c>
      <c r="U73" s="4">
        <v>11.839375243361</v>
      </c>
      <c r="V73" s="4">
        <v>11.6171570103036</v>
      </c>
      <c r="W73" s="4">
        <v>7.20728625475719</v>
      </c>
      <c r="X73" s="4">
        <v>8.08114631995559</v>
      </c>
      <c r="Y73" s="4">
        <v>15.6178884436046</v>
      </c>
      <c r="Z73" s="4">
        <v>23.6060533346668</v>
      </c>
      <c r="AA73" s="4">
        <v>23.1905292081833</v>
      </c>
      <c r="AC73">
        <v>1997</v>
      </c>
      <c r="AD73" s="3">
        <f t="shared" si="26"/>
        <v>22.81650406237571</v>
      </c>
      <c r="AE73" s="3">
        <f t="shared" si="27"/>
        <v>23.993578024611555</v>
      </c>
      <c r="AF73" s="3">
        <f t="shared" si="28"/>
        <v>24.56959083721201</v>
      </c>
      <c r="AG73" s="3">
        <f t="shared" si="29"/>
        <v>14.91122214371158</v>
      </c>
      <c r="AH73" s="3">
        <f t="shared" si="30"/>
        <v>14.880982019858703</v>
      </c>
      <c r="AI73" s="3">
        <f t="shared" si="31"/>
        <v>11.414644738995687</v>
      </c>
      <c r="AJ73" s="3">
        <f t="shared" si="32"/>
        <v>10.22307328720888</v>
      </c>
      <c r="AK73" s="3">
        <f t="shared" si="33"/>
        <v>6.9158868936321145</v>
      </c>
      <c r="AL73" s="3">
        <f t="shared" si="34"/>
        <v>7.908097374439241</v>
      </c>
      <c r="AM73" s="3">
        <f t="shared" si="35"/>
        <v>15.93646468532983</v>
      </c>
      <c r="AN73" s="3">
        <f t="shared" si="36"/>
        <v>23.370989946396108</v>
      </c>
      <c r="AO73" s="3">
        <f t="shared" si="37"/>
        <v>23.279309296607973</v>
      </c>
      <c r="AQ73">
        <v>1997</v>
      </c>
      <c r="AR73" s="3">
        <f t="shared" si="38"/>
        <v>22.6850236446627</v>
      </c>
      <c r="AS73" s="3">
        <f t="shared" si="39"/>
        <v>23.9119331885971</v>
      </c>
      <c r="AT73" s="3">
        <f t="shared" si="40"/>
        <v>24.6083932028022</v>
      </c>
      <c r="AU73" s="3">
        <f t="shared" si="41"/>
        <v>15.456275581961</v>
      </c>
      <c r="AV73" s="3">
        <f t="shared" si="42"/>
        <v>15.5081514381937</v>
      </c>
      <c r="AW73" s="3">
        <f t="shared" si="43"/>
        <v>11.839375243361</v>
      </c>
      <c r="AX73" s="3">
        <f t="shared" si="44"/>
        <v>11.6171570103036</v>
      </c>
      <c r="AY73" s="3">
        <f t="shared" si="45"/>
        <v>7.20728625475719</v>
      </c>
      <c r="AZ73" s="3">
        <f t="shared" si="46"/>
        <v>8.08114631995559</v>
      </c>
      <c r="BA73" s="3">
        <f t="shared" si="47"/>
        <v>15.6178884436046</v>
      </c>
      <c r="BB73" s="3">
        <f t="shared" si="48"/>
        <v>23.6060533346668</v>
      </c>
      <c r="BC73" s="3">
        <f t="shared" si="49"/>
        <v>23.1905292081833</v>
      </c>
    </row>
    <row r="74" spans="1:55" ht="15">
      <c r="A74">
        <v>1998</v>
      </c>
      <c r="B74" s="3">
        <v>20.204577062975986</v>
      </c>
      <c r="C74" s="3">
        <v>24.13831539663296</v>
      </c>
      <c r="D74" s="3">
        <v>29.38147688988716</v>
      </c>
      <c r="E74" s="3">
        <v>27.608711121671952</v>
      </c>
      <c r="F74" s="3">
        <v>27.989060749326427</v>
      </c>
      <c r="G74" s="3">
        <v>23.858798538114307</v>
      </c>
      <c r="H74" s="3">
        <v>19.903735693825617</v>
      </c>
      <c r="I74" s="3">
        <v>7.9795174692747395</v>
      </c>
      <c r="J74" s="3">
        <v>8.317841535723876</v>
      </c>
      <c r="K74" s="3">
        <v>22.405254881099985</v>
      </c>
      <c r="L74" s="3">
        <v>25.69465295114826</v>
      </c>
      <c r="M74" s="3">
        <v>26.342806380589792</v>
      </c>
      <c r="O74">
        <v>1998</v>
      </c>
      <c r="P74" s="4">
        <v>20.2597786411162</v>
      </c>
      <c r="Q74" s="4">
        <v>24.1579924617495</v>
      </c>
      <c r="R74" s="4">
        <v>29.3765642853193</v>
      </c>
      <c r="S74" s="4">
        <v>27.6614146283878</v>
      </c>
      <c r="T74" s="4">
        <v>27.9862251894815</v>
      </c>
      <c r="U74" s="4">
        <v>23.918749466013</v>
      </c>
      <c r="V74" s="4">
        <v>20.9631290896734</v>
      </c>
      <c r="W74" s="4">
        <v>9.82142317591495</v>
      </c>
      <c r="X74" s="4">
        <v>9.96197413090202</v>
      </c>
      <c r="Y74" s="4">
        <v>21.6769336413312</v>
      </c>
      <c r="Z74" s="4">
        <v>25.579049597248</v>
      </c>
      <c r="AA74" s="4">
        <v>25.9332159900665</v>
      </c>
      <c r="AC74">
        <v>1998</v>
      </c>
      <c r="AD74" s="3">
        <f t="shared" si="26"/>
        <v>20.204577062975986</v>
      </c>
      <c r="AE74" s="3">
        <f t="shared" si="27"/>
        <v>24.13831539663296</v>
      </c>
      <c r="AF74" s="3">
        <f t="shared" si="28"/>
        <v>29.38147688988716</v>
      </c>
      <c r="AG74" s="3">
        <f t="shared" si="29"/>
        <v>27.608711121671952</v>
      </c>
      <c r="AH74" s="3">
        <f t="shared" si="30"/>
        <v>27.989060749326427</v>
      </c>
      <c r="AI74" s="3">
        <f t="shared" si="31"/>
        <v>23.858798538114307</v>
      </c>
      <c r="AJ74" s="3">
        <f t="shared" si="32"/>
        <v>19.903735693825617</v>
      </c>
      <c r="AK74" s="3">
        <f t="shared" si="33"/>
        <v>7.9795174692747395</v>
      </c>
      <c r="AL74" s="3">
        <f t="shared" si="34"/>
        <v>8.317841535723876</v>
      </c>
      <c r="AM74" s="3">
        <f t="shared" si="35"/>
        <v>22.405254881099985</v>
      </c>
      <c r="AN74" s="3">
        <f t="shared" si="36"/>
        <v>25.69465295114826</v>
      </c>
      <c r="AO74" s="3">
        <f t="shared" si="37"/>
        <v>26.342806380589792</v>
      </c>
      <c r="AQ74">
        <v>1998</v>
      </c>
      <c r="AR74" s="3">
        <f t="shared" si="38"/>
        <v>20.2597786411162</v>
      </c>
      <c r="AS74" s="3">
        <f t="shared" si="39"/>
        <v>24.1579924617495</v>
      </c>
      <c r="AT74" s="3">
        <f t="shared" si="40"/>
        <v>29.3765642853193</v>
      </c>
      <c r="AU74" s="3">
        <f t="shared" si="41"/>
        <v>27.6614146283878</v>
      </c>
      <c r="AV74" s="3">
        <f t="shared" si="42"/>
        <v>27.9862251894815</v>
      </c>
      <c r="AW74" s="3">
        <f t="shared" si="43"/>
        <v>23.918749466013</v>
      </c>
      <c r="AX74" s="3">
        <f t="shared" si="44"/>
        <v>20.9631290896734</v>
      </c>
      <c r="AY74" s="3">
        <f t="shared" si="45"/>
        <v>9.82142317591495</v>
      </c>
      <c r="AZ74" s="3">
        <f t="shared" si="46"/>
        <v>9.96197413090202</v>
      </c>
      <c r="BA74" s="3">
        <f t="shared" si="47"/>
        <v>21.6769336413312</v>
      </c>
      <c r="BB74" s="3">
        <f t="shared" si="48"/>
        <v>25.579049597248</v>
      </c>
      <c r="BC74" s="3">
        <f t="shared" si="49"/>
        <v>25.9332159900665</v>
      </c>
    </row>
    <row r="75" spans="1:55" ht="15">
      <c r="A75">
        <v>1999</v>
      </c>
      <c r="B75" s="3">
        <v>25.227376679451247</v>
      </c>
      <c r="C75" s="3">
        <v>26.799822799508018</v>
      </c>
      <c r="D75" s="3">
        <v>25.591366399744498</v>
      </c>
      <c r="E75" s="3">
        <v>22.06132955858785</v>
      </c>
      <c r="F75" s="3">
        <v>21.055361645562307</v>
      </c>
      <c r="G75" s="3">
        <v>17.57040832068365</v>
      </c>
      <c r="H75" s="3">
        <v>17.041044082111785</v>
      </c>
      <c r="I75" s="3">
        <v>14.597020963891854</v>
      </c>
      <c r="J75" s="3">
        <v>8.314876735872692</v>
      </c>
      <c r="K75" s="3">
        <v>14.476426403592987</v>
      </c>
      <c r="L75" s="3">
        <v>21.73912564169976</v>
      </c>
      <c r="M75" s="3">
        <v>25.06525250911712</v>
      </c>
      <c r="O75">
        <v>1999</v>
      </c>
      <c r="P75" s="4">
        <v>24.9239012695128</v>
      </c>
      <c r="Q75" s="4">
        <v>26.4482339671184</v>
      </c>
      <c r="R75" s="4">
        <v>25.5244170247868</v>
      </c>
      <c r="S75" s="4">
        <v>22.1833849978703</v>
      </c>
      <c r="T75" s="4">
        <v>21.1526923588344</v>
      </c>
      <c r="U75" s="4">
        <v>17.6846495681945</v>
      </c>
      <c r="V75" s="4">
        <v>17.9876341719098</v>
      </c>
      <c r="W75" s="4">
        <v>16.0601959014452</v>
      </c>
      <c r="X75" s="4">
        <v>9.18955587301817</v>
      </c>
      <c r="Y75" s="4">
        <v>14.2741003606428</v>
      </c>
      <c r="Z75" s="4">
        <v>21.9512352658856</v>
      </c>
      <c r="AA75" s="4">
        <v>24.9327832015355</v>
      </c>
      <c r="AC75">
        <v>1999</v>
      </c>
      <c r="AD75" s="3">
        <f t="shared" si="26"/>
        <v>25.227376679451247</v>
      </c>
      <c r="AE75" s="3">
        <f t="shared" si="27"/>
        <v>26.799822799508018</v>
      </c>
      <c r="AF75" s="3">
        <f t="shared" si="28"/>
        <v>25.591366399744498</v>
      </c>
      <c r="AG75" s="3">
        <f t="shared" si="29"/>
        <v>22.06132955858785</v>
      </c>
      <c r="AH75" s="3">
        <f t="shared" si="30"/>
        <v>21.055361645562307</v>
      </c>
      <c r="AI75" s="3">
        <f t="shared" si="31"/>
        <v>17.57040832068365</v>
      </c>
      <c r="AJ75" s="3">
        <f t="shared" si="32"/>
        <v>17.041044082111785</v>
      </c>
      <c r="AK75" s="3">
        <f t="shared" si="33"/>
        <v>14.597020963891854</v>
      </c>
      <c r="AL75" s="3">
        <f t="shared" si="34"/>
        <v>8.314876735872692</v>
      </c>
      <c r="AM75" s="3">
        <f t="shared" si="35"/>
        <v>14.476426403592987</v>
      </c>
      <c r="AN75" s="3">
        <f t="shared" si="36"/>
        <v>21.73912564169976</v>
      </c>
      <c r="AO75" s="3">
        <f t="shared" si="37"/>
        <v>25.06525250911712</v>
      </c>
      <c r="AQ75">
        <v>1999</v>
      </c>
      <c r="AR75" s="3">
        <f t="shared" si="38"/>
        <v>24.9239012695128</v>
      </c>
      <c r="AS75" s="3">
        <f t="shared" si="39"/>
        <v>26.4482339671184</v>
      </c>
      <c r="AT75" s="3">
        <f t="shared" si="40"/>
        <v>25.5244170247868</v>
      </c>
      <c r="AU75" s="3">
        <f t="shared" si="41"/>
        <v>22.1833849978703</v>
      </c>
      <c r="AV75" s="3">
        <f t="shared" si="42"/>
        <v>21.1526923588344</v>
      </c>
      <c r="AW75" s="3">
        <f t="shared" si="43"/>
        <v>17.6846495681945</v>
      </c>
      <c r="AX75" s="3">
        <f t="shared" si="44"/>
        <v>17.9876341719098</v>
      </c>
      <c r="AY75" s="3">
        <f t="shared" si="45"/>
        <v>16.0601959014452</v>
      </c>
      <c r="AZ75" s="3">
        <f t="shared" si="46"/>
        <v>9.18955587301817</v>
      </c>
      <c r="BA75" s="3">
        <f t="shared" si="47"/>
        <v>14.2741003606428</v>
      </c>
      <c r="BB75" s="3">
        <f t="shared" si="48"/>
        <v>21.9512352658856</v>
      </c>
      <c r="BC75" s="3">
        <f t="shared" si="49"/>
        <v>24.9327832015355</v>
      </c>
    </row>
    <row r="76" spans="1:55" ht="15">
      <c r="A76">
        <v>2000</v>
      </c>
      <c r="B76" s="3">
        <v>23.85604213206999</v>
      </c>
      <c r="C76" s="3">
        <v>21.66519031068323</v>
      </c>
      <c r="D76" s="3">
        <v>25.774223333276712</v>
      </c>
      <c r="E76" s="3">
        <v>25.803136532793758</v>
      </c>
      <c r="F76" s="3">
        <v>25.501360423224305</v>
      </c>
      <c r="G76" s="3">
        <v>22.282728187521244</v>
      </c>
      <c r="H76" s="3">
        <v>15.522009962929616</v>
      </c>
      <c r="I76" s="3">
        <v>15.631270978655866</v>
      </c>
      <c r="J76" s="3">
        <v>20.208751455942796</v>
      </c>
      <c r="K76" s="3">
        <v>21.692263390428273</v>
      </c>
      <c r="L76" s="3">
        <v>25.871206962677746</v>
      </c>
      <c r="M76" s="3">
        <v>26.045915481249487</v>
      </c>
      <c r="O76">
        <v>2000</v>
      </c>
      <c r="P76" s="4">
        <v>23.9046895711653</v>
      </c>
      <c r="Q76" s="4">
        <v>21.6364921373402</v>
      </c>
      <c r="R76" s="4">
        <v>25.7401528455878</v>
      </c>
      <c r="S76" s="4">
        <v>25.8415303214904</v>
      </c>
      <c r="T76" s="4">
        <v>25.4877964700971</v>
      </c>
      <c r="U76" s="4">
        <v>22.2872006932948</v>
      </c>
      <c r="V76" s="4">
        <v>16.3565427091387</v>
      </c>
      <c r="W76" s="4">
        <v>17.0785523809412</v>
      </c>
      <c r="X76" s="4">
        <v>20.9646989901861</v>
      </c>
      <c r="Y76" s="4">
        <v>21.6653766009115</v>
      </c>
      <c r="Z76" s="4">
        <v>26.039543331823</v>
      </c>
      <c r="AA76" s="4">
        <v>26.0617213805517</v>
      </c>
      <c r="AC76">
        <v>2000</v>
      </c>
      <c r="AD76" s="3">
        <f t="shared" si="26"/>
        <v>23.85604213206999</v>
      </c>
      <c r="AE76" s="3">
        <f t="shared" si="27"/>
        <v>21.66519031068323</v>
      </c>
      <c r="AF76" s="3">
        <f t="shared" si="28"/>
        <v>25.774223333276712</v>
      </c>
      <c r="AG76" s="3">
        <f t="shared" si="29"/>
        <v>25.803136532793758</v>
      </c>
      <c r="AH76" s="3">
        <f t="shared" si="30"/>
        <v>25.501360423224305</v>
      </c>
      <c r="AI76" s="3">
        <f t="shared" si="31"/>
        <v>22.282728187521244</v>
      </c>
      <c r="AJ76" s="3">
        <f t="shared" si="32"/>
        <v>15.522009962929616</v>
      </c>
      <c r="AK76" s="3">
        <f t="shared" si="33"/>
        <v>15.631270978655866</v>
      </c>
      <c r="AL76" s="3">
        <f t="shared" si="34"/>
        <v>20.208751455942796</v>
      </c>
      <c r="AM76" s="3">
        <f t="shared" si="35"/>
        <v>21.692263390428273</v>
      </c>
      <c r="AN76" s="3">
        <f t="shared" si="36"/>
        <v>25.871206962677746</v>
      </c>
      <c r="AO76" s="3">
        <f t="shared" si="37"/>
        <v>26.045915481249487</v>
      </c>
      <c r="AQ76">
        <v>2000</v>
      </c>
      <c r="AR76" s="3">
        <f t="shared" si="38"/>
        <v>23.9046895711653</v>
      </c>
      <c r="AS76" s="3">
        <f t="shared" si="39"/>
        <v>21.6364921373402</v>
      </c>
      <c r="AT76" s="3">
        <f t="shared" si="40"/>
        <v>25.7401528455878</v>
      </c>
      <c r="AU76" s="3">
        <f t="shared" si="41"/>
        <v>25.8415303214904</v>
      </c>
      <c r="AV76" s="3">
        <f t="shared" si="42"/>
        <v>25.4877964700971</v>
      </c>
      <c r="AW76" s="3">
        <f t="shared" si="43"/>
        <v>22.2872006932948</v>
      </c>
      <c r="AX76" s="3">
        <f t="shared" si="44"/>
        <v>16.3565427091387</v>
      </c>
      <c r="AY76" s="3">
        <f t="shared" si="45"/>
        <v>17.0785523809412</v>
      </c>
      <c r="AZ76" s="3">
        <f t="shared" si="46"/>
        <v>20.9646989901861</v>
      </c>
      <c r="BA76" s="3">
        <f t="shared" si="47"/>
        <v>21.6653766009115</v>
      </c>
      <c r="BB76" s="3">
        <f t="shared" si="48"/>
        <v>26.039543331823</v>
      </c>
      <c r="BC76" s="3">
        <f t="shared" si="49"/>
        <v>26.0617213805517</v>
      </c>
    </row>
    <row r="77" spans="1:55" ht="15">
      <c r="A77">
        <v>2001</v>
      </c>
      <c r="B77" s="3">
        <v>23.933709836006173</v>
      </c>
      <c r="C77" s="3">
        <v>27.219185558998966</v>
      </c>
      <c r="D77" s="3">
        <v>31.11608510068669</v>
      </c>
      <c r="E77" s="3">
        <v>33.29218460257336</v>
      </c>
      <c r="F77" s="3">
        <v>31.796372311455855</v>
      </c>
      <c r="G77" s="3">
        <v>25.749202976509185</v>
      </c>
      <c r="H77" s="3">
        <v>23.465685510635375</v>
      </c>
      <c r="I77" s="3">
        <v>21.198934275360518</v>
      </c>
      <c r="J77" s="3">
        <v>28.91010294490391</v>
      </c>
      <c r="K77" s="3">
        <v>27.02852031133508</v>
      </c>
      <c r="L77" s="3">
        <v>27.747063912114783</v>
      </c>
      <c r="M77" s="3">
        <v>27.24184517860412</v>
      </c>
      <c r="O77">
        <v>2001</v>
      </c>
      <c r="P77" s="4">
        <v>23.9138221333104</v>
      </c>
      <c r="Q77" s="4">
        <v>27.2503976878115</v>
      </c>
      <c r="R77" s="4">
        <v>31.1576207617278</v>
      </c>
      <c r="S77" s="4">
        <v>33.2572154968016</v>
      </c>
      <c r="T77" s="4">
        <v>31.763655935015</v>
      </c>
      <c r="U77" s="4">
        <v>25.7682817026552</v>
      </c>
      <c r="V77" s="4">
        <v>24.9394742393494</v>
      </c>
      <c r="W77" s="4">
        <v>22.4047788296976</v>
      </c>
      <c r="X77" s="4">
        <v>29.5327615631951</v>
      </c>
      <c r="Y77" s="4">
        <v>26.9842779954274</v>
      </c>
      <c r="Z77" s="4">
        <v>27.8996766167302</v>
      </c>
      <c r="AA77" s="4">
        <v>27.2520575936635</v>
      </c>
      <c r="AC77">
        <v>2001</v>
      </c>
      <c r="AD77" s="3">
        <f t="shared" si="26"/>
        <v>23.933709836006173</v>
      </c>
      <c r="AE77" s="3">
        <f t="shared" si="27"/>
        <v>27.219185558998966</v>
      </c>
      <c r="AF77" s="3">
        <f t="shared" si="28"/>
        <v>31.11608510068669</v>
      </c>
      <c r="AG77" s="3">
        <f t="shared" si="29"/>
        <v>33.29218460257336</v>
      </c>
      <c r="AH77" s="3">
        <f t="shared" si="30"/>
        <v>31.796372311455855</v>
      </c>
      <c r="AI77" s="3">
        <f t="shared" si="31"/>
        <v>25.749202976509185</v>
      </c>
      <c r="AJ77" s="3">
        <f t="shared" si="32"/>
        <v>23.465685510635375</v>
      </c>
      <c r="AK77" s="3">
        <f t="shared" si="33"/>
        <v>21.198934275360518</v>
      </c>
      <c r="AL77" s="3">
        <f t="shared" si="34"/>
        <v>28.91010294490391</v>
      </c>
      <c r="AM77" s="3">
        <f t="shared" si="35"/>
        <v>27.02852031133508</v>
      </c>
      <c r="AN77" s="3">
        <f t="shared" si="36"/>
        <v>27.747063912114783</v>
      </c>
      <c r="AO77" s="3">
        <f t="shared" si="37"/>
        <v>27.24184517860412</v>
      </c>
      <c r="AQ77">
        <v>2001</v>
      </c>
      <c r="AR77" s="3">
        <f t="shared" si="38"/>
        <v>23.9138221333104</v>
      </c>
      <c r="AS77" s="3">
        <f t="shared" si="39"/>
        <v>27.2503976878115</v>
      </c>
      <c r="AT77" s="3">
        <f t="shared" si="40"/>
        <v>31.1576207617278</v>
      </c>
      <c r="AU77" s="3">
        <f t="shared" si="41"/>
        <v>33.2572154968016</v>
      </c>
      <c r="AV77" s="3">
        <f t="shared" si="42"/>
        <v>31.763655935015</v>
      </c>
      <c r="AW77" s="3">
        <f t="shared" si="43"/>
        <v>25.7682817026552</v>
      </c>
      <c r="AX77" s="3">
        <f t="shared" si="44"/>
        <v>24.9394742393494</v>
      </c>
      <c r="AY77" s="3">
        <f t="shared" si="45"/>
        <v>22.4047788296976</v>
      </c>
      <c r="AZ77" s="3">
        <f t="shared" si="46"/>
        <v>29.5327615631951</v>
      </c>
      <c r="BA77" s="3">
        <f t="shared" si="47"/>
        <v>26.9842779954274</v>
      </c>
      <c r="BB77" s="3">
        <f t="shared" si="48"/>
        <v>27.8996766167302</v>
      </c>
      <c r="BC77" s="3">
        <f t="shared" si="49"/>
        <v>27.2520575936635</v>
      </c>
    </row>
    <row r="78" spans="1:55" ht="15">
      <c r="A78">
        <v>2002</v>
      </c>
      <c r="B78" s="3">
        <v>25.128462422278616</v>
      </c>
      <c r="C78" s="3">
        <v>25.657632127780357</v>
      </c>
      <c r="D78" s="3">
        <v>30.25932883293398</v>
      </c>
      <c r="E78" s="3">
        <v>30.415707120587747</v>
      </c>
      <c r="F78" s="3">
        <v>30.14895129884992</v>
      </c>
      <c r="G78" s="3">
        <v>25.072512306884676</v>
      </c>
      <c r="H78" s="3">
        <v>18.01783308188121</v>
      </c>
      <c r="I78" s="3">
        <v>16.804408953394944</v>
      </c>
      <c r="J78" s="3">
        <v>11.541931720574699</v>
      </c>
      <c r="K78" s="3">
        <v>19.079293629174582</v>
      </c>
      <c r="L78" s="3">
        <v>25.49878352842023</v>
      </c>
      <c r="M78" s="3">
        <v>24.371212886174533</v>
      </c>
      <c r="O78">
        <v>2002</v>
      </c>
      <c r="P78" s="4">
        <v>25.1580691053021</v>
      </c>
      <c r="Q78" s="4">
        <v>25.6416606433514</v>
      </c>
      <c r="R78" s="4">
        <v>30.2646369554663</v>
      </c>
      <c r="S78" s="4">
        <v>30.4119234182501</v>
      </c>
      <c r="T78" s="4">
        <v>30.1650139468057</v>
      </c>
      <c r="U78" s="4">
        <v>25.0904428784972</v>
      </c>
      <c r="V78" s="4">
        <v>18.8091929896673</v>
      </c>
      <c r="W78" s="4">
        <v>17.8690929570506</v>
      </c>
      <c r="X78" s="4">
        <v>13.0871543063058</v>
      </c>
      <c r="Y78" s="4">
        <v>19.0560155232747</v>
      </c>
      <c r="Z78" s="4">
        <v>25.7402332182853</v>
      </c>
      <c r="AA78" s="4">
        <v>24.2974934307734</v>
      </c>
      <c r="AC78">
        <v>2002</v>
      </c>
      <c r="AD78" s="3">
        <f t="shared" si="26"/>
        <v>25.128462422278616</v>
      </c>
      <c r="AE78" s="3">
        <f t="shared" si="27"/>
        <v>25.657632127780357</v>
      </c>
      <c r="AF78" s="3">
        <f t="shared" si="28"/>
        <v>30.25932883293398</v>
      </c>
      <c r="AG78" s="3">
        <f t="shared" si="29"/>
        <v>30.415707120587747</v>
      </c>
      <c r="AH78" s="3">
        <f t="shared" si="30"/>
        <v>30.14895129884992</v>
      </c>
      <c r="AI78" s="3">
        <f t="shared" si="31"/>
        <v>25.072512306884676</v>
      </c>
      <c r="AJ78" s="3">
        <f t="shared" si="32"/>
        <v>18.01783308188121</v>
      </c>
      <c r="AK78" s="3">
        <f t="shared" si="33"/>
        <v>16.804408953394944</v>
      </c>
      <c r="AL78" s="3">
        <f t="shared" si="34"/>
        <v>11.541931720574699</v>
      </c>
      <c r="AM78" s="3">
        <f t="shared" si="35"/>
        <v>19.079293629174582</v>
      </c>
      <c r="AN78" s="3">
        <f t="shared" si="36"/>
        <v>25.49878352842023</v>
      </c>
      <c r="AO78" s="3">
        <f t="shared" si="37"/>
        <v>24.371212886174533</v>
      </c>
      <c r="AQ78">
        <v>2002</v>
      </c>
      <c r="AR78" s="3">
        <f t="shared" si="38"/>
        <v>25.1580691053021</v>
      </c>
      <c r="AS78" s="3">
        <f t="shared" si="39"/>
        <v>25.6416606433514</v>
      </c>
      <c r="AT78" s="3">
        <f t="shared" si="40"/>
        <v>30.2646369554663</v>
      </c>
      <c r="AU78" s="3">
        <f t="shared" si="41"/>
        <v>30.4119234182501</v>
      </c>
      <c r="AV78" s="3">
        <f t="shared" si="42"/>
        <v>30.1650139468057</v>
      </c>
      <c r="AW78" s="3">
        <f t="shared" si="43"/>
        <v>25.0904428784972</v>
      </c>
      <c r="AX78" s="3">
        <f t="shared" si="44"/>
        <v>18.8091929896673</v>
      </c>
      <c r="AY78" s="3">
        <f t="shared" si="45"/>
        <v>17.8690929570506</v>
      </c>
      <c r="AZ78" s="3">
        <f t="shared" si="46"/>
        <v>13.0871543063058</v>
      </c>
      <c r="BA78" s="3">
        <f t="shared" si="47"/>
        <v>19.0560155232747</v>
      </c>
      <c r="BB78" s="3">
        <f t="shared" si="48"/>
        <v>25.7402332182853</v>
      </c>
      <c r="BC78" s="3">
        <f t="shared" si="49"/>
        <v>24.2974934307734</v>
      </c>
    </row>
    <row r="79" spans="1:55" ht="15">
      <c r="A79">
        <v>2003</v>
      </c>
      <c r="B79" s="3">
        <v>24.51426802142974</v>
      </c>
      <c r="C79" s="3">
        <v>25.548272796907305</v>
      </c>
      <c r="D79" s="3">
        <v>29.759091358287357</v>
      </c>
      <c r="E79" s="3">
        <v>28.167277503782696</v>
      </c>
      <c r="F79" s="3">
        <v>29.965859038489207</v>
      </c>
      <c r="G79" s="3">
        <v>20.663877611429818</v>
      </c>
      <c r="H79" s="3">
        <v>18.309528864754572</v>
      </c>
      <c r="I79" s="3">
        <v>15.873836434272025</v>
      </c>
      <c r="J79" s="3">
        <v>15.000742260615041</v>
      </c>
      <c r="K79" s="3">
        <v>24.306799466635592</v>
      </c>
      <c r="L79" s="3">
        <v>26.444719249202365</v>
      </c>
      <c r="M79" s="3">
        <v>24.469807403882346</v>
      </c>
      <c r="O79">
        <v>2003</v>
      </c>
      <c r="P79" s="4">
        <v>24.4580216238576</v>
      </c>
      <c r="Q79" s="4">
        <v>25.5988060448272</v>
      </c>
      <c r="R79" s="4">
        <v>29.7847490787506</v>
      </c>
      <c r="S79" s="4">
        <v>28.1859319712526</v>
      </c>
      <c r="T79" s="4">
        <v>29.9693616935185</v>
      </c>
      <c r="U79" s="4">
        <v>20.641606079778</v>
      </c>
      <c r="V79" s="4">
        <v>19.3313870006137</v>
      </c>
      <c r="W79" s="4">
        <v>16.8603149488408</v>
      </c>
      <c r="X79" s="4">
        <v>15.776392783059</v>
      </c>
      <c r="Y79" s="4">
        <v>24.1847768693842</v>
      </c>
      <c r="Z79" s="4">
        <v>26.5976227245023</v>
      </c>
      <c r="AA79" s="4">
        <v>24.4791144164403</v>
      </c>
      <c r="AC79">
        <v>2003</v>
      </c>
      <c r="AD79" s="3">
        <f t="shared" si="26"/>
        <v>24.51426802142974</v>
      </c>
      <c r="AE79" s="3">
        <f t="shared" si="27"/>
        <v>25.548272796907305</v>
      </c>
      <c r="AF79" s="3">
        <f t="shared" si="28"/>
        <v>29.759091358287357</v>
      </c>
      <c r="AG79" s="3">
        <f t="shared" si="29"/>
        <v>28.167277503782696</v>
      </c>
      <c r="AH79" s="3">
        <f t="shared" si="30"/>
        <v>29.965859038489207</v>
      </c>
      <c r="AI79" s="3">
        <f t="shared" si="31"/>
        <v>20.663877611429818</v>
      </c>
      <c r="AJ79" s="3">
        <f t="shared" si="32"/>
        <v>18.309528864754572</v>
      </c>
      <c r="AK79" s="3">
        <f t="shared" si="33"/>
        <v>15.873836434272025</v>
      </c>
      <c r="AL79" s="3">
        <f t="shared" si="34"/>
        <v>15.000742260615041</v>
      </c>
      <c r="AM79" s="3">
        <f t="shared" si="35"/>
        <v>24.306799466635592</v>
      </c>
      <c r="AN79" s="3">
        <f t="shared" si="36"/>
        <v>26.444719249202365</v>
      </c>
      <c r="AO79" s="3">
        <f t="shared" si="37"/>
        <v>24.469807403882346</v>
      </c>
      <c r="AQ79">
        <v>2003</v>
      </c>
      <c r="AR79" s="3">
        <f t="shared" si="38"/>
        <v>24.4580216238576</v>
      </c>
      <c r="AS79" s="3">
        <f t="shared" si="39"/>
        <v>25.5988060448272</v>
      </c>
      <c r="AT79" s="3">
        <f t="shared" si="40"/>
        <v>29.7847490787506</v>
      </c>
      <c r="AU79" s="3">
        <f t="shared" si="41"/>
        <v>28.1859319712526</v>
      </c>
      <c r="AV79" s="3">
        <f t="shared" si="42"/>
        <v>29.9693616935185</v>
      </c>
      <c r="AW79" s="3">
        <f t="shared" si="43"/>
        <v>20.641606079778</v>
      </c>
      <c r="AX79" s="3">
        <f t="shared" si="44"/>
        <v>19.3313870006137</v>
      </c>
      <c r="AY79" s="3">
        <f t="shared" si="45"/>
        <v>16.8603149488408</v>
      </c>
      <c r="AZ79" s="3">
        <f t="shared" si="46"/>
        <v>15.776392783059</v>
      </c>
      <c r="BA79" s="3">
        <f t="shared" si="47"/>
        <v>24.1847768693842</v>
      </c>
      <c r="BB79" s="3">
        <f t="shared" si="48"/>
        <v>26.5976227245023</v>
      </c>
      <c r="BC79" s="3">
        <f t="shared" si="49"/>
        <v>24.4791144164403</v>
      </c>
    </row>
    <row r="80" spans="1:55" ht="15">
      <c r="A80">
        <v>2004</v>
      </c>
      <c r="B80" s="3">
        <v>23.906418341975076</v>
      </c>
      <c r="C80" s="3">
        <v>25.19991829702825</v>
      </c>
      <c r="D80" s="3">
        <v>29.088977909600864</v>
      </c>
      <c r="E80" s="3">
        <v>27.972319669620976</v>
      </c>
      <c r="F80" s="3">
        <v>31.731245401927403</v>
      </c>
      <c r="G80" s="3">
        <v>25.277674422161418</v>
      </c>
      <c r="H80" s="3">
        <v>21.924420201513495</v>
      </c>
      <c r="I80" s="3">
        <v>18.83938402745032</v>
      </c>
      <c r="J80" s="3">
        <v>21.553150714768307</v>
      </c>
      <c r="K80" s="3">
        <v>24.94068571111207</v>
      </c>
      <c r="L80" s="3">
        <v>27.24728479539194</v>
      </c>
      <c r="M80" s="3">
        <v>23.663723246256513</v>
      </c>
      <c r="O80">
        <v>2004</v>
      </c>
      <c r="P80" s="4">
        <v>23.9133854189227</v>
      </c>
      <c r="Q80" s="4">
        <v>25.2269485959729</v>
      </c>
      <c r="R80" s="4">
        <v>29.0702464416463</v>
      </c>
      <c r="S80" s="4">
        <v>27.9501032793394</v>
      </c>
      <c r="T80" s="4">
        <v>31.7476516655513</v>
      </c>
      <c r="U80" s="4">
        <v>25.2596310509326</v>
      </c>
      <c r="V80" s="4">
        <v>23.2573955467012</v>
      </c>
      <c r="W80" s="4">
        <v>19.7824841219892</v>
      </c>
      <c r="X80" s="4">
        <v>22.1565251509349</v>
      </c>
      <c r="Y80" s="4">
        <v>24.8312762270692</v>
      </c>
      <c r="Z80" s="4">
        <v>27.3784967037939</v>
      </c>
      <c r="AA80" s="4">
        <v>23.6352938429515</v>
      </c>
      <c r="AC80">
        <v>2004</v>
      </c>
      <c r="AD80" s="3">
        <f t="shared" si="26"/>
        <v>23.906418341975076</v>
      </c>
      <c r="AE80" s="3">
        <f t="shared" si="27"/>
        <v>25.19991829702825</v>
      </c>
      <c r="AF80" s="3">
        <f t="shared" si="28"/>
        <v>29.088977909600864</v>
      </c>
      <c r="AG80" s="3">
        <f t="shared" si="29"/>
        <v>27.972319669620976</v>
      </c>
      <c r="AH80" s="3">
        <f t="shared" si="30"/>
        <v>31.731245401927403</v>
      </c>
      <c r="AI80" s="3">
        <f t="shared" si="31"/>
        <v>25.277674422161418</v>
      </c>
      <c r="AJ80" s="3">
        <f t="shared" si="32"/>
        <v>21.924420201513495</v>
      </c>
      <c r="AK80" s="3">
        <f t="shared" si="33"/>
        <v>18.83938402745032</v>
      </c>
      <c r="AL80" s="3">
        <f t="shared" si="34"/>
        <v>21.553150714768307</v>
      </c>
      <c r="AM80" s="3">
        <f t="shared" si="35"/>
        <v>24.94068571111207</v>
      </c>
      <c r="AN80" s="3">
        <f t="shared" si="36"/>
        <v>27.24728479539194</v>
      </c>
      <c r="AO80" s="3">
        <f t="shared" si="37"/>
        <v>23.663723246256513</v>
      </c>
      <c r="AQ80">
        <v>2004</v>
      </c>
      <c r="AR80" s="3">
        <f t="shared" si="38"/>
        <v>23.9133854189227</v>
      </c>
      <c r="AS80" s="3">
        <f t="shared" si="39"/>
        <v>25.2269485959729</v>
      </c>
      <c r="AT80" s="3">
        <f t="shared" si="40"/>
        <v>29.0702464416463</v>
      </c>
      <c r="AU80" s="3">
        <f t="shared" si="41"/>
        <v>27.9501032793394</v>
      </c>
      <c r="AV80" s="3">
        <f t="shared" si="42"/>
        <v>31.7476516655513</v>
      </c>
      <c r="AW80" s="3">
        <f t="shared" si="43"/>
        <v>25.2596310509326</v>
      </c>
      <c r="AX80" s="3">
        <f t="shared" si="44"/>
        <v>23.2573955467012</v>
      </c>
      <c r="AY80" s="3">
        <f t="shared" si="45"/>
        <v>19.7824841219892</v>
      </c>
      <c r="AZ80" s="3">
        <f t="shared" si="46"/>
        <v>22.1565251509349</v>
      </c>
      <c r="BA80" s="3">
        <f t="shared" si="47"/>
        <v>24.8312762270692</v>
      </c>
      <c r="BB80" s="3">
        <f t="shared" si="48"/>
        <v>27.3784967037939</v>
      </c>
      <c r="BC80" s="3">
        <f t="shared" si="49"/>
        <v>23.6352938429515</v>
      </c>
    </row>
    <row r="81" spans="1:55" ht="15">
      <c r="A81">
        <v>2005</v>
      </c>
      <c r="B81" s="3">
        <v>23.817310046380562</v>
      </c>
      <c r="C81" s="3">
        <v>26.334285962928856</v>
      </c>
      <c r="D81" s="3">
        <v>27.397276644040193</v>
      </c>
      <c r="E81" s="3">
        <v>27.01138154511811</v>
      </c>
      <c r="F81" s="3">
        <v>27.182904100418096</v>
      </c>
      <c r="G81" s="3">
        <v>26.64891306208409</v>
      </c>
      <c r="H81" s="3">
        <v>22.663865496847357</v>
      </c>
      <c r="I81" s="3">
        <v>17.0410743598015</v>
      </c>
      <c r="J81" s="3">
        <v>20.32630536026425</v>
      </c>
      <c r="K81" s="3">
        <v>24.854581546014355</v>
      </c>
      <c r="L81" s="3">
        <v>27.869025751852224</v>
      </c>
      <c r="M81" s="3">
        <v>25.8937798690796</v>
      </c>
      <c r="O81">
        <v>2005</v>
      </c>
      <c r="P81" s="4">
        <v>23.8021659251182</v>
      </c>
      <c r="Q81" s="4">
        <v>26.3563802912893</v>
      </c>
      <c r="R81" s="4">
        <v>27.3960405075422</v>
      </c>
      <c r="S81" s="4">
        <v>27.0026275527093</v>
      </c>
      <c r="T81" s="4">
        <v>27.1951373849596</v>
      </c>
      <c r="U81" s="4">
        <v>26.8219793584113</v>
      </c>
      <c r="V81" s="4">
        <v>24.5110391436683</v>
      </c>
      <c r="W81" s="4">
        <v>18.0259853152819</v>
      </c>
      <c r="X81" s="4">
        <v>20.9098167260488</v>
      </c>
      <c r="Y81" s="4">
        <v>24.7395992320071</v>
      </c>
      <c r="Z81" s="4">
        <v>28.0540639246664</v>
      </c>
      <c r="AA81" s="4">
        <v>25.8773800118764</v>
      </c>
      <c r="AC81">
        <v>2005</v>
      </c>
      <c r="AD81" s="3">
        <f t="shared" si="26"/>
        <v>23.817310046380562</v>
      </c>
      <c r="AE81" s="3">
        <f t="shared" si="27"/>
        <v>26.334285962928856</v>
      </c>
      <c r="AF81" s="3">
        <f t="shared" si="28"/>
        <v>27.397276644040193</v>
      </c>
      <c r="AG81" s="3">
        <f t="shared" si="29"/>
        <v>27.01138154511811</v>
      </c>
      <c r="AH81" s="3">
        <f t="shared" si="30"/>
        <v>27.182904100418096</v>
      </c>
      <c r="AI81" s="3">
        <f t="shared" si="31"/>
        <v>26.64891306208409</v>
      </c>
      <c r="AJ81" s="3">
        <f t="shared" si="32"/>
        <v>22.663865496847357</v>
      </c>
      <c r="AK81" s="3">
        <f t="shared" si="33"/>
        <v>17.0410743598015</v>
      </c>
      <c r="AL81" s="3">
        <f t="shared" si="34"/>
        <v>20.32630536026425</v>
      </c>
      <c r="AM81" s="3">
        <f t="shared" si="35"/>
        <v>24.854581546014355</v>
      </c>
      <c r="AN81" s="3">
        <f t="shared" si="36"/>
        <v>27.869025751852224</v>
      </c>
      <c r="AO81" s="3">
        <f t="shared" si="37"/>
        <v>25.8937798690796</v>
      </c>
      <c r="AQ81">
        <v>2005</v>
      </c>
      <c r="AR81" s="3">
        <f t="shared" si="38"/>
        <v>23.8021659251182</v>
      </c>
      <c r="AS81" s="3">
        <f t="shared" si="39"/>
        <v>26.3563802912893</v>
      </c>
      <c r="AT81" s="3">
        <f t="shared" si="40"/>
        <v>27.3960405075422</v>
      </c>
      <c r="AU81" s="3">
        <f t="shared" si="41"/>
        <v>27.0026275527093</v>
      </c>
      <c r="AV81" s="3">
        <f t="shared" si="42"/>
        <v>27.1951373849596</v>
      </c>
      <c r="AW81" s="3">
        <f t="shared" si="43"/>
        <v>26.8219793584113</v>
      </c>
      <c r="AX81" s="3">
        <f t="shared" si="44"/>
        <v>24.5110391436683</v>
      </c>
      <c r="AY81" s="3">
        <f t="shared" si="45"/>
        <v>18.0259853152819</v>
      </c>
      <c r="AZ81" s="3">
        <f t="shared" si="46"/>
        <v>20.9098167260488</v>
      </c>
      <c r="BA81" s="3">
        <f t="shared" si="47"/>
        <v>24.7395992320071</v>
      </c>
      <c r="BB81" s="3">
        <f t="shared" si="48"/>
        <v>28.0540639246664</v>
      </c>
      <c r="BC81" s="3">
        <f t="shared" si="49"/>
        <v>25.8773800118764</v>
      </c>
    </row>
    <row r="82" spans="1:55" ht="15">
      <c r="A82">
        <v>2006</v>
      </c>
      <c r="B82" s="3">
        <v>24.916197920614685</v>
      </c>
      <c r="C82" s="3">
        <v>23.843426262555276</v>
      </c>
      <c r="D82" s="3">
        <v>25.59024222179126</v>
      </c>
      <c r="E82" s="3">
        <v>23.16574990236631</v>
      </c>
      <c r="F82" s="3">
        <v>23.67592391627176</v>
      </c>
      <c r="G82" s="3">
        <v>21.55558672204794</v>
      </c>
      <c r="H82" s="3">
        <v>13.15594240059456</v>
      </c>
      <c r="I82" s="3">
        <v>9.6781207874898</v>
      </c>
      <c r="J82" s="3">
        <v>11.413962733745574</v>
      </c>
      <c r="K82" s="3">
        <v>22.573072564986443</v>
      </c>
      <c r="L82" s="3">
        <v>27.27929357943996</v>
      </c>
      <c r="M82" s="3">
        <v>26.455485493342074</v>
      </c>
      <c r="O82">
        <v>2006</v>
      </c>
      <c r="P82" s="4">
        <v>24.9264844125317</v>
      </c>
      <c r="Q82" s="4">
        <v>23.8351680435519</v>
      </c>
      <c r="R82" s="4">
        <v>25.5803383099136</v>
      </c>
      <c r="S82" s="4">
        <v>23.1527974946525</v>
      </c>
      <c r="T82" s="4">
        <v>23.6614078044891</v>
      </c>
      <c r="U82" s="4">
        <v>21.5675315250779</v>
      </c>
      <c r="V82" s="4">
        <v>14.0715682077408</v>
      </c>
      <c r="W82" s="4">
        <v>10.571380334676</v>
      </c>
      <c r="X82" s="4">
        <v>12.797345168723</v>
      </c>
      <c r="Y82" s="4">
        <v>22.3325394938069</v>
      </c>
      <c r="Z82" s="4">
        <v>27.3325139845571</v>
      </c>
      <c r="AA82" s="4">
        <v>26.3229200220108</v>
      </c>
      <c r="AC82">
        <v>2006</v>
      </c>
      <c r="AD82" s="3">
        <f t="shared" si="26"/>
        <v>24.916197920614685</v>
      </c>
      <c r="AE82" s="3">
        <f t="shared" si="27"/>
        <v>23.843426262555276</v>
      </c>
      <c r="AF82" s="3">
        <f t="shared" si="28"/>
        <v>25.59024222179126</v>
      </c>
      <c r="AG82" s="3">
        <f t="shared" si="29"/>
        <v>23.16574990236631</v>
      </c>
      <c r="AH82" s="3">
        <f t="shared" si="30"/>
        <v>23.67592391627176</v>
      </c>
      <c r="AI82" s="3">
        <f t="shared" si="31"/>
        <v>21.55558672204794</v>
      </c>
      <c r="AJ82" s="3">
        <f t="shared" si="32"/>
        <v>13.15594240059456</v>
      </c>
      <c r="AK82" s="3">
        <f t="shared" si="33"/>
        <v>9.6781207874898</v>
      </c>
      <c r="AL82" s="3">
        <f t="shared" si="34"/>
        <v>11.413962733745574</v>
      </c>
      <c r="AM82" s="3">
        <f t="shared" si="35"/>
        <v>22.573072564986443</v>
      </c>
      <c r="AN82" s="3">
        <f t="shared" si="36"/>
        <v>27.27929357943996</v>
      </c>
      <c r="AO82" s="3">
        <f t="shared" si="37"/>
        <v>26.455485493342074</v>
      </c>
      <c r="AQ82">
        <v>2006</v>
      </c>
      <c r="AR82" s="3">
        <f t="shared" si="38"/>
        <v>24.9264844125317</v>
      </c>
      <c r="AS82" s="3">
        <f t="shared" si="39"/>
        <v>23.8351680435519</v>
      </c>
      <c r="AT82" s="3">
        <f t="shared" si="40"/>
        <v>25.5803383099136</v>
      </c>
      <c r="AU82" s="3">
        <f t="shared" si="41"/>
        <v>23.1527974946525</v>
      </c>
      <c r="AV82" s="3">
        <f t="shared" si="42"/>
        <v>23.6614078044891</v>
      </c>
      <c r="AW82" s="3">
        <f t="shared" si="43"/>
        <v>21.5675315250779</v>
      </c>
      <c r="AX82" s="3">
        <f t="shared" si="44"/>
        <v>14.0715682077408</v>
      </c>
      <c r="AY82" s="3">
        <f t="shared" si="45"/>
        <v>10.571380334676</v>
      </c>
      <c r="AZ82" s="3">
        <f t="shared" si="46"/>
        <v>12.797345168723</v>
      </c>
      <c r="BA82" s="3">
        <f t="shared" si="47"/>
        <v>22.3325394938069</v>
      </c>
      <c r="BB82" s="3">
        <f t="shared" si="48"/>
        <v>27.3325139845571</v>
      </c>
      <c r="BC82" s="3">
        <f t="shared" si="49"/>
        <v>26.3229200220108</v>
      </c>
    </row>
    <row r="83" spans="1:55" ht="15">
      <c r="A83">
        <v>2007</v>
      </c>
      <c r="B83" s="3">
        <v>24.656283371679244</v>
      </c>
      <c r="C83" s="3">
        <v>24.80825873866326</v>
      </c>
      <c r="D83" s="3">
        <v>29.75900959096929</v>
      </c>
      <c r="E83" s="3">
        <v>25.679666580179678</v>
      </c>
      <c r="F83" s="3">
        <v>27.274242707661223</v>
      </c>
      <c r="G83" s="3">
        <v>21.52262381082588</v>
      </c>
      <c r="H83" s="3">
        <v>19.11175712373522</v>
      </c>
      <c r="I83" s="3">
        <v>17.90980475846157</v>
      </c>
      <c r="J83" s="3">
        <v>20.000219241778055</v>
      </c>
      <c r="K83" s="3">
        <v>23.83691714066331</v>
      </c>
      <c r="L83" s="3">
        <v>28.142116680452908</v>
      </c>
      <c r="M83" s="3">
        <v>26.86586591402689</v>
      </c>
      <c r="O83">
        <v>2007</v>
      </c>
      <c r="P83" s="4">
        <v>24.6126214934934</v>
      </c>
      <c r="Q83" s="4">
        <v>24.7646080285931</v>
      </c>
      <c r="R83" s="4">
        <v>29.6628104984119</v>
      </c>
      <c r="S83" s="4">
        <v>25.6944216617974</v>
      </c>
      <c r="T83" s="4">
        <v>27.27271900177</v>
      </c>
      <c r="U83" s="4">
        <v>21.5407820555596</v>
      </c>
      <c r="V83" s="4">
        <v>20.0092318953408</v>
      </c>
      <c r="W83" s="4">
        <v>19.0089174721831</v>
      </c>
      <c r="X83" s="4">
        <v>20.6697225120333</v>
      </c>
      <c r="Y83" s="4">
        <v>23.7776427243346</v>
      </c>
      <c r="Z83" s="4">
        <v>28.2843653186675</v>
      </c>
      <c r="AA83" s="4">
        <v>26.8537456448873</v>
      </c>
      <c r="AC83">
        <v>2007</v>
      </c>
      <c r="AD83" s="3">
        <f t="shared" si="26"/>
        <v>24.656283371679244</v>
      </c>
      <c r="AE83" s="3">
        <f t="shared" si="27"/>
        <v>24.80825873866326</v>
      </c>
      <c r="AF83" s="3">
        <f t="shared" si="28"/>
        <v>29.75900959096929</v>
      </c>
      <c r="AG83" s="3">
        <f t="shared" si="29"/>
        <v>25.679666580179678</v>
      </c>
      <c r="AH83" s="3">
        <f t="shared" si="30"/>
        <v>27.274242707661223</v>
      </c>
      <c r="AI83" s="3">
        <f t="shared" si="31"/>
        <v>21.52262381082588</v>
      </c>
      <c r="AJ83" s="3">
        <f t="shared" si="32"/>
        <v>19.11175712373522</v>
      </c>
      <c r="AK83" s="3">
        <f t="shared" si="33"/>
        <v>17.90980475846157</v>
      </c>
      <c r="AL83" s="3">
        <f t="shared" si="34"/>
        <v>20.000219241778055</v>
      </c>
      <c r="AM83" s="3">
        <f t="shared" si="35"/>
        <v>23.83691714066331</v>
      </c>
      <c r="AN83" s="3">
        <f t="shared" si="36"/>
        <v>28.142116680452908</v>
      </c>
      <c r="AO83" s="3">
        <f t="shared" si="37"/>
        <v>26.86586591402689</v>
      </c>
      <c r="AQ83">
        <v>2007</v>
      </c>
      <c r="AR83" s="3">
        <f t="shared" si="38"/>
        <v>24.6126214934934</v>
      </c>
      <c r="AS83" s="3">
        <f t="shared" si="39"/>
        <v>24.7646080285931</v>
      </c>
      <c r="AT83" s="3">
        <f t="shared" si="40"/>
        <v>29.6628104984119</v>
      </c>
      <c r="AU83" s="3">
        <f t="shared" si="41"/>
        <v>25.6944216617974</v>
      </c>
      <c r="AV83" s="3">
        <f t="shared" si="42"/>
        <v>27.27271900177</v>
      </c>
      <c r="AW83" s="3">
        <f t="shared" si="43"/>
        <v>21.5407820555596</v>
      </c>
      <c r="AX83" s="3">
        <f t="shared" si="44"/>
        <v>20.0092318953408</v>
      </c>
      <c r="AY83" s="3">
        <f t="shared" si="45"/>
        <v>19.0089174721831</v>
      </c>
      <c r="AZ83" s="3">
        <f t="shared" si="46"/>
        <v>20.6697225120333</v>
      </c>
      <c r="BA83" s="3">
        <f t="shared" si="47"/>
        <v>23.7776427243346</v>
      </c>
      <c r="BB83" s="3">
        <f t="shared" si="48"/>
        <v>28.2843653186675</v>
      </c>
      <c r="BC83" s="3">
        <f t="shared" si="49"/>
        <v>26.8537456448873</v>
      </c>
    </row>
    <row r="84" spans="1:55" ht="15">
      <c r="A84">
        <v>2008</v>
      </c>
      <c r="B84" s="3">
        <v>26.544350327214893</v>
      </c>
      <c r="C84" s="3">
        <v>27.457697801616423</v>
      </c>
      <c r="D84" s="3">
        <v>32.463257749619025</v>
      </c>
      <c r="E84" s="3">
        <v>29.874506428164825</v>
      </c>
      <c r="F84" s="3">
        <v>29.116104820796426</v>
      </c>
      <c r="G84" s="3">
        <v>25.183254844215003</v>
      </c>
      <c r="H84" s="3">
        <v>22.03399824301401</v>
      </c>
      <c r="I84" s="3">
        <v>13.702763837768185</v>
      </c>
      <c r="J84" s="3">
        <v>6.470832476516563</v>
      </c>
      <c r="K84" s="3">
        <v>23.085519587609067</v>
      </c>
      <c r="L84" s="3">
        <v>26.43111876287768</v>
      </c>
      <c r="M84" s="3">
        <v>26.818787784576422</v>
      </c>
      <c r="O84">
        <v>2008</v>
      </c>
      <c r="P84" s="4">
        <v>26.5293263858364</v>
      </c>
      <c r="Q84" s="4">
        <v>27.464551027704</v>
      </c>
      <c r="R84" s="4">
        <v>32.5284550820628</v>
      </c>
      <c r="S84" s="4">
        <v>29.9019556545442</v>
      </c>
      <c r="T84" s="4">
        <v>29.1124041761671</v>
      </c>
      <c r="U84" s="4">
        <v>25.1562842766016</v>
      </c>
      <c r="V84" s="4">
        <v>23.6311984019809</v>
      </c>
      <c r="W84" s="4">
        <v>15.1777491681037</v>
      </c>
      <c r="X84" s="4">
        <v>7.76465254839924</v>
      </c>
      <c r="Y84" s="4">
        <v>22.3323352265102</v>
      </c>
      <c r="Z84" s="4">
        <v>26.3811154057903</v>
      </c>
      <c r="AA84" s="4">
        <v>26.5708196862539</v>
      </c>
      <c r="AC84">
        <v>2008</v>
      </c>
      <c r="AD84" s="3">
        <f t="shared" si="26"/>
        <v>26.544350327214893</v>
      </c>
      <c r="AE84" s="3">
        <f t="shared" si="27"/>
        <v>27.457697801616423</v>
      </c>
      <c r="AF84" s="3">
        <f t="shared" si="28"/>
        <v>32.463257749619025</v>
      </c>
      <c r="AG84" s="3">
        <f t="shared" si="29"/>
        <v>29.874506428164825</v>
      </c>
      <c r="AH84" s="3">
        <f t="shared" si="30"/>
        <v>29.116104820796426</v>
      </c>
      <c r="AI84" s="3">
        <f t="shared" si="31"/>
        <v>25.183254844215003</v>
      </c>
      <c r="AJ84" s="3">
        <f t="shared" si="32"/>
        <v>22.03399824301401</v>
      </c>
      <c r="AK84" s="3">
        <f t="shared" si="33"/>
        <v>13.702763837768185</v>
      </c>
      <c r="AL84" s="3">
        <f t="shared" si="34"/>
        <v>6.470832476516563</v>
      </c>
      <c r="AM84" s="3">
        <f t="shared" si="35"/>
        <v>23.085519587609067</v>
      </c>
      <c r="AN84" s="3">
        <f t="shared" si="36"/>
        <v>26.43111876287768</v>
      </c>
      <c r="AO84" s="3">
        <f t="shared" si="37"/>
        <v>26.818787784576422</v>
      </c>
      <c r="AQ84">
        <v>2008</v>
      </c>
      <c r="AR84" s="3">
        <f t="shared" si="38"/>
        <v>26.5293263858364</v>
      </c>
      <c r="AS84" s="3">
        <f t="shared" si="39"/>
        <v>27.464551027704</v>
      </c>
      <c r="AT84" s="3">
        <f t="shared" si="40"/>
        <v>32.5284550820628</v>
      </c>
      <c r="AU84" s="3">
        <f t="shared" si="41"/>
        <v>29.9019556545442</v>
      </c>
      <c r="AV84" s="3">
        <f t="shared" si="42"/>
        <v>29.1124041761671</v>
      </c>
      <c r="AW84" s="3">
        <f t="shared" si="43"/>
        <v>25.1562842766016</v>
      </c>
      <c r="AX84" s="3">
        <f t="shared" si="44"/>
        <v>23.6311984019809</v>
      </c>
      <c r="AY84" s="3">
        <f t="shared" si="45"/>
        <v>15.1777491681037</v>
      </c>
      <c r="AZ84" s="3">
        <f t="shared" si="46"/>
        <v>7.76465254839924</v>
      </c>
      <c r="BA84" s="3">
        <f t="shared" si="47"/>
        <v>22.3323352265102</v>
      </c>
      <c r="BB84" s="3">
        <f t="shared" si="48"/>
        <v>26.3811154057903</v>
      </c>
      <c r="BC84" s="3">
        <f t="shared" si="49"/>
        <v>26.5708196862539</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9"/>
  <sheetViews>
    <sheetView zoomScale="90" zoomScaleNormal="90" workbookViewId="0" topLeftCell="G1">
      <selection activeCell="R21" sqref="R21"/>
    </sheetView>
  </sheetViews>
  <sheetFormatPr defaultColWidth="9.140625" defaultRowHeight="15"/>
  <cols>
    <col min="1" max="1" width="3.8515625" style="81" customWidth="1"/>
    <col min="2" max="2" width="6.7109375" style="80" bestFit="1" customWidth="1"/>
    <col min="3" max="3" width="35.421875" style="80" bestFit="1" customWidth="1"/>
    <col min="4" max="9" width="11.7109375" style="80" bestFit="1" customWidth="1"/>
    <col min="10" max="10" width="10.8515625" style="80" customWidth="1"/>
    <col min="11" max="11" width="11.7109375" style="80" bestFit="1" customWidth="1"/>
    <col min="12" max="12" width="11.8515625" style="80" customWidth="1"/>
    <col min="13" max="13" width="10.140625" style="80" customWidth="1"/>
    <col min="14" max="14" width="11.421875" style="80" customWidth="1"/>
    <col min="15" max="15" width="11.57421875" style="80" bestFit="1" customWidth="1"/>
    <col min="16" max="16" width="7.28125" style="80" customWidth="1"/>
    <col min="17" max="17" width="41.8515625" style="80" customWidth="1"/>
    <col min="18" max="18" width="11.8515625" style="80" customWidth="1"/>
    <col min="19" max="19" width="9.8515625" style="80" bestFit="1" customWidth="1"/>
    <col min="20" max="20" width="11.00390625" style="80" bestFit="1" customWidth="1"/>
    <col min="21" max="29" width="9.8515625" style="80" bestFit="1" customWidth="1"/>
    <col min="30" max="30" width="11.00390625" style="80" bestFit="1" customWidth="1"/>
    <col min="31" max="16384" width="9.140625" style="80" customWidth="1"/>
  </cols>
  <sheetData>
    <row r="1" spans="1:17" ht="15">
      <c r="A1" s="63" t="s">
        <v>259</v>
      </c>
      <c r="B1" s="63"/>
      <c r="P1" s="63" t="s">
        <v>228</v>
      </c>
      <c r="Q1" s="63"/>
    </row>
    <row r="2" spans="2:33" ht="45">
      <c r="B2" s="82" t="s">
        <v>43</v>
      </c>
      <c r="C2" s="82" t="s">
        <v>44</v>
      </c>
      <c r="D2" s="82" t="s">
        <v>45</v>
      </c>
      <c r="E2" s="82" t="s">
        <v>193</v>
      </c>
      <c r="F2" s="82" t="s">
        <v>46</v>
      </c>
      <c r="G2" s="82" t="s">
        <v>194</v>
      </c>
      <c r="H2" s="82" t="s">
        <v>47</v>
      </c>
      <c r="I2" s="82" t="s">
        <v>195</v>
      </c>
      <c r="J2" s="82" t="s">
        <v>201</v>
      </c>
      <c r="K2" s="82" t="s">
        <v>202</v>
      </c>
      <c r="L2" s="82" t="s">
        <v>203</v>
      </c>
      <c r="M2" s="82" t="s">
        <v>260</v>
      </c>
      <c r="N2" s="82" t="s">
        <v>261</v>
      </c>
      <c r="R2" s="83">
        <v>43374</v>
      </c>
      <c r="S2" s="83">
        <v>43405</v>
      </c>
      <c r="T2" s="83">
        <v>43435</v>
      </c>
      <c r="U2" s="83">
        <v>43466</v>
      </c>
      <c r="V2" s="83">
        <v>43497</v>
      </c>
      <c r="W2" s="83">
        <v>43525</v>
      </c>
      <c r="X2" s="83">
        <v>43556</v>
      </c>
      <c r="Y2" s="83">
        <v>43586</v>
      </c>
      <c r="Z2" s="83">
        <v>43617</v>
      </c>
      <c r="AA2" s="83">
        <v>43647</v>
      </c>
      <c r="AB2" s="83">
        <v>43678</v>
      </c>
      <c r="AC2" s="83">
        <v>43709</v>
      </c>
      <c r="AD2" s="82" t="s">
        <v>185</v>
      </c>
      <c r="AE2" s="82"/>
      <c r="AF2" s="82"/>
      <c r="AG2" s="82"/>
    </row>
    <row r="3" spans="2:30" ht="15">
      <c r="B3" s="80">
        <v>10005</v>
      </c>
      <c r="C3" s="80" t="s">
        <v>48</v>
      </c>
      <c r="D3" s="84">
        <v>7.65E-05</v>
      </c>
      <c r="E3" s="84">
        <v>7.7E-05</v>
      </c>
      <c r="F3" s="84">
        <v>7.65E-05</v>
      </c>
      <c r="G3" s="84">
        <v>7.7E-05</v>
      </c>
      <c r="H3" s="84">
        <v>0</v>
      </c>
      <c r="I3" s="84">
        <v>0</v>
      </c>
      <c r="J3" s="85">
        <v>0.539</v>
      </c>
      <c r="K3" s="85">
        <v>0.531</v>
      </c>
      <c r="L3" s="85">
        <v>0.535</v>
      </c>
      <c r="M3" s="86">
        <v>0.035</v>
      </c>
      <c r="N3" s="87">
        <f>G3*$AD$3*$R$19*M3</f>
        <v>0</v>
      </c>
      <c r="O3"/>
      <c r="P3"/>
      <c r="Q3" s="80" t="s">
        <v>186</v>
      </c>
      <c r="R3" s="89">
        <v>4688837.7623895</v>
      </c>
      <c r="S3" s="89">
        <v>5795047.103757499</v>
      </c>
      <c r="T3" s="89">
        <v>5725455.5192525</v>
      </c>
      <c r="U3" s="89">
        <v>4891856.01516</v>
      </c>
      <c r="V3" s="89">
        <v>4010373.0535045</v>
      </c>
      <c r="W3" s="89">
        <v>4748136.025081</v>
      </c>
      <c r="X3" s="89">
        <v>4563649.378624</v>
      </c>
      <c r="Y3" s="89">
        <v>6696832.526762</v>
      </c>
      <c r="Z3" s="89">
        <v>5283623.864174</v>
      </c>
      <c r="AA3" s="89">
        <v>4639465.236515501</v>
      </c>
      <c r="AB3" s="89">
        <v>5138393.456623</v>
      </c>
      <c r="AC3" s="89">
        <v>4655180.1305995</v>
      </c>
      <c r="AD3" s="89">
        <f aca="true" t="shared" si="0" ref="AD3:AD8">SUM(R3:AC3)</f>
        <v>60836850.072443</v>
      </c>
    </row>
    <row r="4" spans="2:30" ht="15">
      <c r="B4" s="80">
        <v>10015</v>
      </c>
      <c r="C4" s="80" t="s">
        <v>49</v>
      </c>
      <c r="D4" s="84">
        <v>8.12E-05</v>
      </c>
      <c r="E4" s="84">
        <v>8.12E-05</v>
      </c>
      <c r="F4" s="84">
        <v>8.12E-05</v>
      </c>
      <c r="G4" s="84">
        <v>8.12E-05</v>
      </c>
      <c r="H4" s="84">
        <v>0</v>
      </c>
      <c r="I4" s="84">
        <v>0</v>
      </c>
      <c r="J4" s="85">
        <v>0.564</v>
      </c>
      <c r="K4" s="85">
        <v>0.564</v>
      </c>
      <c r="L4" s="85">
        <v>0.564</v>
      </c>
      <c r="M4" s="86">
        <v>0</v>
      </c>
      <c r="N4" s="87">
        <f aca="true" t="shared" si="1" ref="N4:N6">G4*$AD$3*$R$19*M4</f>
        <v>0</v>
      </c>
      <c r="O4"/>
      <c r="P4"/>
      <c r="Q4" s="90" t="s">
        <v>183</v>
      </c>
      <c r="R4" s="91">
        <f>R3*SUM($G$3:$G$136)</f>
        <v>3374372.266267662</v>
      </c>
      <c r="S4" s="91">
        <f aca="true" t="shared" si="2" ref="S4:AC4">S3*SUM($G$3:$G$136)</f>
        <v>4170467.6552230953</v>
      </c>
      <c r="T4" s="91">
        <f t="shared" si="2"/>
        <v>4120385.326804118</v>
      </c>
      <c r="U4" s="91">
        <f t="shared" si="2"/>
        <v>3520476.524169257</v>
      </c>
      <c r="V4" s="91">
        <f t="shared" si="2"/>
        <v>2886107.8789461865</v>
      </c>
      <c r="W4" s="91">
        <f t="shared" si="2"/>
        <v>3417046.895505011</v>
      </c>
      <c r="X4" s="91">
        <f t="shared" si="2"/>
        <v>3284279.106375113</v>
      </c>
      <c r="Y4" s="91">
        <f t="shared" si="2"/>
        <v>4819447.18399231</v>
      </c>
      <c r="Z4" s="91">
        <f t="shared" si="2"/>
        <v>3802416.4486281667</v>
      </c>
      <c r="AA4" s="91">
        <f t="shared" si="2"/>
        <v>3338840.7997364113</v>
      </c>
      <c r="AB4" s="91">
        <f t="shared" si="2"/>
        <v>3697899.8318687286</v>
      </c>
      <c r="AC4" s="91">
        <f t="shared" si="2"/>
        <v>3350150.191413328</v>
      </c>
      <c r="AD4" s="89">
        <f t="shared" si="0"/>
        <v>43781890.10892939</v>
      </c>
    </row>
    <row r="5" spans="2:30" ht="15">
      <c r="B5" s="80">
        <v>10024</v>
      </c>
      <c r="C5" s="80" t="s">
        <v>50</v>
      </c>
      <c r="D5" s="84">
        <v>0.0285174</v>
      </c>
      <c r="E5" s="84">
        <v>0.0285174</v>
      </c>
      <c r="F5" s="84">
        <v>0.014830899999999998</v>
      </c>
      <c r="G5" s="84">
        <v>0.014830899999999998</v>
      </c>
      <c r="H5" s="84">
        <v>0.0136865</v>
      </c>
      <c r="I5" s="84">
        <v>0.0136865</v>
      </c>
      <c r="J5" s="85">
        <v>198.049</v>
      </c>
      <c r="K5" s="85">
        <v>198.049</v>
      </c>
      <c r="L5" s="85">
        <v>198.049</v>
      </c>
      <c r="M5" s="86">
        <v>0</v>
      </c>
      <c r="N5" s="87">
        <f t="shared" si="1"/>
        <v>0</v>
      </c>
      <c r="O5"/>
      <c r="P5"/>
      <c r="Q5" s="90" t="s">
        <v>196</v>
      </c>
      <c r="R5" s="91">
        <v>0</v>
      </c>
      <c r="S5" s="91">
        <v>0</v>
      </c>
      <c r="T5" s="91">
        <v>0</v>
      </c>
      <c r="U5" s="91">
        <v>0</v>
      </c>
      <c r="V5" s="91">
        <v>0</v>
      </c>
      <c r="W5" s="91">
        <v>0</v>
      </c>
      <c r="X5" s="91">
        <v>0</v>
      </c>
      <c r="Y5" s="91">
        <v>0</v>
      </c>
      <c r="Z5" s="91">
        <v>0</v>
      </c>
      <c r="AA5" s="91">
        <v>0</v>
      </c>
      <c r="AB5" s="91">
        <v>0</v>
      </c>
      <c r="AC5" s="91">
        <v>0</v>
      </c>
      <c r="AD5" s="89">
        <f t="shared" si="0"/>
        <v>0</v>
      </c>
    </row>
    <row r="6" spans="2:30" ht="15">
      <c r="B6" s="80">
        <v>10025</v>
      </c>
      <c r="C6" s="80" t="s">
        <v>51</v>
      </c>
      <c r="D6" s="84">
        <v>0.0084526</v>
      </c>
      <c r="E6" s="84">
        <v>0.0084526</v>
      </c>
      <c r="F6" s="84">
        <v>0.0084526</v>
      </c>
      <c r="G6" s="84">
        <v>0.0084526</v>
      </c>
      <c r="H6" s="84">
        <v>0</v>
      </c>
      <c r="I6" s="84">
        <v>0</v>
      </c>
      <c r="J6" s="85">
        <v>58.702</v>
      </c>
      <c r="K6" s="85">
        <v>58.702</v>
      </c>
      <c r="L6" s="85">
        <v>58.702</v>
      </c>
      <c r="M6" s="86">
        <v>0.0679</v>
      </c>
      <c r="N6" s="87">
        <f t="shared" si="1"/>
        <v>0</v>
      </c>
      <c r="O6"/>
      <c r="P6"/>
      <c r="Q6" s="90" t="s">
        <v>197</v>
      </c>
      <c r="R6" s="91">
        <v>62436</v>
      </c>
      <c r="S6" s="91">
        <v>61630</v>
      </c>
      <c r="T6" s="91">
        <v>63053</v>
      </c>
      <c r="U6" s="91">
        <v>63410</v>
      </c>
      <c r="V6" s="91">
        <v>58464</v>
      </c>
      <c r="W6" s="91">
        <v>64641</v>
      </c>
      <c r="X6" s="91">
        <v>62640</v>
      </c>
      <c r="Y6" s="91">
        <v>64728</v>
      </c>
      <c r="Z6" s="91">
        <v>62640</v>
      </c>
      <c r="AA6" s="91">
        <v>64728</v>
      </c>
      <c r="AB6" s="91">
        <v>64728</v>
      </c>
      <c r="AC6" s="91">
        <v>8640</v>
      </c>
      <c r="AD6" s="89">
        <f t="shared" si="0"/>
        <v>701738</v>
      </c>
    </row>
    <row r="7" spans="2:30" ht="15">
      <c r="B7" s="80">
        <v>10027</v>
      </c>
      <c r="C7" s="80" t="s">
        <v>52</v>
      </c>
      <c r="D7" s="84">
        <v>0.00867</v>
      </c>
      <c r="E7" s="84">
        <v>0.00867</v>
      </c>
      <c r="F7" s="84">
        <v>0.00867</v>
      </c>
      <c r="G7" s="84">
        <v>0.00867</v>
      </c>
      <c r="H7" s="84">
        <v>0</v>
      </c>
      <c r="I7" s="84">
        <v>0</v>
      </c>
      <c r="J7" s="85">
        <v>60.212</v>
      </c>
      <c r="K7" s="85">
        <v>60.212</v>
      </c>
      <c r="L7" s="85">
        <v>60.212</v>
      </c>
      <c r="M7" s="86">
        <v>0.07493</v>
      </c>
      <c r="N7" s="87">
        <f>G7*$AD$3*$R$19*M7</f>
        <v>0</v>
      </c>
      <c r="O7"/>
      <c r="P7"/>
      <c r="Q7" s="90" t="s">
        <v>198</v>
      </c>
      <c r="R7" s="91">
        <v>0</v>
      </c>
      <c r="S7" s="91">
        <v>0</v>
      </c>
      <c r="T7" s="91">
        <v>0</v>
      </c>
      <c r="U7" s="91">
        <v>0</v>
      </c>
      <c r="V7" s="91">
        <v>0</v>
      </c>
      <c r="W7" s="91">
        <v>0</v>
      </c>
      <c r="X7" s="91">
        <v>0</v>
      </c>
      <c r="Y7" s="91">
        <v>0</v>
      </c>
      <c r="Z7" s="91">
        <v>0</v>
      </c>
      <c r="AA7" s="91">
        <v>0</v>
      </c>
      <c r="AB7" s="91">
        <v>0</v>
      </c>
      <c r="AC7" s="91">
        <v>0</v>
      </c>
      <c r="AD7" s="89">
        <f t="shared" si="0"/>
        <v>0</v>
      </c>
    </row>
    <row r="8" spans="2:30" ht="15">
      <c r="B8" s="80">
        <v>10029</v>
      </c>
      <c r="C8" s="80" t="s">
        <v>53</v>
      </c>
      <c r="D8" s="84">
        <v>0.0024958</v>
      </c>
      <c r="E8" s="84">
        <v>0.0024958</v>
      </c>
      <c r="F8" s="84">
        <v>0.0024958</v>
      </c>
      <c r="G8" s="84">
        <v>0.0024958</v>
      </c>
      <c r="H8" s="84">
        <v>0</v>
      </c>
      <c r="I8" s="84">
        <v>0</v>
      </c>
      <c r="J8" s="85">
        <v>17.333</v>
      </c>
      <c r="K8" s="85">
        <v>17.333</v>
      </c>
      <c r="L8" s="85">
        <v>17.333</v>
      </c>
      <c r="M8" s="86">
        <v>0.06932</v>
      </c>
      <c r="N8" s="87">
        <f>G8*$AD$3*$R$19*M8</f>
        <v>0</v>
      </c>
      <c r="O8"/>
      <c r="P8"/>
      <c r="Q8" s="90" t="s">
        <v>184</v>
      </c>
      <c r="R8" s="91">
        <f>SUM(R4:R7)</f>
        <v>3436808.266267662</v>
      </c>
      <c r="S8" s="91">
        <f aca="true" t="shared" si="3" ref="S8:AC8">SUM(S4:S7)</f>
        <v>4232097.655223096</v>
      </c>
      <c r="T8" s="91">
        <f t="shared" si="3"/>
        <v>4183438.326804118</v>
      </c>
      <c r="U8" s="91">
        <f t="shared" si="3"/>
        <v>3583886.524169257</v>
      </c>
      <c r="V8" s="91">
        <f t="shared" si="3"/>
        <v>2944571.8789461865</v>
      </c>
      <c r="W8" s="91">
        <f t="shared" si="3"/>
        <v>3481687.895505011</v>
      </c>
      <c r="X8" s="91">
        <f t="shared" si="3"/>
        <v>3346919.106375113</v>
      </c>
      <c r="Y8" s="91">
        <f>SUM(Y4:Y7)</f>
        <v>4884175.18399231</v>
      </c>
      <c r="Z8" s="91">
        <f t="shared" si="3"/>
        <v>3865056.4486281667</v>
      </c>
      <c r="AA8" s="91">
        <f t="shared" si="3"/>
        <v>3403568.7997364113</v>
      </c>
      <c r="AB8" s="91">
        <f t="shared" si="3"/>
        <v>3762627.8318687286</v>
      </c>
      <c r="AC8" s="91">
        <f t="shared" si="3"/>
        <v>3358790.191413328</v>
      </c>
      <c r="AD8" s="89">
        <f t="shared" si="0"/>
        <v>44483628.10892939</v>
      </c>
    </row>
    <row r="9" spans="2:16" ht="15">
      <c r="B9" s="80">
        <v>10044</v>
      </c>
      <c r="C9" s="80" t="s">
        <v>54</v>
      </c>
      <c r="D9" s="84">
        <v>0.0028774</v>
      </c>
      <c r="E9" s="84">
        <v>0.0028774</v>
      </c>
      <c r="F9" s="84">
        <v>0.0028774</v>
      </c>
      <c r="G9" s="84">
        <v>0.0028774</v>
      </c>
      <c r="H9" s="84">
        <v>0</v>
      </c>
      <c r="I9" s="84">
        <v>0</v>
      </c>
      <c r="J9" s="85">
        <v>19.983</v>
      </c>
      <c r="K9" s="85">
        <v>19.983</v>
      </c>
      <c r="L9" s="85">
        <v>19.983</v>
      </c>
      <c r="M9" s="86">
        <v>0</v>
      </c>
      <c r="N9" s="87">
        <f>G9*$AD$3*$R$19*M9</f>
        <v>0</v>
      </c>
      <c r="O9"/>
      <c r="P9"/>
    </row>
    <row r="10" spans="2:32" ht="15">
      <c r="B10" s="80">
        <v>10046</v>
      </c>
      <c r="C10" s="80" t="s">
        <v>55</v>
      </c>
      <c r="D10" s="84">
        <v>0.0115967</v>
      </c>
      <c r="E10" s="84">
        <v>0.0115967</v>
      </c>
      <c r="F10" s="84">
        <v>0.0115967</v>
      </c>
      <c r="G10" s="84">
        <v>0.0115967</v>
      </c>
      <c r="H10" s="84">
        <v>0</v>
      </c>
      <c r="I10" s="84">
        <v>0</v>
      </c>
      <c r="J10" s="85">
        <v>80.537</v>
      </c>
      <c r="K10" s="85">
        <v>80.537</v>
      </c>
      <c r="L10" s="85">
        <v>80.537</v>
      </c>
      <c r="M10" s="86">
        <v>0.06696</v>
      </c>
      <c r="N10" s="87">
        <f aca="true" t="shared" si="4" ref="N10">G10*$AD$3*$R$19*M10</f>
        <v>0</v>
      </c>
      <c r="O10"/>
      <c r="P10"/>
      <c r="Q10" s="92"/>
      <c r="R10" s="82" t="s">
        <v>257</v>
      </c>
      <c r="S10" s="92"/>
      <c r="T10" s="92"/>
      <c r="U10"/>
      <c r="V10"/>
      <c r="W10"/>
      <c r="X10"/>
      <c r="Y10"/>
      <c r="Z10"/>
      <c r="AA10"/>
      <c r="AB10"/>
      <c r="AC10"/>
      <c r="AD10"/>
      <c r="AE10"/>
      <c r="AF10"/>
    </row>
    <row r="11" spans="2:32" ht="15">
      <c r="B11" s="80">
        <v>10047</v>
      </c>
      <c r="C11" s="80" t="s">
        <v>56</v>
      </c>
      <c r="D11" s="84">
        <v>0.0220111</v>
      </c>
      <c r="E11" s="84">
        <v>0.0220651</v>
      </c>
      <c r="F11" s="84">
        <v>0.0220111</v>
      </c>
      <c r="G11" s="84">
        <v>0.0220651</v>
      </c>
      <c r="H11" s="84">
        <v>0</v>
      </c>
      <c r="I11" s="84">
        <v>0</v>
      </c>
      <c r="J11" s="85">
        <v>154.158</v>
      </c>
      <c r="K11" s="85">
        <v>152.864</v>
      </c>
      <c r="L11" s="85">
        <v>153.239</v>
      </c>
      <c r="M11" s="86">
        <v>0</v>
      </c>
      <c r="N11" s="87">
        <f>G11*$AD$3*$R$19*M11</f>
        <v>0</v>
      </c>
      <c r="O11"/>
      <c r="P11"/>
      <c r="Q11" s="92" t="s">
        <v>187</v>
      </c>
      <c r="R11" s="93">
        <f>'FY19 Spill Cost'!BM87</f>
        <v>34894556.45035186</v>
      </c>
      <c r="S11" s="92"/>
      <c r="T11" s="92"/>
      <c r="U11"/>
      <c r="V11"/>
      <c r="W11"/>
      <c r="X11"/>
      <c r="Y11"/>
      <c r="Z11"/>
      <c r="AA11"/>
      <c r="AB11"/>
      <c r="AC11"/>
      <c r="AD11"/>
      <c r="AE11"/>
      <c r="AF11"/>
    </row>
    <row r="12" spans="2:32" ht="15">
      <c r="B12" s="80">
        <v>10055</v>
      </c>
      <c r="C12" s="80" t="s">
        <v>57</v>
      </c>
      <c r="D12" s="84">
        <v>5.63E-05</v>
      </c>
      <c r="E12" s="84">
        <v>5.64E-05</v>
      </c>
      <c r="F12" s="84">
        <v>5.63E-05</v>
      </c>
      <c r="G12" s="84">
        <v>5.64E-05</v>
      </c>
      <c r="H12" s="84">
        <v>0</v>
      </c>
      <c r="I12" s="84">
        <v>0</v>
      </c>
      <c r="J12" s="85">
        <v>0.392</v>
      </c>
      <c r="K12" s="85">
        <v>0.391</v>
      </c>
      <c r="L12" s="85">
        <v>0.392</v>
      </c>
      <c r="M12" s="86">
        <v>0</v>
      </c>
      <c r="N12" s="87">
        <f aca="true" t="shared" si="5" ref="N12:N14">G12*$AD$3*$R$19*M12</f>
        <v>0</v>
      </c>
      <c r="O12"/>
      <c r="P12"/>
      <c r="Q12" s="92" t="s">
        <v>190</v>
      </c>
      <c r="R12" s="93">
        <f>'SPILL SURCHARGE'!H8</f>
        <v>26400000</v>
      </c>
      <c r="S12" s="92"/>
      <c r="T12" s="92"/>
      <c r="U12"/>
      <c r="V12"/>
      <c r="W12"/>
      <c r="X12"/>
      <c r="Y12"/>
      <c r="Z12"/>
      <c r="AA12"/>
      <c r="AB12"/>
      <c r="AC12"/>
      <c r="AD12"/>
      <c r="AE12"/>
      <c r="AF12"/>
    </row>
    <row r="13" spans="2:34" ht="15">
      <c r="B13" s="80">
        <v>10057</v>
      </c>
      <c r="C13" s="80" t="s">
        <v>58</v>
      </c>
      <c r="D13" s="84">
        <v>0.0029851</v>
      </c>
      <c r="E13" s="84">
        <v>0.0029851</v>
      </c>
      <c r="F13" s="84">
        <v>0.0029851</v>
      </c>
      <c r="G13" s="84">
        <v>0.0029851</v>
      </c>
      <c r="H13" s="84">
        <v>0</v>
      </c>
      <c r="I13" s="84">
        <v>0</v>
      </c>
      <c r="J13" s="85">
        <v>20.731</v>
      </c>
      <c r="K13" s="85">
        <v>20.731</v>
      </c>
      <c r="L13" s="85">
        <v>20.731</v>
      </c>
      <c r="M13" s="86">
        <v>0</v>
      </c>
      <c r="N13" s="87">
        <f t="shared" si="5"/>
        <v>0</v>
      </c>
      <c r="O13"/>
      <c r="P13"/>
      <c r="Q13" s="92" t="s">
        <v>188</v>
      </c>
      <c r="R13" s="94">
        <f>SUM(H3:H136)</f>
        <v>0.22735799999999998</v>
      </c>
      <c r="S13" s="92"/>
      <c r="T13" s="92"/>
      <c r="U13" s="92"/>
      <c r="V13"/>
      <c r="W13"/>
      <c r="X13"/>
      <c r="Y13"/>
      <c r="Z13"/>
      <c r="AA13"/>
      <c r="AB13"/>
      <c r="AC13"/>
      <c r="AD13"/>
      <c r="AE13"/>
      <c r="AF13"/>
      <c r="AG13"/>
      <c r="AH13"/>
    </row>
    <row r="14" spans="2:34" ht="15">
      <c r="B14" s="80">
        <v>10059</v>
      </c>
      <c r="C14" s="80" t="s">
        <v>59</v>
      </c>
      <c r="D14" s="84">
        <v>0.001075</v>
      </c>
      <c r="E14" s="84">
        <v>0.0010776</v>
      </c>
      <c r="F14" s="84">
        <v>0.001075</v>
      </c>
      <c r="G14" s="84">
        <v>0.0010776</v>
      </c>
      <c r="H14" s="84">
        <v>0</v>
      </c>
      <c r="I14" s="84">
        <v>0</v>
      </c>
      <c r="J14" s="85">
        <v>7.516</v>
      </c>
      <c r="K14" s="85">
        <v>7.466</v>
      </c>
      <c r="L14" s="85">
        <v>7.484</v>
      </c>
      <c r="M14" s="86">
        <v>0</v>
      </c>
      <c r="N14" s="87">
        <f t="shared" si="5"/>
        <v>0</v>
      </c>
      <c r="O14"/>
      <c r="P14"/>
      <c r="Q14" s="92" t="s">
        <v>189</v>
      </c>
      <c r="R14" s="93">
        <f>'FY19 SecR'!BV89</f>
        <v>6847035.592747046</v>
      </c>
      <c r="S14" s="92"/>
      <c r="T14" s="92"/>
      <c r="U14" s="92"/>
      <c r="V14"/>
      <c r="W14"/>
      <c r="X14"/>
      <c r="Y14"/>
      <c r="Z14"/>
      <c r="AA14"/>
      <c r="AB14"/>
      <c r="AC14"/>
      <c r="AD14"/>
      <c r="AE14"/>
      <c r="AF14"/>
      <c r="AG14"/>
      <c r="AH14"/>
    </row>
    <row r="15" spans="2:34" ht="15">
      <c r="B15" s="80">
        <v>10061</v>
      </c>
      <c r="C15" s="80" t="s">
        <v>60</v>
      </c>
      <c r="D15" s="84">
        <v>0.0012392</v>
      </c>
      <c r="E15" s="84">
        <v>0.0012392</v>
      </c>
      <c r="F15" s="84">
        <v>0.0012392</v>
      </c>
      <c r="G15" s="84">
        <v>0.0012392</v>
      </c>
      <c r="H15" s="84">
        <v>0</v>
      </c>
      <c r="I15" s="84">
        <v>0</v>
      </c>
      <c r="J15" s="85">
        <v>8.606</v>
      </c>
      <c r="K15" s="85">
        <v>8.606</v>
      </c>
      <c r="L15" s="85">
        <v>8.606</v>
      </c>
      <c r="M15" s="86">
        <v>0</v>
      </c>
      <c r="N15" s="87">
        <f>G15*$AD$3*$R$19*M15</f>
        <v>0</v>
      </c>
      <c r="O15"/>
      <c r="P15"/>
      <c r="Q15" s="92"/>
      <c r="R15" s="92"/>
      <c r="S15" s="92"/>
      <c r="T15" s="92"/>
      <c r="U15" s="92"/>
      <c r="V15"/>
      <c r="W15"/>
      <c r="X15"/>
      <c r="Y15"/>
      <c r="Z15"/>
      <c r="AA15"/>
      <c r="AB15"/>
      <c r="AC15"/>
      <c r="AD15"/>
      <c r="AE15"/>
      <c r="AF15"/>
      <c r="AG15"/>
      <c r="AH15"/>
    </row>
    <row r="16" spans="2:23" ht="15">
      <c r="B16" s="80">
        <v>10062</v>
      </c>
      <c r="C16" s="80" t="s">
        <v>61</v>
      </c>
      <c r="D16" s="84">
        <v>0.0007537</v>
      </c>
      <c r="E16" s="84">
        <v>0.0007537</v>
      </c>
      <c r="F16" s="84">
        <v>0.0007537</v>
      </c>
      <c r="G16" s="84">
        <v>0.0007537</v>
      </c>
      <c r="H16" s="84">
        <v>0</v>
      </c>
      <c r="I16" s="84">
        <v>0</v>
      </c>
      <c r="J16" s="85">
        <v>5.234</v>
      </c>
      <c r="K16" s="85">
        <v>5.234</v>
      </c>
      <c r="L16" s="85">
        <v>5.234</v>
      </c>
      <c r="M16" s="86">
        <v>0</v>
      </c>
      <c r="N16" s="87">
        <f aca="true" t="shared" si="6" ref="N16:N79">G16*$AD$3*$R$19*M16</f>
        <v>0</v>
      </c>
      <c r="O16"/>
      <c r="P16"/>
      <c r="Q16" s="92" t="s">
        <v>230</v>
      </c>
      <c r="R16" s="95">
        <f>MAX(0,(R11-R12)*(1-R13)-R14)</f>
        <v>0</v>
      </c>
      <c r="S16" s="92"/>
      <c r="T16" s="93"/>
      <c r="U16" s="92"/>
      <c r="W16" s="88"/>
    </row>
    <row r="17" spans="2:23" ht="15">
      <c r="B17" s="80">
        <v>10064</v>
      </c>
      <c r="C17" s="80" t="s">
        <v>62</v>
      </c>
      <c r="D17" s="84">
        <v>0.0019926</v>
      </c>
      <c r="E17" s="84">
        <v>0.0019926</v>
      </c>
      <c r="F17" s="84">
        <v>0.0019926</v>
      </c>
      <c r="G17" s="84">
        <v>0.0019926</v>
      </c>
      <c r="H17" s="84">
        <v>0</v>
      </c>
      <c r="I17" s="84">
        <v>0</v>
      </c>
      <c r="J17" s="85">
        <v>13.838</v>
      </c>
      <c r="K17" s="85">
        <v>13.838</v>
      </c>
      <c r="L17" s="85">
        <v>13.838</v>
      </c>
      <c r="M17" s="86">
        <v>0</v>
      </c>
      <c r="N17" s="87">
        <f t="shared" si="6"/>
        <v>0</v>
      </c>
      <c r="O17"/>
      <c r="P17"/>
      <c r="Q17" s="88"/>
      <c r="R17" s="88"/>
      <c r="S17" s="88"/>
      <c r="T17" s="88"/>
      <c r="U17" s="88"/>
      <c r="V17" s="88"/>
      <c r="W17" s="88"/>
    </row>
    <row r="18" spans="2:23" ht="15">
      <c r="B18" s="80">
        <v>10065</v>
      </c>
      <c r="C18" s="80" t="s">
        <v>63</v>
      </c>
      <c r="D18" s="84">
        <v>0.0003368</v>
      </c>
      <c r="E18" s="84">
        <v>0.0003368</v>
      </c>
      <c r="F18" s="84">
        <v>0.0003368</v>
      </c>
      <c r="G18" s="84">
        <v>0.0003368</v>
      </c>
      <c r="H18" s="84">
        <v>0</v>
      </c>
      <c r="I18" s="84">
        <v>0</v>
      </c>
      <c r="J18" s="85">
        <v>2.339</v>
      </c>
      <c r="K18" s="85">
        <v>2.339</v>
      </c>
      <c r="L18" s="85">
        <v>2.339</v>
      </c>
      <c r="M18" s="86">
        <v>0.06053</v>
      </c>
      <c r="N18" s="87">
        <f t="shared" si="6"/>
        <v>0</v>
      </c>
      <c r="O18"/>
      <c r="P18"/>
      <c r="Q18" s="90" t="s">
        <v>229</v>
      </c>
      <c r="S18" s="88"/>
      <c r="T18" s="88"/>
      <c r="U18" s="88"/>
      <c r="V18" s="88"/>
      <c r="W18" s="88"/>
    </row>
    <row r="19" spans="2:23" ht="15">
      <c r="B19" s="80">
        <v>10066</v>
      </c>
      <c r="C19" s="80" t="s">
        <v>64</v>
      </c>
      <c r="D19" s="84">
        <v>0.0034529</v>
      </c>
      <c r="E19" s="84">
        <v>0.0034394</v>
      </c>
      <c r="F19" s="84">
        <v>0.0034529</v>
      </c>
      <c r="G19" s="84">
        <v>0.0034394</v>
      </c>
      <c r="H19" s="84">
        <v>0</v>
      </c>
      <c r="I19" s="84">
        <v>0</v>
      </c>
      <c r="J19" s="85">
        <v>23.98</v>
      </c>
      <c r="K19" s="85">
        <v>23.98</v>
      </c>
      <c r="L19" s="85">
        <v>23.886</v>
      </c>
      <c r="M19" s="86">
        <v>0</v>
      </c>
      <c r="N19" s="87">
        <f t="shared" si="6"/>
        <v>0</v>
      </c>
      <c r="O19"/>
      <c r="P19"/>
      <c r="Q19" s="90" t="s">
        <v>199</v>
      </c>
      <c r="R19" s="96">
        <f>ROUND(R16/AD8,2)</f>
        <v>0</v>
      </c>
      <c r="S19" s="88"/>
      <c r="T19" s="88"/>
      <c r="U19" s="88"/>
      <c r="V19" s="88"/>
      <c r="W19" s="88"/>
    </row>
    <row r="20" spans="2:23" ht="15">
      <c r="B20" s="80">
        <v>10067</v>
      </c>
      <c r="C20" s="80" t="s">
        <v>65</v>
      </c>
      <c r="D20" s="84">
        <v>0.0022409</v>
      </c>
      <c r="E20" s="84">
        <v>0.0022409</v>
      </c>
      <c r="F20" s="84">
        <v>0.0022409</v>
      </c>
      <c r="G20" s="84">
        <v>0.0022409</v>
      </c>
      <c r="H20" s="84">
        <v>0</v>
      </c>
      <c r="I20" s="84">
        <v>0</v>
      </c>
      <c r="J20" s="85">
        <v>15.563</v>
      </c>
      <c r="K20" s="85">
        <v>15.563</v>
      </c>
      <c r="L20" s="85">
        <v>15.563</v>
      </c>
      <c r="M20" s="86">
        <v>0</v>
      </c>
      <c r="N20" s="87">
        <f t="shared" si="6"/>
        <v>0</v>
      </c>
      <c r="O20"/>
      <c r="P20"/>
      <c r="Q20" s="88"/>
      <c r="R20" s="88"/>
      <c r="S20" s="88"/>
      <c r="T20" s="88"/>
      <c r="U20" s="88"/>
      <c r="V20" s="88"/>
      <c r="W20" s="88"/>
    </row>
    <row r="21" spans="2:23" ht="15">
      <c r="B21" s="80">
        <v>10068</v>
      </c>
      <c r="C21" s="80" t="s">
        <v>66</v>
      </c>
      <c r="D21" s="84">
        <v>0.0003794</v>
      </c>
      <c r="E21" s="84">
        <v>0.0003803</v>
      </c>
      <c r="F21" s="84">
        <v>0.0003794</v>
      </c>
      <c r="G21" s="84">
        <v>0.0003803</v>
      </c>
      <c r="H21" s="84">
        <v>0</v>
      </c>
      <c r="I21" s="84">
        <v>0</v>
      </c>
      <c r="J21" s="85">
        <v>2.725</v>
      </c>
      <c r="K21" s="85">
        <v>2.635</v>
      </c>
      <c r="L21" s="85">
        <v>2.641</v>
      </c>
      <c r="M21" s="86">
        <v>0</v>
      </c>
      <c r="N21" s="87">
        <f t="shared" si="6"/>
        <v>0</v>
      </c>
      <c r="O21"/>
      <c r="P21"/>
      <c r="Q21" s="97" t="s">
        <v>221</v>
      </c>
      <c r="R21" s="98">
        <f>SUM(N3:N136)</f>
        <v>0</v>
      </c>
      <c r="S21" s="88"/>
      <c r="T21" s="88"/>
      <c r="U21" s="88"/>
      <c r="V21" s="88"/>
      <c r="W21" s="88"/>
    </row>
    <row r="22" spans="2:23" ht="15">
      <c r="B22" s="80">
        <v>10070</v>
      </c>
      <c r="C22" s="80" t="s">
        <v>67</v>
      </c>
      <c r="D22" s="84">
        <v>5.08E-05</v>
      </c>
      <c r="E22" s="84">
        <v>5.08E-05</v>
      </c>
      <c r="F22" s="84">
        <v>5.08E-05</v>
      </c>
      <c r="G22" s="84">
        <v>5.08E-05</v>
      </c>
      <c r="H22" s="84">
        <v>0</v>
      </c>
      <c r="I22" s="84">
        <v>0</v>
      </c>
      <c r="J22" s="85">
        <v>0.353</v>
      </c>
      <c r="K22" s="85">
        <v>0.353</v>
      </c>
      <c r="L22" s="85">
        <v>0.353</v>
      </c>
      <c r="M22" s="86">
        <v>0</v>
      </c>
      <c r="N22" s="87">
        <f t="shared" si="6"/>
        <v>0</v>
      </c>
      <c r="O22"/>
      <c r="P22"/>
      <c r="Q22" s="88"/>
      <c r="R22" s="88"/>
      <c r="S22" s="88"/>
      <c r="T22" s="88"/>
      <c r="U22" s="88"/>
      <c r="V22" s="88"/>
      <c r="W22" s="88"/>
    </row>
    <row r="23" spans="2:23" ht="15">
      <c r="B23" s="80">
        <v>10071</v>
      </c>
      <c r="C23" s="80" t="s">
        <v>68</v>
      </c>
      <c r="D23" s="84">
        <v>0.0002688</v>
      </c>
      <c r="E23" s="84">
        <v>0.0002696</v>
      </c>
      <c r="F23" s="84">
        <v>0.0002688</v>
      </c>
      <c r="G23" s="84">
        <v>0.0002696</v>
      </c>
      <c r="H23" s="84">
        <v>0</v>
      </c>
      <c r="I23" s="84">
        <v>0</v>
      </c>
      <c r="J23" s="85">
        <v>1.884</v>
      </c>
      <c r="K23" s="85">
        <v>1.867</v>
      </c>
      <c r="L23" s="85">
        <v>1.872</v>
      </c>
      <c r="M23" s="86">
        <v>0</v>
      </c>
      <c r="N23" s="87">
        <f t="shared" si="6"/>
        <v>0</v>
      </c>
      <c r="O23"/>
      <c r="P23"/>
      <c r="Q23" s="88"/>
      <c r="R23" s="88"/>
      <c r="S23" s="88"/>
      <c r="T23" s="88"/>
      <c r="U23" s="88"/>
      <c r="V23" s="88"/>
      <c r="W23" s="88"/>
    </row>
    <row r="24" spans="2:23" ht="15">
      <c r="B24" s="80">
        <v>10072</v>
      </c>
      <c r="C24" s="80" t="s">
        <v>69</v>
      </c>
      <c r="D24" s="84">
        <v>0.0033978</v>
      </c>
      <c r="E24" s="84">
        <v>0.0033978</v>
      </c>
      <c r="F24" s="84">
        <v>0.0033978</v>
      </c>
      <c r="G24" s="84">
        <v>0.0033978</v>
      </c>
      <c r="H24" s="84">
        <v>0</v>
      </c>
      <c r="I24" s="84">
        <v>0</v>
      </c>
      <c r="J24" s="85">
        <v>23.597</v>
      </c>
      <c r="K24" s="85">
        <v>23.597</v>
      </c>
      <c r="L24" s="85">
        <v>23.597</v>
      </c>
      <c r="M24" s="86">
        <v>0</v>
      </c>
      <c r="N24" s="87">
        <f t="shared" si="6"/>
        <v>0</v>
      </c>
      <c r="O24"/>
      <c r="P24"/>
      <c r="Q24" s="88"/>
      <c r="R24" s="88"/>
      <c r="S24" s="88"/>
      <c r="T24" s="88"/>
      <c r="U24" s="88"/>
      <c r="V24" s="88"/>
      <c r="W24" s="88"/>
    </row>
    <row r="25" spans="2:23" ht="15">
      <c r="B25" s="80">
        <v>10074</v>
      </c>
      <c r="C25" s="80" t="s">
        <v>70</v>
      </c>
      <c r="D25" s="84">
        <v>0.0037804</v>
      </c>
      <c r="E25" s="84">
        <v>0.0037804</v>
      </c>
      <c r="F25" s="84">
        <v>0.0037804</v>
      </c>
      <c r="G25" s="84">
        <v>0.0037804</v>
      </c>
      <c r="H25" s="84">
        <v>0</v>
      </c>
      <c r="I25" s="84">
        <v>0</v>
      </c>
      <c r="J25" s="85">
        <v>26.254</v>
      </c>
      <c r="K25" s="85">
        <v>26.254</v>
      </c>
      <c r="L25" s="85">
        <v>26.254</v>
      </c>
      <c r="M25" s="86">
        <v>0</v>
      </c>
      <c r="N25" s="87">
        <f t="shared" si="6"/>
        <v>0</v>
      </c>
      <c r="O25"/>
      <c r="P25"/>
      <c r="Q25" s="88"/>
      <c r="R25" s="88"/>
      <c r="S25" s="88"/>
      <c r="T25" s="88"/>
      <c r="U25" s="88"/>
      <c r="V25" s="88"/>
      <c r="W25" s="88"/>
    </row>
    <row r="26" spans="2:23" ht="15">
      <c r="B26" s="80">
        <v>10076</v>
      </c>
      <c r="C26" s="80" t="s">
        <v>71</v>
      </c>
      <c r="D26" s="84">
        <v>0.0006825</v>
      </c>
      <c r="E26" s="84">
        <v>0.0006825</v>
      </c>
      <c r="F26" s="84">
        <v>0.0006825</v>
      </c>
      <c r="G26" s="84">
        <v>0.0006825</v>
      </c>
      <c r="H26" s="84">
        <v>0</v>
      </c>
      <c r="I26" s="84">
        <v>0</v>
      </c>
      <c r="J26" s="85">
        <v>4.74</v>
      </c>
      <c r="K26" s="85">
        <v>4.74</v>
      </c>
      <c r="L26" s="85">
        <v>4.74</v>
      </c>
      <c r="M26" s="86">
        <v>0</v>
      </c>
      <c r="N26" s="87">
        <f t="shared" si="6"/>
        <v>0</v>
      </c>
      <c r="O26"/>
      <c r="P26"/>
      <c r="Q26" s="88"/>
      <c r="R26" s="88"/>
      <c r="S26" s="88"/>
      <c r="T26" s="88"/>
      <c r="U26" s="88"/>
      <c r="V26" s="88"/>
      <c r="W26" s="88"/>
    </row>
    <row r="27" spans="2:23" ht="15">
      <c r="B27" s="80">
        <v>10078</v>
      </c>
      <c r="C27" s="80" t="s">
        <v>72</v>
      </c>
      <c r="D27" s="84">
        <v>0.0005267</v>
      </c>
      <c r="E27" s="84">
        <v>0.0005267</v>
      </c>
      <c r="F27" s="84">
        <v>0.0005267</v>
      </c>
      <c r="G27" s="84">
        <v>0.0005267</v>
      </c>
      <c r="H27" s="84">
        <v>0</v>
      </c>
      <c r="I27" s="84">
        <v>0</v>
      </c>
      <c r="J27" s="85">
        <v>3.658</v>
      </c>
      <c r="K27" s="85">
        <v>3.658</v>
      </c>
      <c r="L27" s="85">
        <v>3.658</v>
      </c>
      <c r="M27" s="86">
        <v>0</v>
      </c>
      <c r="N27" s="87">
        <f t="shared" si="6"/>
        <v>0</v>
      </c>
      <c r="O27"/>
      <c r="P27"/>
      <c r="Q27" s="88"/>
      <c r="R27" s="88"/>
      <c r="S27" s="88"/>
      <c r="T27" s="88"/>
      <c r="U27" s="88"/>
      <c r="V27" s="88"/>
      <c r="W27" s="88"/>
    </row>
    <row r="28" spans="2:23" ht="15">
      <c r="B28" s="80">
        <v>10079</v>
      </c>
      <c r="C28" s="80" t="s">
        <v>73</v>
      </c>
      <c r="D28" s="84">
        <v>0.0124932</v>
      </c>
      <c r="E28" s="84">
        <v>0.0124932</v>
      </c>
      <c r="F28" s="84">
        <v>0.0124932</v>
      </c>
      <c r="G28" s="84">
        <v>0.0124932</v>
      </c>
      <c r="H28" s="84">
        <v>0</v>
      </c>
      <c r="I28" s="84">
        <v>0</v>
      </c>
      <c r="J28" s="85">
        <v>86.763</v>
      </c>
      <c r="K28" s="85">
        <v>86.763</v>
      </c>
      <c r="L28" s="85">
        <v>86.763</v>
      </c>
      <c r="M28" s="86">
        <v>0</v>
      </c>
      <c r="N28" s="87">
        <f t="shared" si="6"/>
        <v>0</v>
      </c>
      <c r="O28"/>
      <c r="P28"/>
      <c r="Q28" s="88"/>
      <c r="R28" s="88"/>
      <c r="S28" s="88"/>
      <c r="T28" s="88"/>
      <c r="U28" s="88"/>
      <c r="V28" s="88"/>
      <c r="W28" s="88"/>
    </row>
    <row r="29" spans="2:23" ht="15">
      <c r="B29" s="80">
        <v>10080</v>
      </c>
      <c r="C29" s="80" t="s">
        <v>74</v>
      </c>
      <c r="D29" s="84">
        <v>0.0010537</v>
      </c>
      <c r="E29" s="84">
        <v>0.0010537</v>
      </c>
      <c r="F29" s="84">
        <v>0.0010537</v>
      </c>
      <c r="G29" s="84">
        <v>0.0010537</v>
      </c>
      <c r="H29" s="84">
        <v>0</v>
      </c>
      <c r="I29" s="84">
        <v>0</v>
      </c>
      <c r="J29" s="85">
        <v>7.318</v>
      </c>
      <c r="K29" s="85">
        <v>7.318</v>
      </c>
      <c r="L29" s="85">
        <v>7.318</v>
      </c>
      <c r="M29" s="86">
        <v>0</v>
      </c>
      <c r="N29" s="87">
        <f t="shared" si="6"/>
        <v>0</v>
      </c>
      <c r="O29"/>
      <c r="P29"/>
      <c r="Q29" s="88"/>
      <c r="R29" s="88"/>
      <c r="S29" s="88"/>
      <c r="T29" s="88"/>
      <c r="U29" s="88"/>
      <c r="V29" s="88"/>
      <c r="W29" s="88"/>
    </row>
    <row r="30" spans="2:23" ht="15">
      <c r="B30" s="80">
        <v>10081</v>
      </c>
      <c r="C30" s="80" t="s">
        <v>75</v>
      </c>
      <c r="D30" s="84">
        <v>0.001396</v>
      </c>
      <c r="E30" s="84">
        <v>0.001396</v>
      </c>
      <c r="F30" s="84">
        <v>0.001396</v>
      </c>
      <c r="G30" s="84">
        <v>0.001396</v>
      </c>
      <c r="H30" s="84">
        <v>0</v>
      </c>
      <c r="I30" s="84">
        <v>0</v>
      </c>
      <c r="J30" s="85">
        <v>10.287</v>
      </c>
      <c r="K30" s="85">
        <v>9.695</v>
      </c>
      <c r="L30" s="85">
        <v>9.695</v>
      </c>
      <c r="M30" s="86">
        <v>0</v>
      </c>
      <c r="N30" s="87">
        <f t="shared" si="6"/>
        <v>0</v>
      </c>
      <c r="O30"/>
      <c r="P30"/>
      <c r="Q30" s="88"/>
      <c r="R30" s="88"/>
      <c r="S30" s="88"/>
      <c r="T30" s="88"/>
      <c r="U30" s="88"/>
      <c r="V30" s="88"/>
      <c r="W30" s="88"/>
    </row>
    <row r="31" spans="2:23" ht="15">
      <c r="B31" s="80">
        <v>10082</v>
      </c>
      <c r="C31" s="80" t="s">
        <v>76</v>
      </c>
      <c r="D31" s="84">
        <v>1.45E-05</v>
      </c>
      <c r="E31" s="84">
        <v>1.45E-05</v>
      </c>
      <c r="F31" s="84">
        <v>1.45E-05</v>
      </c>
      <c r="G31" s="84">
        <v>1.45E-05</v>
      </c>
      <c r="H31" s="84">
        <v>0</v>
      </c>
      <c r="I31" s="84">
        <v>0</v>
      </c>
      <c r="J31" s="85">
        <v>0.116</v>
      </c>
      <c r="K31" s="85">
        <v>0.101</v>
      </c>
      <c r="L31" s="85">
        <v>0.101</v>
      </c>
      <c r="M31" s="86">
        <v>0</v>
      </c>
      <c r="N31" s="87">
        <f t="shared" si="6"/>
        <v>0</v>
      </c>
      <c r="O31"/>
      <c r="P31"/>
      <c r="Q31" s="88"/>
      <c r="R31" s="88"/>
      <c r="S31" s="88"/>
      <c r="T31" s="88"/>
      <c r="U31" s="88"/>
      <c r="V31" s="88"/>
      <c r="W31" s="88"/>
    </row>
    <row r="32" spans="2:23" ht="15">
      <c r="B32" s="80">
        <v>10083</v>
      </c>
      <c r="C32" s="80" t="s">
        <v>77</v>
      </c>
      <c r="D32" s="84">
        <v>0.0011849</v>
      </c>
      <c r="E32" s="84">
        <v>0.0011849</v>
      </c>
      <c r="F32" s="84">
        <v>0.0011849</v>
      </c>
      <c r="G32" s="84">
        <v>0.0011849</v>
      </c>
      <c r="H32" s="84">
        <v>0</v>
      </c>
      <c r="I32" s="84">
        <v>0</v>
      </c>
      <c r="J32" s="85">
        <v>8.229</v>
      </c>
      <c r="K32" s="85">
        <v>8.229</v>
      </c>
      <c r="L32" s="85">
        <v>8.229</v>
      </c>
      <c r="M32" s="86">
        <v>0</v>
      </c>
      <c r="N32" s="87">
        <f t="shared" si="6"/>
        <v>0</v>
      </c>
      <c r="O32"/>
      <c r="P32"/>
      <c r="Q32" s="88"/>
      <c r="R32" s="88"/>
      <c r="S32" s="88"/>
      <c r="T32" s="88"/>
      <c r="U32" s="88"/>
      <c r="V32" s="88"/>
      <c r="W32" s="88"/>
    </row>
    <row r="33" spans="2:23" ht="15">
      <c r="B33" s="80">
        <v>10086</v>
      </c>
      <c r="C33" s="80" t="s">
        <v>78</v>
      </c>
      <c r="D33" s="84">
        <v>0.000559</v>
      </c>
      <c r="E33" s="84">
        <v>0.000559</v>
      </c>
      <c r="F33" s="84">
        <v>0.000559</v>
      </c>
      <c r="G33" s="84">
        <v>0.000559</v>
      </c>
      <c r="H33" s="84">
        <v>0</v>
      </c>
      <c r="I33" s="84">
        <v>0</v>
      </c>
      <c r="J33" s="85">
        <v>3.882</v>
      </c>
      <c r="K33" s="85">
        <v>3.882</v>
      </c>
      <c r="L33" s="85">
        <v>3.882</v>
      </c>
      <c r="M33" s="86">
        <v>0</v>
      </c>
      <c r="N33" s="87">
        <f t="shared" si="6"/>
        <v>0</v>
      </c>
      <c r="O33"/>
      <c r="P33"/>
      <c r="Q33" s="88"/>
      <c r="R33" s="88"/>
      <c r="S33" s="88"/>
      <c r="T33" s="88"/>
      <c r="U33" s="88"/>
      <c r="V33" s="88"/>
      <c r="W33" s="88"/>
    </row>
    <row r="34" spans="2:23" ht="15">
      <c r="B34" s="80">
        <v>10087</v>
      </c>
      <c r="C34" s="80" t="s">
        <v>79</v>
      </c>
      <c r="D34" s="84">
        <v>0.0044377</v>
      </c>
      <c r="E34" s="84">
        <v>0.0044489</v>
      </c>
      <c r="F34" s="84">
        <v>0.0044377</v>
      </c>
      <c r="G34" s="84">
        <v>0.0044489</v>
      </c>
      <c r="H34" s="84">
        <v>0</v>
      </c>
      <c r="I34" s="84">
        <v>0</v>
      </c>
      <c r="J34" s="85">
        <v>84.108</v>
      </c>
      <c r="K34" s="85">
        <v>30.819</v>
      </c>
      <c r="L34" s="85">
        <v>30.897</v>
      </c>
      <c r="M34" s="86">
        <v>0</v>
      </c>
      <c r="N34" s="87">
        <f t="shared" si="6"/>
        <v>0</v>
      </c>
      <c r="O34"/>
      <c r="P34"/>
      <c r="Q34" s="88"/>
      <c r="R34" s="88"/>
      <c r="S34" s="88"/>
      <c r="T34" s="88"/>
      <c r="U34" s="88"/>
      <c r="V34" s="88"/>
      <c r="W34" s="88"/>
    </row>
    <row r="35" spans="2:23" ht="15">
      <c r="B35" s="80">
        <v>10089</v>
      </c>
      <c r="C35" s="80" t="s">
        <v>80</v>
      </c>
      <c r="D35" s="84">
        <v>0.0147145</v>
      </c>
      <c r="E35" s="84">
        <v>0.0147145</v>
      </c>
      <c r="F35" s="84">
        <v>0.0147145</v>
      </c>
      <c r="G35" s="84">
        <v>0.0147145</v>
      </c>
      <c r="H35" s="84">
        <v>0</v>
      </c>
      <c r="I35" s="84">
        <v>0</v>
      </c>
      <c r="J35" s="85">
        <v>102.19</v>
      </c>
      <c r="K35" s="85">
        <v>102.19</v>
      </c>
      <c r="L35" s="85">
        <v>102.19</v>
      </c>
      <c r="M35" s="86">
        <v>0</v>
      </c>
      <c r="N35" s="87">
        <f t="shared" si="6"/>
        <v>0</v>
      </c>
      <c r="O35"/>
      <c r="P35"/>
      <c r="Q35" s="88"/>
      <c r="R35" s="88"/>
      <c r="S35" s="88"/>
      <c r="T35" s="88"/>
      <c r="U35" s="88"/>
      <c r="V35" s="88"/>
      <c r="W35" s="88"/>
    </row>
    <row r="36" spans="2:23" ht="15">
      <c r="B36" s="80">
        <v>10091</v>
      </c>
      <c r="C36" s="80" t="s">
        <v>81</v>
      </c>
      <c r="D36" s="84">
        <v>0.0013349</v>
      </c>
      <c r="E36" s="84">
        <v>0.0013349</v>
      </c>
      <c r="F36" s="84">
        <v>0.0013349</v>
      </c>
      <c r="G36" s="84">
        <v>0.0013349</v>
      </c>
      <c r="H36" s="84">
        <v>0</v>
      </c>
      <c r="I36" s="84">
        <v>0</v>
      </c>
      <c r="J36" s="85">
        <v>9.271</v>
      </c>
      <c r="K36" s="85">
        <v>9.271</v>
      </c>
      <c r="L36" s="85">
        <v>9.271</v>
      </c>
      <c r="M36" s="86">
        <v>0</v>
      </c>
      <c r="N36" s="87">
        <f t="shared" si="6"/>
        <v>0</v>
      </c>
      <c r="O36"/>
      <c r="P36"/>
      <c r="Q36" s="88"/>
      <c r="R36" s="88"/>
      <c r="S36" s="88"/>
      <c r="T36" s="88"/>
      <c r="U36" s="88"/>
      <c r="V36" s="88"/>
      <c r="W36" s="88"/>
    </row>
    <row r="37" spans="2:23" ht="15">
      <c r="B37" s="80">
        <v>10094</v>
      </c>
      <c r="C37" s="80" t="s">
        <v>82</v>
      </c>
      <c r="D37" s="84">
        <v>0.0004302</v>
      </c>
      <c r="E37" s="84">
        <v>0.0004302</v>
      </c>
      <c r="F37" s="84">
        <v>0.0004302</v>
      </c>
      <c r="G37" s="84">
        <v>0.0004302</v>
      </c>
      <c r="H37" s="84">
        <v>0</v>
      </c>
      <c r="I37" s="84">
        <v>0</v>
      </c>
      <c r="J37" s="85">
        <v>2.988</v>
      </c>
      <c r="K37" s="85">
        <v>2.988</v>
      </c>
      <c r="L37" s="85">
        <v>2.988</v>
      </c>
      <c r="M37" s="86">
        <v>0</v>
      </c>
      <c r="N37" s="87">
        <f t="shared" si="6"/>
        <v>0</v>
      </c>
      <c r="O37"/>
      <c r="P37"/>
      <c r="Q37" s="88"/>
      <c r="R37" s="88"/>
      <c r="S37" s="88"/>
      <c r="T37" s="88"/>
      <c r="U37" s="88"/>
      <c r="V37" s="88"/>
      <c r="W37" s="88"/>
    </row>
    <row r="38" spans="2:23" ht="15">
      <c r="B38" s="80">
        <v>10095</v>
      </c>
      <c r="C38" s="80" t="s">
        <v>83</v>
      </c>
      <c r="D38" s="84">
        <v>0.0005161</v>
      </c>
      <c r="E38" s="84">
        <v>0.0005161</v>
      </c>
      <c r="F38" s="84">
        <v>0.0005161</v>
      </c>
      <c r="G38" s="84">
        <v>0.0005161</v>
      </c>
      <c r="H38" s="84">
        <v>0</v>
      </c>
      <c r="I38" s="84">
        <v>0</v>
      </c>
      <c r="J38" s="85">
        <v>3.584</v>
      </c>
      <c r="K38" s="85">
        <v>3.584</v>
      </c>
      <c r="L38" s="85">
        <v>3.584</v>
      </c>
      <c r="M38" s="86">
        <v>0</v>
      </c>
      <c r="N38" s="87">
        <f t="shared" si="6"/>
        <v>0</v>
      </c>
      <c r="O38"/>
      <c r="P38"/>
      <c r="Q38" s="88"/>
      <c r="R38" s="88"/>
      <c r="S38" s="88"/>
      <c r="T38" s="88"/>
      <c r="U38" s="88"/>
      <c r="V38" s="88"/>
      <c r="W38" s="88"/>
    </row>
    <row r="39" spans="2:23" ht="15">
      <c r="B39" s="80">
        <v>10097</v>
      </c>
      <c r="C39" s="80" t="s">
        <v>84</v>
      </c>
      <c r="D39" s="84">
        <v>0.0002887</v>
      </c>
      <c r="E39" s="84">
        <v>0.0002887</v>
      </c>
      <c r="F39" s="84">
        <v>0.0002887</v>
      </c>
      <c r="G39" s="84">
        <v>0.0002887</v>
      </c>
      <c r="H39" s="84">
        <v>0</v>
      </c>
      <c r="I39" s="84">
        <v>0</v>
      </c>
      <c r="J39" s="85">
        <v>2.005</v>
      </c>
      <c r="K39" s="85">
        <v>2.005</v>
      </c>
      <c r="L39" s="85">
        <v>2.005</v>
      </c>
      <c r="M39" s="86">
        <v>0</v>
      </c>
      <c r="N39" s="87">
        <f t="shared" si="6"/>
        <v>0</v>
      </c>
      <c r="O39"/>
      <c r="P39"/>
      <c r="Q39" s="88"/>
      <c r="R39" s="88"/>
      <c r="S39" s="88"/>
      <c r="T39" s="88"/>
      <c r="U39" s="88"/>
      <c r="V39" s="88"/>
      <c r="W39" s="88"/>
    </row>
    <row r="40" spans="2:23" ht="15">
      <c r="B40" s="80">
        <v>10101</v>
      </c>
      <c r="C40" s="80" t="s">
        <v>85</v>
      </c>
      <c r="D40" s="84">
        <v>0.0107717</v>
      </c>
      <c r="E40" s="84">
        <v>0.0107717</v>
      </c>
      <c r="F40" s="84">
        <v>0.0107717</v>
      </c>
      <c r="G40" s="84">
        <v>0.0107717</v>
      </c>
      <c r="H40" s="84">
        <v>0</v>
      </c>
      <c r="I40" s="84">
        <v>0</v>
      </c>
      <c r="J40" s="85">
        <v>74.808</v>
      </c>
      <c r="K40" s="85">
        <v>74.808</v>
      </c>
      <c r="L40" s="85">
        <v>74.808</v>
      </c>
      <c r="M40" s="86">
        <v>0.05157</v>
      </c>
      <c r="N40" s="87">
        <f t="shared" si="6"/>
        <v>0</v>
      </c>
      <c r="O40"/>
      <c r="P40"/>
      <c r="Q40" s="88"/>
      <c r="R40" s="88"/>
      <c r="S40" s="88"/>
      <c r="T40" s="88"/>
      <c r="U40" s="88"/>
      <c r="V40" s="88"/>
      <c r="W40" s="88"/>
    </row>
    <row r="41" spans="2:23" ht="15">
      <c r="B41" s="80">
        <v>10103</v>
      </c>
      <c r="C41" s="80" t="s">
        <v>86</v>
      </c>
      <c r="D41" s="84">
        <v>0.0430048</v>
      </c>
      <c r="E41" s="84">
        <v>0.0434845</v>
      </c>
      <c r="F41" s="84">
        <v>0.021171600000000002</v>
      </c>
      <c r="G41" s="84">
        <v>0.021651300000000002</v>
      </c>
      <c r="H41" s="84">
        <v>0.0218332</v>
      </c>
      <c r="I41" s="84">
        <v>0.0218332</v>
      </c>
      <c r="J41" s="85">
        <v>313.382</v>
      </c>
      <c r="K41" s="85">
        <v>298.662</v>
      </c>
      <c r="L41" s="85">
        <v>301.993</v>
      </c>
      <c r="M41" s="86">
        <v>0</v>
      </c>
      <c r="N41" s="87">
        <f t="shared" si="6"/>
        <v>0</v>
      </c>
      <c r="O41"/>
      <c r="P41"/>
      <c r="Q41" s="88"/>
      <c r="R41" s="88"/>
      <c r="S41" s="88"/>
      <c r="T41" s="88"/>
      <c r="U41" s="88"/>
      <c r="V41" s="88"/>
      <c r="W41" s="88"/>
    </row>
    <row r="42" spans="2:23" ht="15">
      <c r="B42" s="80">
        <v>10105</v>
      </c>
      <c r="C42" s="80" t="s">
        <v>87</v>
      </c>
      <c r="D42" s="84">
        <v>0.0120736</v>
      </c>
      <c r="E42" s="84">
        <v>0.0122063</v>
      </c>
      <c r="F42" s="84">
        <v>0.0048163</v>
      </c>
      <c r="G42" s="84">
        <v>0.004948999999999999</v>
      </c>
      <c r="H42" s="84">
        <v>0.0072573</v>
      </c>
      <c r="I42" s="84">
        <v>0.0072573</v>
      </c>
      <c r="J42" s="85">
        <v>91.348</v>
      </c>
      <c r="K42" s="85">
        <v>83.849</v>
      </c>
      <c r="L42" s="85">
        <v>84.771</v>
      </c>
      <c r="M42" s="86">
        <v>0</v>
      </c>
      <c r="N42" s="87">
        <f t="shared" si="6"/>
        <v>0</v>
      </c>
      <c r="O42"/>
      <c r="P42"/>
      <c r="Q42" s="88"/>
      <c r="R42" s="88"/>
      <c r="S42" s="88"/>
      <c r="T42" s="88"/>
      <c r="U42" s="88"/>
      <c r="V42" s="88"/>
      <c r="W42" s="88"/>
    </row>
    <row r="43" spans="2:23" ht="15">
      <c r="B43" s="80">
        <v>10106</v>
      </c>
      <c r="C43" s="80" t="s">
        <v>88</v>
      </c>
      <c r="D43" s="84">
        <v>0.0033832</v>
      </c>
      <c r="E43" s="84">
        <v>0.0033832</v>
      </c>
      <c r="F43" s="84">
        <v>0.0033832</v>
      </c>
      <c r="G43" s="84">
        <v>0.0033832</v>
      </c>
      <c r="H43" s="84">
        <v>0</v>
      </c>
      <c r="I43" s="84">
        <v>0</v>
      </c>
      <c r="J43" s="85">
        <v>23.496</v>
      </c>
      <c r="K43" s="85">
        <v>23.496</v>
      </c>
      <c r="L43" s="85">
        <v>23.496</v>
      </c>
      <c r="M43" s="86">
        <v>0.07046</v>
      </c>
      <c r="N43" s="87">
        <f t="shared" si="6"/>
        <v>0</v>
      </c>
      <c r="O43"/>
      <c r="P43"/>
      <c r="Q43" s="88"/>
      <c r="R43" s="88"/>
      <c r="S43" s="88"/>
      <c r="T43" s="88"/>
      <c r="U43" s="88"/>
      <c r="V43" s="88"/>
      <c r="W43" s="88"/>
    </row>
    <row r="44" spans="2:23" ht="15">
      <c r="B44" s="80">
        <v>10109</v>
      </c>
      <c r="C44" s="80" t="s">
        <v>89</v>
      </c>
      <c r="D44" s="84">
        <v>0.001717</v>
      </c>
      <c r="E44" s="84">
        <v>0.001717</v>
      </c>
      <c r="F44" s="84">
        <v>0.001717</v>
      </c>
      <c r="G44" s="84">
        <v>0.001717</v>
      </c>
      <c r="H44" s="84">
        <v>0</v>
      </c>
      <c r="I44" s="84">
        <v>0</v>
      </c>
      <c r="J44" s="85">
        <v>11.924</v>
      </c>
      <c r="K44" s="85">
        <v>11.924</v>
      </c>
      <c r="L44" s="85">
        <v>11.924</v>
      </c>
      <c r="M44" s="86">
        <v>0.08378</v>
      </c>
      <c r="N44" s="87">
        <f t="shared" si="6"/>
        <v>0</v>
      </c>
      <c r="O44"/>
      <c r="P44"/>
      <c r="Q44" s="88"/>
      <c r="R44" s="88"/>
      <c r="S44" s="88"/>
      <c r="T44" s="88"/>
      <c r="U44" s="88"/>
      <c r="V44" s="88"/>
      <c r="W44" s="88"/>
    </row>
    <row r="45" spans="2:23" ht="15">
      <c r="B45" s="80">
        <v>10111</v>
      </c>
      <c r="C45" s="80" t="s">
        <v>90</v>
      </c>
      <c r="D45" s="84">
        <v>0.0004248</v>
      </c>
      <c r="E45" s="84">
        <v>0.0004229</v>
      </c>
      <c r="F45" s="84">
        <v>0.0004248</v>
      </c>
      <c r="G45" s="84">
        <v>0.0004229</v>
      </c>
      <c r="H45" s="84">
        <v>0</v>
      </c>
      <c r="I45" s="84">
        <v>0</v>
      </c>
      <c r="J45" s="85">
        <v>3.183</v>
      </c>
      <c r="K45" s="85">
        <v>2.95</v>
      </c>
      <c r="L45" s="85">
        <v>2.937</v>
      </c>
      <c r="M45" s="86">
        <v>0.07</v>
      </c>
      <c r="N45" s="87">
        <f t="shared" si="6"/>
        <v>0</v>
      </c>
      <c r="O45"/>
      <c r="P45"/>
      <c r="Q45" s="88"/>
      <c r="R45" s="88"/>
      <c r="S45" s="88"/>
      <c r="T45" s="88"/>
      <c r="U45" s="88"/>
      <c r="V45" s="88"/>
      <c r="W45" s="88"/>
    </row>
    <row r="46" spans="2:23" ht="15">
      <c r="B46" s="80">
        <v>10112</v>
      </c>
      <c r="C46" s="80" t="s">
        <v>91</v>
      </c>
      <c r="D46" s="84">
        <v>0.0080683</v>
      </c>
      <c r="E46" s="84">
        <v>0.008084</v>
      </c>
      <c r="F46" s="84">
        <v>0.0080683</v>
      </c>
      <c r="G46" s="84">
        <v>0.008084</v>
      </c>
      <c r="H46" s="84">
        <v>0</v>
      </c>
      <c r="I46" s="84">
        <v>0</v>
      </c>
      <c r="J46" s="85">
        <v>57.315</v>
      </c>
      <c r="K46" s="85">
        <v>56.033</v>
      </c>
      <c r="L46" s="85">
        <v>56.142</v>
      </c>
      <c r="M46" s="86">
        <v>0</v>
      </c>
      <c r="N46" s="87">
        <f t="shared" si="6"/>
        <v>0</v>
      </c>
      <c r="O46"/>
      <c r="P46"/>
      <c r="Q46" s="88"/>
      <c r="R46" s="88"/>
      <c r="S46" s="88"/>
      <c r="T46" s="88"/>
      <c r="U46" s="88"/>
      <c r="V46" s="88"/>
      <c r="W46" s="88"/>
    </row>
    <row r="47" spans="2:23" ht="15">
      <c r="B47" s="80">
        <v>10113</v>
      </c>
      <c r="C47" s="80" t="s">
        <v>92</v>
      </c>
      <c r="D47" s="84">
        <v>0.0053404</v>
      </c>
      <c r="E47" s="84">
        <v>0.0053404</v>
      </c>
      <c r="F47" s="84">
        <v>0.0053404</v>
      </c>
      <c r="G47" s="84">
        <v>0.0053404</v>
      </c>
      <c r="H47" s="84">
        <v>0</v>
      </c>
      <c r="I47" s="84">
        <v>0</v>
      </c>
      <c r="J47" s="85">
        <v>37.088</v>
      </c>
      <c r="K47" s="85">
        <v>37.088</v>
      </c>
      <c r="L47" s="85">
        <v>37.088</v>
      </c>
      <c r="M47" s="86">
        <v>0.08134</v>
      </c>
      <c r="N47" s="87">
        <f t="shared" si="6"/>
        <v>0</v>
      </c>
      <c r="O47"/>
      <c r="P47"/>
      <c r="Q47" s="88"/>
      <c r="R47" s="88"/>
      <c r="S47" s="88"/>
      <c r="T47" s="88"/>
      <c r="U47" s="88"/>
      <c r="V47" s="88"/>
      <c r="W47" s="88"/>
    </row>
    <row r="48" spans="2:23" ht="15">
      <c r="B48" s="80">
        <v>10116</v>
      </c>
      <c r="C48" s="80" t="s">
        <v>93</v>
      </c>
      <c r="D48" s="84">
        <v>3.23E-05</v>
      </c>
      <c r="E48" s="84">
        <v>3.23E-05</v>
      </c>
      <c r="F48" s="84">
        <v>3.23E-05</v>
      </c>
      <c r="G48" s="84">
        <v>3.23E-05</v>
      </c>
      <c r="H48" s="84">
        <v>0</v>
      </c>
      <c r="I48" s="84">
        <v>0</v>
      </c>
      <c r="J48" s="85">
        <v>0.224</v>
      </c>
      <c r="K48" s="85">
        <v>0.224</v>
      </c>
      <c r="L48" s="85">
        <v>0.224</v>
      </c>
      <c r="M48" s="86">
        <v>0</v>
      </c>
      <c r="N48" s="87">
        <f t="shared" si="6"/>
        <v>0</v>
      </c>
      <c r="O48"/>
      <c r="P48"/>
      <c r="Q48" s="88"/>
      <c r="R48" s="88"/>
      <c r="S48" s="88"/>
      <c r="T48" s="88"/>
      <c r="U48" s="88"/>
      <c r="V48" s="88"/>
      <c r="W48" s="88"/>
    </row>
    <row r="49" spans="2:23" ht="15">
      <c r="B49" s="80">
        <v>10118</v>
      </c>
      <c r="C49" s="80" t="s">
        <v>94</v>
      </c>
      <c r="D49" s="84">
        <v>0.0064711</v>
      </c>
      <c r="E49" s="84">
        <v>0.0064711</v>
      </c>
      <c r="F49" s="84">
        <v>0.0064711</v>
      </c>
      <c r="G49" s="84">
        <v>0.0064711</v>
      </c>
      <c r="H49" s="84">
        <v>0</v>
      </c>
      <c r="I49" s="84">
        <v>0</v>
      </c>
      <c r="J49" s="85">
        <v>44.941</v>
      </c>
      <c r="K49" s="85">
        <v>44.941</v>
      </c>
      <c r="L49" s="85">
        <v>44.941</v>
      </c>
      <c r="M49" s="86">
        <v>0.06729</v>
      </c>
      <c r="N49" s="87">
        <f t="shared" si="6"/>
        <v>0</v>
      </c>
      <c r="O49"/>
      <c r="P49"/>
      <c r="Q49" s="88"/>
      <c r="R49" s="88"/>
      <c r="S49" s="88"/>
      <c r="T49" s="88"/>
      <c r="U49" s="88"/>
      <c r="V49" s="88"/>
      <c r="W49" s="88"/>
    </row>
    <row r="50" spans="2:23" ht="15">
      <c r="B50" s="80">
        <v>10121</v>
      </c>
      <c r="C50" s="80" t="s">
        <v>95</v>
      </c>
      <c r="D50" s="84">
        <v>0.0055944</v>
      </c>
      <c r="E50" s="84">
        <v>0.0055944</v>
      </c>
      <c r="F50" s="84">
        <v>0.0055944</v>
      </c>
      <c r="G50" s="84">
        <v>0.0055944</v>
      </c>
      <c r="H50" s="84">
        <v>0</v>
      </c>
      <c r="I50" s="84">
        <v>0</v>
      </c>
      <c r="J50" s="85">
        <v>40.219</v>
      </c>
      <c r="K50" s="85">
        <v>38.852</v>
      </c>
      <c r="L50" s="85">
        <v>38.852</v>
      </c>
      <c r="M50" s="86">
        <v>0.06</v>
      </c>
      <c r="N50" s="87">
        <f t="shared" si="6"/>
        <v>0</v>
      </c>
      <c r="O50"/>
      <c r="P50"/>
      <c r="Q50" s="88"/>
      <c r="R50" s="88"/>
      <c r="S50" s="88"/>
      <c r="T50" s="88"/>
      <c r="U50" s="88"/>
      <c r="V50" s="88"/>
      <c r="W50" s="88"/>
    </row>
    <row r="51" spans="2:23" ht="15">
      <c r="B51" s="80">
        <v>10123</v>
      </c>
      <c r="C51" s="80" t="s">
        <v>96</v>
      </c>
      <c r="D51" s="84">
        <v>0.0592667</v>
      </c>
      <c r="E51" s="84">
        <v>0.0597954</v>
      </c>
      <c r="F51" s="84">
        <v>0.0193614</v>
      </c>
      <c r="G51" s="84">
        <v>0.0198901</v>
      </c>
      <c r="H51" s="84">
        <v>0.0399053</v>
      </c>
      <c r="I51" s="84">
        <v>0.0399053</v>
      </c>
      <c r="J51" s="85">
        <v>540.385</v>
      </c>
      <c r="K51" s="85">
        <v>411.598</v>
      </c>
      <c r="L51" s="85">
        <v>415.27</v>
      </c>
      <c r="M51" s="86">
        <v>0</v>
      </c>
      <c r="N51" s="87">
        <f t="shared" si="6"/>
        <v>0</v>
      </c>
      <c r="O51"/>
      <c r="P51"/>
      <c r="Q51" s="88"/>
      <c r="R51" s="88"/>
      <c r="S51" s="88"/>
      <c r="T51" s="88"/>
      <c r="U51" s="88"/>
      <c r="V51" s="88"/>
      <c r="W51" s="88"/>
    </row>
    <row r="52" spans="2:23" ht="15">
      <c r="B52" s="80">
        <v>10136</v>
      </c>
      <c r="C52" s="80" t="s">
        <v>97</v>
      </c>
      <c r="D52" s="84">
        <v>0.0026083</v>
      </c>
      <c r="E52" s="84">
        <v>0.0026147</v>
      </c>
      <c r="F52" s="84">
        <v>0.0026083</v>
      </c>
      <c r="G52" s="84">
        <v>0.0026147</v>
      </c>
      <c r="H52" s="84">
        <v>0</v>
      </c>
      <c r="I52" s="84">
        <v>0</v>
      </c>
      <c r="J52" s="85">
        <v>18.24</v>
      </c>
      <c r="K52" s="85">
        <v>18.114</v>
      </c>
      <c r="L52" s="85">
        <v>18.159</v>
      </c>
      <c r="M52" s="86">
        <v>0.07</v>
      </c>
      <c r="N52" s="87">
        <f t="shared" si="6"/>
        <v>0</v>
      </c>
      <c r="O52"/>
      <c r="P52"/>
      <c r="Q52" s="88"/>
      <c r="R52" s="88"/>
      <c r="S52" s="88"/>
      <c r="T52" s="88"/>
      <c r="U52" s="88"/>
      <c r="V52" s="88"/>
      <c r="W52" s="88"/>
    </row>
    <row r="53" spans="2:23" ht="15">
      <c r="B53" s="80">
        <v>10142</v>
      </c>
      <c r="C53" s="80" t="s">
        <v>98</v>
      </c>
      <c r="D53" s="84">
        <v>0.0003807</v>
      </c>
      <c r="E53" s="84">
        <v>0.0003807</v>
      </c>
      <c r="F53" s="84">
        <v>0.0003807</v>
      </c>
      <c r="G53" s="84">
        <v>0.0003807</v>
      </c>
      <c r="H53" s="84">
        <v>0</v>
      </c>
      <c r="I53" s="84">
        <v>0</v>
      </c>
      <c r="J53" s="85">
        <v>2.644</v>
      </c>
      <c r="K53" s="85">
        <v>2.644</v>
      </c>
      <c r="L53" s="85">
        <v>2.644</v>
      </c>
      <c r="M53" s="86">
        <v>0.03266</v>
      </c>
      <c r="N53" s="87">
        <f t="shared" si="6"/>
        <v>0</v>
      </c>
      <c r="O53"/>
      <c r="P53"/>
      <c r="Q53" s="88"/>
      <c r="R53" s="88"/>
      <c r="S53" s="88"/>
      <c r="T53" s="88"/>
      <c r="U53" s="88"/>
      <c r="V53" s="88"/>
      <c r="W53" s="88"/>
    </row>
    <row r="54" spans="2:23" ht="15">
      <c r="B54" s="80">
        <v>10144</v>
      </c>
      <c r="C54" s="80" t="s">
        <v>99</v>
      </c>
      <c r="D54" s="84">
        <v>0.0004698</v>
      </c>
      <c r="E54" s="84">
        <v>0.0004707</v>
      </c>
      <c r="F54" s="84">
        <v>0.0004698</v>
      </c>
      <c r="G54" s="84">
        <v>0.0004707</v>
      </c>
      <c r="H54" s="84">
        <v>0</v>
      </c>
      <c r="I54" s="84">
        <v>0</v>
      </c>
      <c r="J54" s="85">
        <v>3.314</v>
      </c>
      <c r="K54" s="85">
        <v>3.263</v>
      </c>
      <c r="L54" s="85">
        <v>3.269</v>
      </c>
      <c r="M54" s="86">
        <v>0</v>
      </c>
      <c r="N54" s="87">
        <f t="shared" si="6"/>
        <v>0</v>
      </c>
      <c r="O54"/>
      <c r="P54"/>
      <c r="Q54" s="88"/>
      <c r="R54" s="88"/>
      <c r="S54" s="88"/>
      <c r="T54" s="88"/>
      <c r="U54" s="88"/>
      <c r="V54" s="88"/>
      <c r="W54" s="88"/>
    </row>
    <row r="55" spans="2:23" ht="15">
      <c r="B55" s="80">
        <v>10156</v>
      </c>
      <c r="C55" s="80" t="s">
        <v>100</v>
      </c>
      <c r="D55" s="84">
        <v>0.0045534</v>
      </c>
      <c r="E55" s="84">
        <v>0.0045676</v>
      </c>
      <c r="F55" s="84">
        <v>0.0045534</v>
      </c>
      <c r="G55" s="84">
        <v>0.0045676</v>
      </c>
      <c r="H55" s="84">
        <v>0</v>
      </c>
      <c r="I55" s="84">
        <v>0</v>
      </c>
      <c r="J55" s="85">
        <v>31.721</v>
      </c>
      <c r="K55" s="85">
        <v>31.623</v>
      </c>
      <c r="L55" s="85">
        <v>31.721</v>
      </c>
      <c r="M55" s="86">
        <v>0</v>
      </c>
      <c r="N55" s="87">
        <f t="shared" si="6"/>
        <v>0</v>
      </c>
      <c r="O55"/>
      <c r="P55"/>
      <c r="Q55" s="88"/>
      <c r="R55" s="88"/>
      <c r="S55" s="88"/>
      <c r="T55" s="88"/>
      <c r="U55" s="88"/>
      <c r="V55" s="88"/>
      <c r="W55" s="88"/>
    </row>
    <row r="56" spans="2:23" ht="15">
      <c r="B56" s="80">
        <v>10157</v>
      </c>
      <c r="C56" s="80" t="s">
        <v>101</v>
      </c>
      <c r="D56" s="84">
        <v>0.0070781</v>
      </c>
      <c r="E56" s="84">
        <v>0.0070781</v>
      </c>
      <c r="F56" s="84">
        <v>0.0033781</v>
      </c>
      <c r="G56" s="84">
        <v>0.0033781</v>
      </c>
      <c r="H56" s="84">
        <v>0.0037</v>
      </c>
      <c r="I56" s="84">
        <v>0.0037</v>
      </c>
      <c r="J56" s="85">
        <v>49.156</v>
      </c>
      <c r="K56" s="85">
        <v>49.156</v>
      </c>
      <c r="L56" s="85">
        <v>49.156</v>
      </c>
      <c r="M56" s="86">
        <v>0.05168</v>
      </c>
      <c r="N56" s="87">
        <f t="shared" si="6"/>
        <v>0</v>
      </c>
      <c r="O56"/>
      <c r="P56"/>
      <c r="Q56" s="88"/>
      <c r="R56" s="88"/>
      <c r="S56" s="88"/>
      <c r="T56" s="88"/>
      <c r="U56" s="88"/>
      <c r="V56" s="88"/>
      <c r="W56" s="88"/>
    </row>
    <row r="57" spans="2:23" ht="15">
      <c r="B57" s="80">
        <v>10158</v>
      </c>
      <c r="C57" s="80" t="s">
        <v>102</v>
      </c>
      <c r="D57" s="84">
        <v>0.0003797</v>
      </c>
      <c r="E57" s="84">
        <v>0.0003797</v>
      </c>
      <c r="F57" s="84">
        <v>0.0003797</v>
      </c>
      <c r="G57" s="84">
        <v>0.0003797</v>
      </c>
      <c r="H57" s="84">
        <v>0</v>
      </c>
      <c r="I57" s="84">
        <v>0</v>
      </c>
      <c r="J57" s="85">
        <v>2.747</v>
      </c>
      <c r="K57" s="85">
        <v>2.637</v>
      </c>
      <c r="L57" s="85">
        <v>2.637</v>
      </c>
      <c r="M57" s="86">
        <v>0</v>
      </c>
      <c r="N57" s="87">
        <f t="shared" si="6"/>
        <v>0</v>
      </c>
      <c r="O57"/>
      <c r="P57"/>
      <c r="Q57" s="88"/>
      <c r="R57" s="88"/>
      <c r="S57" s="88"/>
      <c r="T57" s="88"/>
      <c r="U57" s="88"/>
      <c r="V57" s="88"/>
      <c r="W57" s="88"/>
    </row>
    <row r="58" spans="2:23" ht="15">
      <c r="B58" s="80">
        <v>10170</v>
      </c>
      <c r="C58" s="80" t="s">
        <v>103</v>
      </c>
      <c r="D58" s="84">
        <v>0.0341381</v>
      </c>
      <c r="E58" s="84">
        <v>0.0342081</v>
      </c>
      <c r="F58" s="84">
        <v>0.016194899999999998</v>
      </c>
      <c r="G58" s="84">
        <v>0.0162649</v>
      </c>
      <c r="H58" s="84">
        <v>0.0179432</v>
      </c>
      <c r="I58" s="84">
        <v>0.0179432</v>
      </c>
      <c r="J58" s="85">
        <v>247.067</v>
      </c>
      <c r="K58" s="85">
        <v>237.084</v>
      </c>
      <c r="L58" s="85">
        <v>237.57</v>
      </c>
      <c r="M58" s="86">
        <v>0</v>
      </c>
      <c r="N58" s="87">
        <f t="shared" si="6"/>
        <v>0</v>
      </c>
      <c r="O58"/>
      <c r="P58"/>
      <c r="Q58" s="88"/>
      <c r="R58" s="88"/>
      <c r="S58" s="88"/>
      <c r="T58" s="88"/>
      <c r="U58" s="88"/>
      <c r="V58" s="88"/>
      <c r="W58" s="88"/>
    </row>
    <row r="59" spans="2:23" ht="15">
      <c r="B59" s="80">
        <v>10172</v>
      </c>
      <c r="C59" s="80" t="s">
        <v>104</v>
      </c>
      <c r="D59" s="84">
        <v>0.0007953</v>
      </c>
      <c r="E59" s="84">
        <v>0.0007993</v>
      </c>
      <c r="F59" s="84">
        <v>0.0007953</v>
      </c>
      <c r="G59" s="84">
        <v>0.0007993</v>
      </c>
      <c r="H59" s="84">
        <v>0</v>
      </c>
      <c r="I59" s="84">
        <v>0</v>
      </c>
      <c r="J59" s="85">
        <v>6.004</v>
      </c>
      <c r="K59" s="85">
        <v>5.523</v>
      </c>
      <c r="L59" s="85">
        <v>5.551</v>
      </c>
      <c r="M59" s="86">
        <v>0</v>
      </c>
      <c r="N59" s="87">
        <f t="shared" si="6"/>
        <v>0</v>
      </c>
      <c r="O59"/>
      <c r="P59"/>
      <c r="Q59" s="88"/>
      <c r="R59" s="88"/>
      <c r="S59" s="88"/>
      <c r="T59" s="88"/>
      <c r="U59" s="88"/>
      <c r="V59" s="88"/>
      <c r="W59" s="88"/>
    </row>
    <row r="60" spans="2:23" ht="15">
      <c r="B60" s="80">
        <v>10173</v>
      </c>
      <c r="C60" s="80" t="s">
        <v>105</v>
      </c>
      <c r="D60" s="84">
        <v>0.0046938</v>
      </c>
      <c r="E60" s="84">
        <v>0.0046938</v>
      </c>
      <c r="F60" s="84">
        <v>0.0046938</v>
      </c>
      <c r="G60" s="84">
        <v>0.0046938</v>
      </c>
      <c r="H60" s="84">
        <v>0</v>
      </c>
      <c r="I60" s="84">
        <v>0</v>
      </c>
      <c r="J60" s="85">
        <v>32.598</v>
      </c>
      <c r="K60" s="85">
        <v>32.598</v>
      </c>
      <c r="L60" s="85">
        <v>32.598</v>
      </c>
      <c r="M60" s="86">
        <v>0.07603</v>
      </c>
      <c r="N60" s="87">
        <f t="shared" si="6"/>
        <v>0</v>
      </c>
      <c r="O60"/>
      <c r="P60"/>
      <c r="Q60" s="88"/>
      <c r="R60" s="88"/>
      <c r="S60" s="88"/>
      <c r="T60" s="88"/>
      <c r="U60" s="88"/>
      <c r="V60" s="88"/>
      <c r="W60" s="88"/>
    </row>
    <row r="61" spans="2:23" ht="15">
      <c r="B61" s="80">
        <v>10174</v>
      </c>
      <c r="C61" s="80" t="s">
        <v>106</v>
      </c>
      <c r="D61" s="84">
        <v>7.19E-05</v>
      </c>
      <c r="E61" s="84">
        <v>7.19E-05</v>
      </c>
      <c r="F61" s="84">
        <v>7.19E-05</v>
      </c>
      <c r="G61" s="84">
        <v>7.19E-05</v>
      </c>
      <c r="H61" s="84">
        <v>0</v>
      </c>
      <c r="I61" s="84">
        <v>0</v>
      </c>
      <c r="J61" s="85">
        <v>0.499</v>
      </c>
      <c r="K61" s="85">
        <v>0.499</v>
      </c>
      <c r="L61" s="85">
        <v>0.499</v>
      </c>
      <c r="M61" s="86">
        <v>0</v>
      </c>
      <c r="N61" s="87">
        <f t="shared" si="6"/>
        <v>0</v>
      </c>
      <c r="O61"/>
      <c r="P61"/>
      <c r="Q61" s="88"/>
      <c r="R61" s="88"/>
      <c r="S61" s="88"/>
      <c r="T61" s="88"/>
      <c r="U61" s="88"/>
      <c r="V61" s="88"/>
      <c r="W61" s="88"/>
    </row>
    <row r="62" spans="2:23" ht="15">
      <c r="B62" s="80">
        <v>10177</v>
      </c>
      <c r="C62" s="80" t="s">
        <v>107</v>
      </c>
      <c r="D62" s="84">
        <v>0.0014226</v>
      </c>
      <c r="E62" s="84">
        <v>0.0013698</v>
      </c>
      <c r="F62" s="84">
        <v>0.0014226</v>
      </c>
      <c r="G62" s="84">
        <v>0.0013698</v>
      </c>
      <c r="H62" s="84">
        <v>0</v>
      </c>
      <c r="I62" s="84">
        <v>0</v>
      </c>
      <c r="J62" s="85">
        <v>11.478</v>
      </c>
      <c r="K62" s="85">
        <v>9.88</v>
      </c>
      <c r="L62" s="85">
        <v>9.513</v>
      </c>
      <c r="M62" s="86">
        <v>0.07</v>
      </c>
      <c r="N62" s="87">
        <f t="shared" si="6"/>
        <v>0</v>
      </c>
      <c r="O62"/>
      <c r="P62"/>
      <c r="Q62" s="88"/>
      <c r="R62" s="88"/>
      <c r="S62" s="88"/>
      <c r="T62" s="88"/>
      <c r="U62" s="88"/>
      <c r="V62" s="88"/>
      <c r="W62" s="88"/>
    </row>
    <row r="63" spans="2:23" ht="15">
      <c r="B63" s="80">
        <v>10179</v>
      </c>
      <c r="C63" s="80" t="s">
        <v>108</v>
      </c>
      <c r="D63" s="84">
        <v>0.0236355</v>
      </c>
      <c r="E63" s="84">
        <v>0.0236355</v>
      </c>
      <c r="F63" s="84">
        <v>0.0236355</v>
      </c>
      <c r="G63" s="84">
        <v>0.0236355</v>
      </c>
      <c r="H63" s="84">
        <v>0</v>
      </c>
      <c r="I63" s="84">
        <v>0</v>
      </c>
      <c r="J63" s="85">
        <v>164.145</v>
      </c>
      <c r="K63" s="85">
        <v>164.145</v>
      </c>
      <c r="L63" s="85">
        <v>164.145</v>
      </c>
      <c r="M63" s="86">
        <v>0</v>
      </c>
      <c r="N63" s="87">
        <f t="shared" si="6"/>
        <v>0</v>
      </c>
      <c r="O63"/>
      <c r="P63"/>
      <c r="Q63" s="88"/>
      <c r="R63" s="88"/>
      <c r="S63" s="88"/>
      <c r="T63" s="88"/>
      <c r="U63" s="88"/>
      <c r="V63" s="88"/>
      <c r="W63" s="88"/>
    </row>
    <row r="64" spans="2:23" ht="15">
      <c r="B64" s="80">
        <v>10183</v>
      </c>
      <c r="C64" s="80" t="s">
        <v>109</v>
      </c>
      <c r="D64" s="84">
        <v>0.0166264</v>
      </c>
      <c r="E64" s="84">
        <v>0.0166264</v>
      </c>
      <c r="F64" s="84">
        <v>0.008832699999999999</v>
      </c>
      <c r="G64" s="84">
        <v>0.008832699999999999</v>
      </c>
      <c r="H64" s="84">
        <v>0.0077937</v>
      </c>
      <c r="I64" s="84">
        <v>0.0077937</v>
      </c>
      <c r="J64" s="85">
        <v>115.468</v>
      </c>
      <c r="K64" s="85">
        <v>115.468</v>
      </c>
      <c r="L64" s="85">
        <v>115.468</v>
      </c>
      <c r="M64" s="86">
        <v>0</v>
      </c>
      <c r="N64" s="87">
        <f t="shared" si="6"/>
        <v>0</v>
      </c>
      <c r="O64"/>
      <c r="P64"/>
      <c r="Q64" s="88"/>
      <c r="R64" s="88"/>
      <c r="S64" s="88"/>
      <c r="T64" s="88"/>
      <c r="U64" s="88"/>
      <c r="V64" s="88"/>
      <c r="W64" s="88"/>
    </row>
    <row r="65" spans="2:23" ht="15">
      <c r="B65" s="80">
        <v>10186</v>
      </c>
      <c r="C65" s="80" t="s">
        <v>110</v>
      </c>
      <c r="D65" s="84">
        <v>0.0026389</v>
      </c>
      <c r="E65" s="84">
        <v>0.0026545</v>
      </c>
      <c r="F65" s="84">
        <v>0.0026389</v>
      </c>
      <c r="G65" s="84">
        <v>0.0026545</v>
      </c>
      <c r="H65" s="84">
        <v>0</v>
      </c>
      <c r="I65" s="84">
        <v>0</v>
      </c>
      <c r="J65" s="85">
        <v>20.975</v>
      </c>
      <c r="K65" s="85">
        <v>18.327</v>
      </c>
      <c r="L65" s="85">
        <v>18.435</v>
      </c>
      <c r="M65" s="86">
        <v>0.07</v>
      </c>
      <c r="N65" s="87">
        <f t="shared" si="6"/>
        <v>0</v>
      </c>
      <c r="O65"/>
      <c r="P65"/>
      <c r="Q65" s="88"/>
      <c r="R65" s="88"/>
      <c r="S65" s="88"/>
      <c r="T65" s="88"/>
      <c r="U65" s="88"/>
      <c r="V65" s="88"/>
      <c r="W65" s="88"/>
    </row>
    <row r="66" spans="2:23" ht="15">
      <c r="B66" s="80">
        <v>10190</v>
      </c>
      <c r="C66" s="80" t="s">
        <v>111</v>
      </c>
      <c r="D66" s="84">
        <v>0.0007355</v>
      </c>
      <c r="E66" s="84">
        <v>0.0007355</v>
      </c>
      <c r="F66" s="84">
        <v>0.0007355</v>
      </c>
      <c r="G66" s="84">
        <v>0.0007355</v>
      </c>
      <c r="H66" s="84">
        <v>0</v>
      </c>
      <c r="I66" s="84">
        <v>0</v>
      </c>
      <c r="J66" s="85">
        <v>5.108</v>
      </c>
      <c r="K66" s="85">
        <v>5.108</v>
      </c>
      <c r="L66" s="85">
        <v>5.108</v>
      </c>
      <c r="M66" s="86">
        <v>0</v>
      </c>
      <c r="N66" s="87">
        <f t="shared" si="6"/>
        <v>0</v>
      </c>
      <c r="O66"/>
      <c r="P66"/>
      <c r="Q66" s="88"/>
      <c r="R66" s="88"/>
      <c r="S66" s="88"/>
      <c r="T66" s="88"/>
      <c r="U66" s="88"/>
      <c r="V66" s="88"/>
      <c r="W66" s="88"/>
    </row>
    <row r="67" spans="2:23" ht="15">
      <c r="B67" s="80">
        <v>10191</v>
      </c>
      <c r="C67" s="80" t="s">
        <v>112</v>
      </c>
      <c r="D67" s="84">
        <v>0.0185909</v>
      </c>
      <c r="E67" s="84">
        <v>0.0185909</v>
      </c>
      <c r="F67" s="84">
        <v>0.0089031</v>
      </c>
      <c r="G67" s="84">
        <v>0.0089031</v>
      </c>
      <c r="H67" s="84">
        <v>0.0096878</v>
      </c>
      <c r="I67" s="84">
        <v>0.0096878</v>
      </c>
      <c r="J67" s="85">
        <v>129.111</v>
      </c>
      <c r="K67" s="85">
        <v>129.111</v>
      </c>
      <c r="L67" s="85">
        <v>129.111</v>
      </c>
      <c r="M67" s="86">
        <v>0</v>
      </c>
      <c r="N67" s="87">
        <f t="shared" si="6"/>
        <v>0</v>
      </c>
      <c r="O67"/>
      <c r="P67"/>
      <c r="Q67" s="88"/>
      <c r="R67" s="88"/>
      <c r="S67" s="88"/>
      <c r="T67" s="88"/>
      <c r="U67" s="88"/>
      <c r="V67" s="88"/>
      <c r="W67" s="88"/>
    </row>
    <row r="68" spans="2:23" ht="15">
      <c r="B68" s="80">
        <v>10197</v>
      </c>
      <c r="C68" s="80" t="s">
        <v>113</v>
      </c>
      <c r="D68" s="84">
        <v>0.0032235</v>
      </c>
      <c r="E68" s="84">
        <v>0.0032235</v>
      </c>
      <c r="F68" s="84">
        <v>0.0032235</v>
      </c>
      <c r="G68" s="84">
        <v>0.0032235</v>
      </c>
      <c r="H68" s="84">
        <v>0</v>
      </c>
      <c r="I68" s="84">
        <v>0</v>
      </c>
      <c r="J68" s="85">
        <v>22.387</v>
      </c>
      <c r="K68" s="85">
        <v>22.387</v>
      </c>
      <c r="L68" s="85">
        <v>22.387</v>
      </c>
      <c r="M68" s="86">
        <v>0.07188</v>
      </c>
      <c r="N68" s="87">
        <f t="shared" si="6"/>
        <v>0</v>
      </c>
      <c r="O68"/>
      <c r="P68"/>
      <c r="Q68" s="88"/>
      <c r="R68" s="88"/>
      <c r="S68" s="88"/>
      <c r="T68" s="88"/>
      <c r="U68" s="88"/>
      <c r="V68" s="88"/>
      <c r="W68" s="88"/>
    </row>
    <row r="69" spans="2:23" ht="15">
      <c r="B69" s="80">
        <v>10202</v>
      </c>
      <c r="C69" s="80" t="s">
        <v>114</v>
      </c>
      <c r="D69" s="84">
        <v>0.0018558</v>
      </c>
      <c r="E69" s="84">
        <v>0.0018558</v>
      </c>
      <c r="F69" s="84">
        <v>0.0018558</v>
      </c>
      <c r="G69" s="84">
        <v>0.0018558</v>
      </c>
      <c r="H69" s="84">
        <v>0</v>
      </c>
      <c r="I69" s="84">
        <v>0</v>
      </c>
      <c r="J69" s="85">
        <v>12.888</v>
      </c>
      <c r="K69" s="85">
        <v>12.888</v>
      </c>
      <c r="L69" s="85">
        <v>12.888</v>
      </c>
      <c r="M69" s="86">
        <v>0</v>
      </c>
      <c r="N69" s="87">
        <f t="shared" si="6"/>
        <v>0</v>
      </c>
      <c r="O69"/>
      <c r="P69"/>
      <c r="Q69" s="88"/>
      <c r="R69" s="88"/>
      <c r="S69" s="88"/>
      <c r="T69" s="88"/>
      <c r="U69" s="88"/>
      <c r="V69" s="88"/>
      <c r="W69" s="88"/>
    </row>
    <row r="70" spans="2:23" ht="15">
      <c r="B70" s="80">
        <v>10203</v>
      </c>
      <c r="C70" s="80" t="s">
        <v>115</v>
      </c>
      <c r="D70" s="84">
        <v>0.0008804</v>
      </c>
      <c r="E70" s="84">
        <v>0.0008804</v>
      </c>
      <c r="F70" s="84">
        <v>0.0008804</v>
      </c>
      <c r="G70" s="84">
        <v>0.0008804</v>
      </c>
      <c r="H70" s="84">
        <v>0</v>
      </c>
      <c r="I70" s="84">
        <v>0</v>
      </c>
      <c r="J70" s="85">
        <v>6.114</v>
      </c>
      <c r="K70" s="85">
        <v>6.114</v>
      </c>
      <c r="L70" s="85">
        <v>6.114</v>
      </c>
      <c r="M70" s="86">
        <v>0.07333</v>
      </c>
      <c r="N70" s="87">
        <f t="shared" si="6"/>
        <v>0</v>
      </c>
      <c r="O70"/>
      <c r="P70"/>
      <c r="Q70" s="88"/>
      <c r="R70" s="88"/>
      <c r="S70" s="88"/>
      <c r="T70" s="88"/>
      <c r="U70" s="88"/>
      <c r="V70" s="88"/>
      <c r="W70" s="88"/>
    </row>
    <row r="71" spans="2:23" ht="15">
      <c r="B71" s="80">
        <v>10204</v>
      </c>
      <c r="C71" s="80" t="s">
        <v>116</v>
      </c>
      <c r="D71" s="84">
        <v>0.0093612</v>
      </c>
      <c r="E71" s="84">
        <v>0.0093612</v>
      </c>
      <c r="F71" s="84">
        <v>0.003869</v>
      </c>
      <c r="G71" s="84">
        <v>0.003869</v>
      </c>
      <c r="H71" s="84">
        <v>0.0054922</v>
      </c>
      <c r="I71" s="84">
        <v>0.0054922</v>
      </c>
      <c r="J71" s="85">
        <v>78.279</v>
      </c>
      <c r="K71" s="85">
        <v>65.012</v>
      </c>
      <c r="L71" s="85">
        <v>65.012</v>
      </c>
      <c r="M71" s="86">
        <v>0</v>
      </c>
      <c r="N71" s="87">
        <f t="shared" si="6"/>
        <v>0</v>
      </c>
      <c r="O71"/>
      <c r="P71"/>
      <c r="Q71" s="88"/>
      <c r="R71" s="88"/>
      <c r="S71" s="88"/>
      <c r="T71" s="88"/>
      <c r="U71" s="88"/>
      <c r="V71" s="88"/>
      <c r="W71" s="88"/>
    </row>
    <row r="72" spans="2:23" ht="15">
      <c r="B72" s="80">
        <v>10209</v>
      </c>
      <c r="C72" s="80" t="s">
        <v>117</v>
      </c>
      <c r="D72" s="84">
        <v>0.014861</v>
      </c>
      <c r="E72" s="84">
        <v>0.014861</v>
      </c>
      <c r="F72" s="84">
        <v>0.014861</v>
      </c>
      <c r="G72" s="84">
        <v>0.014861</v>
      </c>
      <c r="H72" s="84">
        <v>0</v>
      </c>
      <c r="I72" s="84">
        <v>0</v>
      </c>
      <c r="J72" s="85">
        <v>103.207</v>
      </c>
      <c r="K72" s="85">
        <v>103.207</v>
      </c>
      <c r="L72" s="85">
        <v>103.207</v>
      </c>
      <c r="M72" s="86">
        <v>0.07421</v>
      </c>
      <c r="N72" s="87">
        <f t="shared" si="6"/>
        <v>0</v>
      </c>
      <c r="O72"/>
      <c r="P72"/>
      <c r="Q72" s="88"/>
      <c r="R72" s="88"/>
      <c r="S72" s="88"/>
      <c r="T72" s="88"/>
      <c r="U72" s="88"/>
      <c r="V72" s="88"/>
      <c r="W72" s="88"/>
    </row>
    <row r="73" spans="2:23" ht="15">
      <c r="B73" s="80">
        <v>10230</v>
      </c>
      <c r="C73" s="80" t="s">
        <v>118</v>
      </c>
      <c r="D73" s="84">
        <v>0.0013747</v>
      </c>
      <c r="E73" s="84">
        <v>0.0013747</v>
      </c>
      <c r="F73" s="84">
        <v>0.0013747</v>
      </c>
      <c r="G73" s="84">
        <v>0.0013747</v>
      </c>
      <c r="H73" s="84">
        <v>0</v>
      </c>
      <c r="I73" s="84">
        <v>0</v>
      </c>
      <c r="J73" s="85">
        <v>9.547</v>
      </c>
      <c r="K73" s="85">
        <v>9.547</v>
      </c>
      <c r="L73" s="85">
        <v>9.547</v>
      </c>
      <c r="M73" s="86">
        <v>0.0751</v>
      </c>
      <c r="N73" s="87">
        <f t="shared" si="6"/>
        <v>0</v>
      </c>
      <c r="O73"/>
      <c r="P73"/>
      <c r="Q73" s="88"/>
      <c r="R73" s="88"/>
      <c r="S73" s="88"/>
      <c r="T73" s="88"/>
      <c r="U73" s="88"/>
      <c r="V73" s="88"/>
      <c r="W73" s="88"/>
    </row>
    <row r="74" spans="2:23" ht="15">
      <c r="B74" s="80">
        <v>10231</v>
      </c>
      <c r="C74" s="80" t="s">
        <v>119</v>
      </c>
      <c r="D74" s="84">
        <v>0.0051939</v>
      </c>
      <c r="E74" s="84">
        <v>0.0051939</v>
      </c>
      <c r="F74" s="84">
        <v>0.0051939</v>
      </c>
      <c r="G74" s="84">
        <v>0.0051939</v>
      </c>
      <c r="H74" s="84">
        <v>0</v>
      </c>
      <c r="I74" s="84">
        <v>0</v>
      </c>
      <c r="J74" s="85">
        <v>36.071</v>
      </c>
      <c r="K74" s="85">
        <v>36.071</v>
      </c>
      <c r="L74" s="85">
        <v>36.071</v>
      </c>
      <c r="M74" s="86">
        <v>0.08535</v>
      </c>
      <c r="N74" s="87">
        <f t="shared" si="6"/>
        <v>0</v>
      </c>
      <c r="O74"/>
      <c r="P74"/>
      <c r="Q74" s="88"/>
      <c r="R74" s="88"/>
      <c r="S74" s="88"/>
      <c r="T74" s="88"/>
      <c r="U74" s="88"/>
      <c r="V74" s="88"/>
      <c r="W74" s="88"/>
    </row>
    <row r="75" spans="2:23" ht="15">
      <c r="B75" s="80">
        <v>10234</v>
      </c>
      <c r="C75" s="80" t="s">
        <v>120</v>
      </c>
      <c r="D75" s="84">
        <v>0.0072256</v>
      </c>
      <c r="E75" s="84">
        <v>0.0072256</v>
      </c>
      <c r="F75" s="84">
        <v>0.0072256</v>
      </c>
      <c r="G75" s="84">
        <v>0.0072256</v>
      </c>
      <c r="H75" s="84">
        <v>0</v>
      </c>
      <c r="I75" s="84">
        <v>0</v>
      </c>
      <c r="J75" s="85">
        <v>50.181</v>
      </c>
      <c r="K75" s="85">
        <v>50.181</v>
      </c>
      <c r="L75" s="85">
        <v>50.181</v>
      </c>
      <c r="M75" s="86">
        <v>0.05345</v>
      </c>
      <c r="N75" s="87">
        <f t="shared" si="6"/>
        <v>0</v>
      </c>
      <c r="O75"/>
      <c r="P75"/>
      <c r="Q75" s="88"/>
      <c r="R75" s="88"/>
      <c r="S75" s="88"/>
      <c r="T75" s="88"/>
      <c r="U75" s="88"/>
      <c r="V75" s="88"/>
      <c r="W75" s="88"/>
    </row>
    <row r="76" spans="2:23" ht="15">
      <c r="B76" s="80">
        <v>10235</v>
      </c>
      <c r="C76" s="80" t="s">
        <v>121</v>
      </c>
      <c r="D76" s="84">
        <v>0.0044777</v>
      </c>
      <c r="E76" s="84">
        <v>0.0045</v>
      </c>
      <c r="F76" s="84">
        <v>0.0044777</v>
      </c>
      <c r="G76" s="84">
        <v>0.0045</v>
      </c>
      <c r="H76" s="84">
        <v>0</v>
      </c>
      <c r="I76" s="84">
        <v>0</v>
      </c>
      <c r="J76" s="85">
        <v>32.582</v>
      </c>
      <c r="K76" s="85">
        <v>31.097</v>
      </c>
      <c r="L76" s="85">
        <v>31.252</v>
      </c>
      <c r="M76" s="86">
        <v>0</v>
      </c>
      <c r="N76" s="87">
        <f t="shared" si="6"/>
        <v>0</v>
      </c>
      <c r="O76"/>
      <c r="P76"/>
      <c r="Q76" s="88"/>
      <c r="R76" s="88"/>
      <c r="S76" s="88"/>
      <c r="T76" s="88"/>
      <c r="U76" s="88"/>
      <c r="V76" s="88"/>
      <c r="W76" s="88"/>
    </row>
    <row r="77" spans="2:23" ht="15">
      <c r="B77" s="80">
        <v>10236</v>
      </c>
      <c r="C77" s="80" t="s">
        <v>122</v>
      </c>
      <c r="D77" s="84">
        <v>0.0039477</v>
      </c>
      <c r="E77" s="84">
        <v>0.0039477</v>
      </c>
      <c r="F77" s="84">
        <v>0.0039477</v>
      </c>
      <c r="G77" s="84">
        <v>0.0039477</v>
      </c>
      <c r="H77" s="84">
        <v>0</v>
      </c>
      <c r="I77" s="84">
        <v>0</v>
      </c>
      <c r="J77" s="85">
        <v>28.636</v>
      </c>
      <c r="K77" s="85">
        <v>27.416</v>
      </c>
      <c r="L77" s="85">
        <v>27.416</v>
      </c>
      <c r="M77" s="86">
        <v>0.065</v>
      </c>
      <c r="N77" s="87">
        <f t="shared" si="6"/>
        <v>0</v>
      </c>
      <c r="O77"/>
      <c r="P77"/>
      <c r="Q77" s="88"/>
      <c r="R77" s="88"/>
      <c r="S77" s="88"/>
      <c r="T77" s="88"/>
      <c r="U77" s="88"/>
      <c r="V77" s="88"/>
      <c r="W77" s="88"/>
    </row>
    <row r="78" spans="2:23" ht="15">
      <c r="B78" s="80">
        <v>10237</v>
      </c>
      <c r="C78" s="80" t="s">
        <v>123</v>
      </c>
      <c r="D78" s="84">
        <v>0.0156185</v>
      </c>
      <c r="E78" s="84">
        <v>0.0156552</v>
      </c>
      <c r="F78" s="84">
        <v>0.0060085</v>
      </c>
      <c r="G78" s="84">
        <v>0.006045200000000001</v>
      </c>
      <c r="H78" s="84">
        <v>0.00961</v>
      </c>
      <c r="I78" s="84">
        <v>0.00961</v>
      </c>
      <c r="J78" s="85">
        <v>111.907</v>
      </c>
      <c r="K78" s="85">
        <v>108.468</v>
      </c>
      <c r="L78" s="85">
        <v>108.723</v>
      </c>
      <c r="M78" s="86">
        <v>0.05</v>
      </c>
      <c r="N78" s="87">
        <f t="shared" si="6"/>
        <v>0</v>
      </c>
      <c r="O78"/>
      <c r="P78"/>
      <c r="Q78" s="88"/>
      <c r="R78" s="88"/>
      <c r="S78" s="88"/>
      <c r="T78" s="88"/>
      <c r="U78" s="88"/>
      <c r="V78" s="88"/>
      <c r="W78" s="88"/>
    </row>
    <row r="79" spans="2:23" ht="15">
      <c r="B79" s="80">
        <v>10239</v>
      </c>
      <c r="C79" s="80" t="s">
        <v>124</v>
      </c>
      <c r="D79" s="84">
        <v>0.0019596</v>
      </c>
      <c r="E79" s="84">
        <v>0.0019596</v>
      </c>
      <c r="F79" s="84">
        <v>0.0019596</v>
      </c>
      <c r="G79" s="84">
        <v>0.0019596</v>
      </c>
      <c r="H79" s="84">
        <v>0</v>
      </c>
      <c r="I79" s="84">
        <v>0</v>
      </c>
      <c r="J79" s="85">
        <v>13.775</v>
      </c>
      <c r="K79" s="85">
        <v>13.609</v>
      </c>
      <c r="L79" s="85">
        <v>13.609</v>
      </c>
      <c r="M79" s="86">
        <v>0.07</v>
      </c>
      <c r="N79" s="87">
        <f t="shared" si="6"/>
        <v>0</v>
      </c>
      <c r="O79"/>
      <c r="P79"/>
      <c r="Q79" s="88"/>
      <c r="R79" s="88"/>
      <c r="S79" s="88"/>
      <c r="T79" s="88"/>
      <c r="U79" s="88"/>
      <c r="V79" s="88"/>
      <c r="W79" s="88"/>
    </row>
    <row r="80" spans="2:23" ht="15">
      <c r="B80" s="80">
        <v>10242</v>
      </c>
      <c r="C80" s="80" t="s">
        <v>125</v>
      </c>
      <c r="D80" s="84">
        <v>0.0013299</v>
      </c>
      <c r="E80" s="84">
        <v>0.0013406</v>
      </c>
      <c r="F80" s="84">
        <v>0.0013299</v>
      </c>
      <c r="G80" s="84">
        <v>0.0013406</v>
      </c>
      <c r="H80" s="84">
        <v>0</v>
      </c>
      <c r="I80" s="84">
        <v>0</v>
      </c>
      <c r="J80" s="85">
        <v>9.373</v>
      </c>
      <c r="K80" s="85">
        <v>9.236</v>
      </c>
      <c r="L80" s="85">
        <v>9.31</v>
      </c>
      <c r="M80" s="86">
        <v>0.07</v>
      </c>
      <c r="N80" s="87">
        <f aca="true" t="shared" si="7" ref="N80:N95">G80*$AD$3*$R$19*M80</f>
        <v>0</v>
      </c>
      <c r="O80"/>
      <c r="P80"/>
      <c r="Q80" s="88"/>
      <c r="R80" s="88"/>
      <c r="S80" s="88"/>
      <c r="T80" s="88"/>
      <c r="U80" s="88"/>
      <c r="V80" s="88"/>
      <c r="W80" s="88"/>
    </row>
    <row r="81" spans="2:23" ht="15">
      <c r="B81" s="80">
        <v>10244</v>
      </c>
      <c r="C81" s="80" t="s">
        <v>126</v>
      </c>
      <c r="D81" s="84">
        <v>0.0121899</v>
      </c>
      <c r="E81" s="84">
        <v>0.0121899</v>
      </c>
      <c r="F81" s="84">
        <v>0.0121899</v>
      </c>
      <c r="G81" s="84">
        <v>0.0121899</v>
      </c>
      <c r="H81" s="84">
        <v>0</v>
      </c>
      <c r="I81" s="84">
        <v>0</v>
      </c>
      <c r="J81" s="85">
        <v>84.657</v>
      </c>
      <c r="K81" s="85">
        <v>84.657</v>
      </c>
      <c r="L81" s="85">
        <v>84.657</v>
      </c>
      <c r="M81" s="86">
        <v>0.05967</v>
      </c>
      <c r="N81" s="87">
        <f t="shared" si="7"/>
        <v>0</v>
      </c>
      <c r="O81"/>
      <c r="P81"/>
      <c r="Q81" s="88"/>
      <c r="R81" s="88"/>
      <c r="S81" s="88"/>
      <c r="T81" s="88"/>
      <c r="U81" s="88"/>
      <c r="V81" s="88"/>
      <c r="W81" s="88"/>
    </row>
    <row r="82" spans="2:23" ht="15">
      <c r="B82" s="80">
        <v>10246</v>
      </c>
      <c r="C82" s="80" t="s">
        <v>127</v>
      </c>
      <c r="D82" s="84">
        <v>0.0012733</v>
      </c>
      <c r="E82" s="84">
        <v>0.0012733</v>
      </c>
      <c r="F82" s="84">
        <v>0.0012733</v>
      </c>
      <c r="G82" s="84">
        <v>0.0012733</v>
      </c>
      <c r="H82" s="84">
        <v>0</v>
      </c>
      <c r="I82" s="84">
        <v>0</v>
      </c>
      <c r="J82" s="85">
        <v>8.843</v>
      </c>
      <c r="K82" s="85">
        <v>8.843</v>
      </c>
      <c r="L82" s="85">
        <v>8.843</v>
      </c>
      <c r="M82" s="86">
        <v>0.05519</v>
      </c>
      <c r="N82" s="87">
        <f t="shared" si="7"/>
        <v>0</v>
      </c>
      <c r="O82"/>
      <c r="P82"/>
      <c r="Q82" s="88"/>
      <c r="R82" s="88"/>
      <c r="S82" s="88"/>
      <c r="T82" s="88"/>
      <c r="U82" s="88"/>
      <c r="V82" s="88"/>
      <c r="W82" s="88"/>
    </row>
    <row r="83" spans="2:23" ht="15">
      <c r="B83" s="80">
        <v>10247</v>
      </c>
      <c r="C83" s="80" t="s">
        <v>128</v>
      </c>
      <c r="D83" s="84">
        <v>0.0113244</v>
      </c>
      <c r="E83" s="84">
        <v>0.0113244</v>
      </c>
      <c r="F83" s="84">
        <v>0.0113244</v>
      </c>
      <c r="G83" s="84">
        <v>0.0113244</v>
      </c>
      <c r="H83" s="84">
        <v>0</v>
      </c>
      <c r="I83" s="84">
        <v>0</v>
      </c>
      <c r="J83" s="85">
        <v>78.646</v>
      </c>
      <c r="K83" s="85">
        <v>78.646</v>
      </c>
      <c r="L83" s="85">
        <v>78.646</v>
      </c>
      <c r="M83" s="86">
        <v>0.05325</v>
      </c>
      <c r="N83" s="87">
        <f t="shared" si="7"/>
        <v>0</v>
      </c>
      <c r="O83"/>
      <c r="P83"/>
      <c r="Q83" s="88"/>
      <c r="R83" s="88"/>
      <c r="S83" s="88"/>
      <c r="T83" s="88"/>
      <c r="U83" s="88"/>
      <c r="V83" s="88"/>
      <c r="W83" s="88"/>
    </row>
    <row r="84" spans="2:23" ht="15">
      <c r="B84" s="80">
        <v>10256</v>
      </c>
      <c r="C84" s="80" t="s">
        <v>129</v>
      </c>
      <c r="D84" s="84">
        <v>0.0064379</v>
      </c>
      <c r="E84" s="84">
        <v>0.0064402</v>
      </c>
      <c r="F84" s="84">
        <v>0.0064379</v>
      </c>
      <c r="G84" s="84">
        <v>0.0064402</v>
      </c>
      <c r="H84" s="84">
        <v>0</v>
      </c>
      <c r="I84" s="84">
        <v>0</v>
      </c>
      <c r="J84" s="85">
        <v>45.995</v>
      </c>
      <c r="K84" s="85">
        <v>44.71</v>
      </c>
      <c r="L84" s="85">
        <v>44.726</v>
      </c>
      <c r="M84" s="86">
        <v>0.065</v>
      </c>
      <c r="N84" s="87">
        <f t="shared" si="7"/>
        <v>0</v>
      </c>
      <c r="O84"/>
      <c r="P84"/>
      <c r="Q84" s="88"/>
      <c r="R84" s="88"/>
      <c r="S84" s="88"/>
      <c r="T84" s="88"/>
      <c r="U84" s="88"/>
      <c r="V84" s="88"/>
      <c r="W84" s="88"/>
    </row>
    <row r="85" spans="2:23" ht="15">
      <c r="B85" s="80">
        <v>10258</v>
      </c>
      <c r="C85" s="80" t="s">
        <v>130</v>
      </c>
      <c r="D85" s="84">
        <v>0.0053771</v>
      </c>
      <c r="E85" s="84">
        <v>0.0053771</v>
      </c>
      <c r="F85" s="84">
        <v>0.0053771</v>
      </c>
      <c r="G85" s="84">
        <v>0.0053771</v>
      </c>
      <c r="H85" s="84">
        <v>0</v>
      </c>
      <c r="I85" s="84">
        <v>0</v>
      </c>
      <c r="J85" s="85">
        <v>37.343</v>
      </c>
      <c r="K85" s="85">
        <v>37.343</v>
      </c>
      <c r="L85" s="85">
        <v>37.343</v>
      </c>
      <c r="M85" s="86">
        <v>0.06375</v>
      </c>
      <c r="N85" s="87">
        <f t="shared" si="7"/>
        <v>0</v>
      </c>
      <c r="O85"/>
      <c r="P85"/>
      <c r="Q85" s="88"/>
      <c r="R85" s="88"/>
      <c r="S85" s="88"/>
      <c r="T85" s="88"/>
      <c r="U85" s="88"/>
      <c r="V85" s="88"/>
      <c r="W85" s="88"/>
    </row>
    <row r="86" spans="2:23" ht="15">
      <c r="B86" s="80">
        <v>10259</v>
      </c>
      <c r="C86" s="80" t="s">
        <v>131</v>
      </c>
      <c r="D86" s="84">
        <v>0.0038233</v>
      </c>
      <c r="E86" s="84">
        <v>0.0038233</v>
      </c>
      <c r="F86" s="84">
        <v>0.0038233</v>
      </c>
      <c r="G86" s="84">
        <v>0.0038233</v>
      </c>
      <c r="H86" s="84">
        <v>0</v>
      </c>
      <c r="I86" s="84">
        <v>0</v>
      </c>
      <c r="J86" s="85">
        <v>26.552</v>
      </c>
      <c r="K86" s="85">
        <v>26.552</v>
      </c>
      <c r="L86" s="85">
        <v>26.552</v>
      </c>
      <c r="M86" s="86">
        <v>0.06728</v>
      </c>
      <c r="N86" s="87">
        <f t="shared" si="7"/>
        <v>0</v>
      </c>
      <c r="O86"/>
      <c r="P86"/>
      <c r="Q86" s="88"/>
      <c r="R86" s="88"/>
      <c r="S86" s="88"/>
      <c r="T86" s="88"/>
      <c r="U86" s="88"/>
      <c r="V86" s="88"/>
      <c r="W86" s="88"/>
    </row>
    <row r="87" spans="2:23" ht="15">
      <c r="B87" s="80">
        <v>10260</v>
      </c>
      <c r="C87" s="80" t="s">
        <v>132</v>
      </c>
      <c r="D87" s="84">
        <v>0.0037241</v>
      </c>
      <c r="E87" s="84">
        <v>0.0037241</v>
      </c>
      <c r="F87" s="84">
        <v>0.0037241</v>
      </c>
      <c r="G87" s="84">
        <v>0.0037241</v>
      </c>
      <c r="H87" s="84">
        <v>0</v>
      </c>
      <c r="I87" s="84">
        <v>0</v>
      </c>
      <c r="J87" s="85">
        <v>25.863</v>
      </c>
      <c r="K87" s="85">
        <v>25.863</v>
      </c>
      <c r="L87" s="85">
        <v>25.863</v>
      </c>
      <c r="M87" s="86">
        <v>0</v>
      </c>
      <c r="N87" s="87">
        <f t="shared" si="7"/>
        <v>0</v>
      </c>
      <c r="O87"/>
      <c r="P87"/>
      <c r="Q87" s="88"/>
      <c r="R87" s="88"/>
      <c r="S87" s="88"/>
      <c r="T87" s="88"/>
      <c r="U87" s="88"/>
      <c r="V87" s="88"/>
      <c r="W87" s="88"/>
    </row>
    <row r="88" spans="2:23" ht="15">
      <c r="B88" s="80">
        <v>10273</v>
      </c>
      <c r="C88" s="80" t="s">
        <v>133</v>
      </c>
      <c r="D88" s="84">
        <v>0.0008333</v>
      </c>
      <c r="E88" s="84">
        <v>0.0008333</v>
      </c>
      <c r="F88" s="84">
        <v>0.0008333</v>
      </c>
      <c r="G88" s="84">
        <v>0.0008333</v>
      </c>
      <c r="H88" s="84">
        <v>0</v>
      </c>
      <c r="I88" s="84">
        <v>0</v>
      </c>
      <c r="J88" s="85">
        <v>5.787</v>
      </c>
      <c r="K88" s="85">
        <v>5.787</v>
      </c>
      <c r="L88" s="85">
        <v>5.787</v>
      </c>
      <c r="M88" s="86">
        <v>0.10404</v>
      </c>
      <c r="N88" s="87">
        <f t="shared" si="7"/>
        <v>0</v>
      </c>
      <c r="O88"/>
      <c r="P88"/>
      <c r="Q88" s="88"/>
      <c r="R88" s="88"/>
      <c r="S88" s="88"/>
      <c r="T88" s="88"/>
      <c r="U88" s="88"/>
      <c r="V88" s="88"/>
      <c r="W88" s="88"/>
    </row>
    <row r="89" spans="2:23" ht="15">
      <c r="B89" s="80">
        <v>10278</v>
      </c>
      <c r="C89" s="80" t="s">
        <v>134</v>
      </c>
      <c r="D89" s="84">
        <v>0.004786</v>
      </c>
      <c r="E89" s="84">
        <v>0.0048087</v>
      </c>
      <c r="F89" s="84">
        <v>0.004786</v>
      </c>
      <c r="G89" s="84">
        <v>0.0048087</v>
      </c>
      <c r="H89" s="84">
        <v>0</v>
      </c>
      <c r="I89" s="84">
        <v>0</v>
      </c>
      <c r="J89" s="85">
        <v>35.351</v>
      </c>
      <c r="K89" s="85">
        <v>33.238</v>
      </c>
      <c r="L89" s="85">
        <v>33.396</v>
      </c>
      <c r="M89" s="86">
        <v>0.065</v>
      </c>
      <c r="N89" s="87">
        <f t="shared" si="7"/>
        <v>0</v>
      </c>
      <c r="O89"/>
      <c r="P89"/>
      <c r="Q89" s="88"/>
      <c r="R89" s="88"/>
      <c r="S89" s="88"/>
      <c r="T89" s="88"/>
      <c r="U89" s="88"/>
      <c r="V89" s="88"/>
      <c r="W89" s="88"/>
    </row>
    <row r="90" spans="2:23" ht="15">
      <c r="B90" s="80">
        <v>10279</v>
      </c>
      <c r="C90" s="80" t="s">
        <v>135</v>
      </c>
      <c r="D90" s="84">
        <v>0.0091759</v>
      </c>
      <c r="E90" s="84">
        <v>0.0091759</v>
      </c>
      <c r="F90" s="84">
        <v>0.0091759</v>
      </c>
      <c r="G90" s="84">
        <v>0.0091759</v>
      </c>
      <c r="H90" s="84">
        <v>0</v>
      </c>
      <c r="I90" s="84">
        <v>0</v>
      </c>
      <c r="J90" s="85">
        <v>63.725</v>
      </c>
      <c r="K90" s="85">
        <v>63.725</v>
      </c>
      <c r="L90" s="85">
        <v>63.725</v>
      </c>
      <c r="M90" s="86">
        <v>0</v>
      </c>
      <c r="N90" s="87">
        <f t="shared" si="7"/>
        <v>0</v>
      </c>
      <c r="O90"/>
      <c r="P90"/>
      <c r="Q90" s="88"/>
      <c r="R90" s="88"/>
      <c r="S90" s="88"/>
      <c r="T90" s="88"/>
      <c r="U90" s="88"/>
      <c r="V90" s="88"/>
      <c r="W90" s="88"/>
    </row>
    <row r="91" spans="2:23" ht="15">
      <c r="B91" s="80">
        <v>10284</v>
      </c>
      <c r="C91" s="80" t="s">
        <v>136</v>
      </c>
      <c r="D91" s="84">
        <v>0.001408</v>
      </c>
      <c r="E91" s="84">
        <v>0.0014107</v>
      </c>
      <c r="F91" s="84">
        <v>0.001408</v>
      </c>
      <c r="G91" s="84">
        <v>0.0014107</v>
      </c>
      <c r="H91" s="84">
        <v>0</v>
      </c>
      <c r="I91" s="84">
        <v>0</v>
      </c>
      <c r="J91" s="85">
        <v>9.995</v>
      </c>
      <c r="K91" s="85">
        <v>9.778</v>
      </c>
      <c r="L91" s="85">
        <v>9.797</v>
      </c>
      <c r="M91" s="86">
        <v>0.05</v>
      </c>
      <c r="N91" s="87">
        <f t="shared" si="7"/>
        <v>0</v>
      </c>
      <c r="O91"/>
      <c r="P91"/>
      <c r="Q91" s="88"/>
      <c r="R91" s="88"/>
      <c r="S91" s="88"/>
      <c r="T91" s="88"/>
      <c r="U91" s="88"/>
      <c r="V91" s="88"/>
      <c r="W91" s="88"/>
    </row>
    <row r="92" spans="2:23" ht="15">
      <c r="B92" s="80">
        <v>10285</v>
      </c>
      <c r="C92" s="80" t="s">
        <v>137</v>
      </c>
      <c r="D92" s="84">
        <v>0.000925</v>
      </c>
      <c r="E92" s="84">
        <v>0.000925</v>
      </c>
      <c r="F92" s="84">
        <v>0.000925</v>
      </c>
      <c r="G92" s="84">
        <v>0.000925</v>
      </c>
      <c r="H92" s="84">
        <v>0</v>
      </c>
      <c r="I92" s="84">
        <v>0</v>
      </c>
      <c r="J92" s="85">
        <v>6.424</v>
      </c>
      <c r="K92" s="85">
        <v>6.424</v>
      </c>
      <c r="L92" s="85">
        <v>6.424</v>
      </c>
      <c r="M92" s="86">
        <v>0.0673</v>
      </c>
      <c r="N92" s="87">
        <f t="shared" si="7"/>
        <v>0</v>
      </c>
      <c r="O92"/>
      <c r="P92"/>
      <c r="Q92" s="88"/>
      <c r="R92" s="88"/>
      <c r="S92" s="88"/>
      <c r="T92" s="88"/>
      <c r="U92" s="88"/>
      <c r="V92" s="88"/>
      <c r="W92" s="88"/>
    </row>
    <row r="93" spans="2:23" ht="15">
      <c r="B93" s="80">
        <v>10286</v>
      </c>
      <c r="C93" s="80" t="s">
        <v>138</v>
      </c>
      <c r="D93" s="84">
        <v>0.0065047</v>
      </c>
      <c r="E93" s="84">
        <v>0.0065047</v>
      </c>
      <c r="F93" s="84">
        <v>0.0028930000000000006</v>
      </c>
      <c r="G93" s="84">
        <v>0.0028930000000000006</v>
      </c>
      <c r="H93" s="84">
        <v>0.0036117</v>
      </c>
      <c r="I93" s="84">
        <v>0.0036117</v>
      </c>
      <c r="J93" s="85">
        <v>45.174</v>
      </c>
      <c r="K93" s="85">
        <v>45.174</v>
      </c>
      <c r="L93" s="85">
        <v>45.174</v>
      </c>
      <c r="M93" s="86">
        <v>0</v>
      </c>
      <c r="N93" s="87">
        <f t="shared" si="7"/>
        <v>0</v>
      </c>
      <c r="O93"/>
      <c r="P93"/>
      <c r="Q93" s="88"/>
      <c r="R93" s="88"/>
      <c r="S93" s="88"/>
      <c r="T93" s="88"/>
      <c r="U93" s="88"/>
      <c r="V93" s="88"/>
      <c r="W93" s="88"/>
    </row>
    <row r="94" spans="2:23" ht="15">
      <c r="B94" s="80">
        <v>10288</v>
      </c>
      <c r="C94" s="80" t="s">
        <v>139</v>
      </c>
      <c r="D94" s="84">
        <v>0.0035043</v>
      </c>
      <c r="E94" s="84">
        <v>0.0035043</v>
      </c>
      <c r="F94" s="84">
        <v>0.0035043</v>
      </c>
      <c r="G94" s="84">
        <v>0.0035043</v>
      </c>
      <c r="H94" s="84">
        <v>0</v>
      </c>
      <c r="I94" s="84">
        <v>0</v>
      </c>
      <c r="J94" s="85">
        <v>24.337</v>
      </c>
      <c r="K94" s="85">
        <v>24.337</v>
      </c>
      <c r="L94" s="85">
        <v>24.337</v>
      </c>
      <c r="M94" s="86">
        <v>0.05624</v>
      </c>
      <c r="N94" s="87">
        <f t="shared" si="7"/>
        <v>0</v>
      </c>
      <c r="O94"/>
      <c r="P94"/>
      <c r="Q94" s="88"/>
      <c r="R94" s="88"/>
      <c r="S94" s="88"/>
      <c r="T94" s="88"/>
      <c r="U94" s="88"/>
      <c r="V94" s="88"/>
      <c r="W94" s="88"/>
    </row>
    <row r="95" spans="2:23" ht="15">
      <c r="B95" s="80">
        <v>10291</v>
      </c>
      <c r="C95" s="80" t="s">
        <v>140</v>
      </c>
      <c r="D95" s="84">
        <v>0.0111461</v>
      </c>
      <c r="E95" s="84">
        <v>0.0112185</v>
      </c>
      <c r="F95" s="84">
        <v>0.0111461</v>
      </c>
      <c r="G95" s="84">
        <v>0.0112185</v>
      </c>
      <c r="H95" s="84">
        <v>0</v>
      </c>
      <c r="I95" s="84">
        <v>0</v>
      </c>
      <c r="J95" s="85">
        <v>77.911</v>
      </c>
      <c r="K95" s="85">
        <v>77.408</v>
      </c>
      <c r="L95" s="85">
        <v>77.911</v>
      </c>
      <c r="M95" s="86">
        <v>0.05055</v>
      </c>
      <c r="N95" s="87">
        <f t="shared" si="7"/>
        <v>0</v>
      </c>
      <c r="O95"/>
      <c r="P95"/>
      <c r="Q95" s="88"/>
      <c r="R95" s="88"/>
      <c r="S95" s="88"/>
      <c r="T95" s="88"/>
      <c r="U95" s="88"/>
      <c r="V95" s="88"/>
      <c r="W95" s="88"/>
    </row>
    <row r="96" spans="2:23" ht="15">
      <c r="B96" s="80">
        <v>10294</v>
      </c>
      <c r="C96" s="80" t="s">
        <v>141</v>
      </c>
      <c r="D96" s="84">
        <v>0.0050298</v>
      </c>
      <c r="E96" s="84">
        <v>0.0050414</v>
      </c>
      <c r="F96" s="84">
        <v>0.0022124000000000002</v>
      </c>
      <c r="G96" s="84">
        <v>0.002224</v>
      </c>
      <c r="H96" s="84">
        <v>0.0028174</v>
      </c>
      <c r="I96" s="84">
        <v>0.0028174</v>
      </c>
      <c r="J96" s="85">
        <v>35.744</v>
      </c>
      <c r="K96" s="85">
        <v>34.931</v>
      </c>
      <c r="L96" s="85">
        <v>35.012</v>
      </c>
      <c r="M96" s="86">
        <v>0</v>
      </c>
      <c r="N96" s="87">
        <f>G96*$AD$3*$R$19*M96</f>
        <v>0</v>
      </c>
      <c r="O96"/>
      <c r="P96"/>
      <c r="Q96" s="88"/>
      <c r="R96" s="88"/>
      <c r="S96" s="88"/>
      <c r="T96" s="88"/>
      <c r="U96" s="88"/>
      <c r="V96" s="88"/>
      <c r="W96" s="88"/>
    </row>
    <row r="97" spans="2:23" ht="15">
      <c r="B97" s="80">
        <v>10304</v>
      </c>
      <c r="C97" s="80" t="s">
        <v>142</v>
      </c>
      <c r="D97" s="84">
        <v>0.001958</v>
      </c>
      <c r="E97" s="84">
        <v>0.0019635</v>
      </c>
      <c r="F97" s="84">
        <v>0.001958</v>
      </c>
      <c r="G97" s="84">
        <v>0.0019635</v>
      </c>
      <c r="H97" s="84">
        <v>0</v>
      </c>
      <c r="I97" s="84">
        <v>0</v>
      </c>
      <c r="J97" s="85">
        <v>13.842</v>
      </c>
      <c r="K97" s="85">
        <v>13.598</v>
      </c>
      <c r="L97" s="85">
        <v>13.636</v>
      </c>
      <c r="M97" s="86">
        <v>0</v>
      </c>
      <c r="N97" s="87">
        <f aca="true" t="shared" si="8" ref="N97:N102">G97*$AD$3*$R$19*M97</f>
        <v>0</v>
      </c>
      <c r="O97"/>
      <c r="P97"/>
      <c r="Q97" s="88"/>
      <c r="R97" s="88"/>
      <c r="S97" s="88"/>
      <c r="T97" s="88"/>
      <c r="U97" s="88"/>
      <c r="V97" s="88"/>
      <c r="W97" s="88"/>
    </row>
    <row r="98" spans="2:23" ht="15">
      <c r="B98" s="80">
        <v>10306</v>
      </c>
      <c r="C98" s="80" t="s">
        <v>143</v>
      </c>
      <c r="D98" s="84">
        <v>0.0035701</v>
      </c>
      <c r="E98" s="84">
        <v>0.0036066</v>
      </c>
      <c r="F98" s="84">
        <v>0.0035701</v>
      </c>
      <c r="G98" s="84">
        <v>0.0036066</v>
      </c>
      <c r="H98" s="84">
        <v>0</v>
      </c>
      <c r="I98" s="84">
        <v>0</v>
      </c>
      <c r="J98" s="85">
        <v>25.355</v>
      </c>
      <c r="K98" s="85">
        <v>24.794</v>
      </c>
      <c r="L98" s="85">
        <v>25.047</v>
      </c>
      <c r="M98" s="86">
        <v>0</v>
      </c>
      <c r="N98" s="87">
        <f t="shared" si="8"/>
        <v>0</v>
      </c>
      <c r="O98"/>
      <c r="P98"/>
      <c r="Q98" s="88"/>
      <c r="R98" s="88"/>
      <c r="S98" s="88"/>
      <c r="T98" s="88"/>
      <c r="U98" s="88"/>
      <c r="V98" s="88"/>
      <c r="W98" s="88"/>
    </row>
    <row r="99" spans="2:23" ht="15">
      <c r="B99" s="80">
        <v>10307</v>
      </c>
      <c r="C99" s="80" t="s">
        <v>144</v>
      </c>
      <c r="D99" s="84">
        <v>0.009685</v>
      </c>
      <c r="E99" s="84">
        <v>0.0096968</v>
      </c>
      <c r="F99" s="84">
        <v>0.009685</v>
      </c>
      <c r="G99" s="84">
        <v>0.0096968</v>
      </c>
      <c r="H99" s="84">
        <v>0</v>
      </c>
      <c r="I99" s="84">
        <v>0</v>
      </c>
      <c r="J99" s="85">
        <v>70.83</v>
      </c>
      <c r="K99" s="85">
        <v>67.261</v>
      </c>
      <c r="L99" s="85">
        <v>67.343</v>
      </c>
      <c r="M99" s="86">
        <v>0</v>
      </c>
      <c r="N99" s="87">
        <f t="shared" si="8"/>
        <v>0</v>
      </c>
      <c r="O99"/>
      <c r="P99"/>
      <c r="Q99" s="88"/>
      <c r="R99" s="88"/>
      <c r="S99" s="88"/>
      <c r="T99" s="88"/>
      <c r="U99" s="88"/>
      <c r="V99" s="88"/>
      <c r="W99" s="88"/>
    </row>
    <row r="100" spans="2:23" ht="15">
      <c r="B100" s="80">
        <v>10326</v>
      </c>
      <c r="C100" s="80" t="s">
        <v>145</v>
      </c>
      <c r="D100" s="84">
        <v>0.0041261</v>
      </c>
      <c r="E100" s="84">
        <v>0.0041261</v>
      </c>
      <c r="F100" s="84">
        <v>0.0041261</v>
      </c>
      <c r="G100" s="84">
        <v>0.0041261</v>
      </c>
      <c r="H100" s="84">
        <v>0</v>
      </c>
      <c r="I100" s="84">
        <v>0</v>
      </c>
      <c r="J100" s="85">
        <v>29.971</v>
      </c>
      <c r="K100" s="85">
        <v>28.655</v>
      </c>
      <c r="L100" s="85">
        <v>28.655</v>
      </c>
      <c r="M100" s="86">
        <v>0</v>
      </c>
      <c r="N100" s="87">
        <f t="shared" si="8"/>
        <v>0</v>
      </c>
      <c r="O100"/>
      <c r="P100"/>
      <c r="Q100" s="88"/>
      <c r="R100" s="88"/>
      <c r="S100" s="88"/>
      <c r="T100" s="88"/>
      <c r="U100" s="88"/>
      <c r="V100" s="88"/>
      <c r="W100" s="88"/>
    </row>
    <row r="101" spans="2:23" ht="15">
      <c r="B101" s="80">
        <v>10331</v>
      </c>
      <c r="C101" s="80" t="s">
        <v>146</v>
      </c>
      <c r="D101" s="84">
        <v>0.0051859</v>
      </c>
      <c r="E101" s="84">
        <v>0.0051859</v>
      </c>
      <c r="F101" s="84">
        <v>0.0051859</v>
      </c>
      <c r="G101" s="84">
        <v>0.0051859</v>
      </c>
      <c r="H101" s="84">
        <v>0</v>
      </c>
      <c r="I101" s="84">
        <v>0</v>
      </c>
      <c r="J101" s="85">
        <v>36.015</v>
      </c>
      <c r="K101" s="85">
        <v>36.015</v>
      </c>
      <c r="L101" s="85">
        <v>36.015</v>
      </c>
      <c r="M101" s="86">
        <v>0.07016</v>
      </c>
      <c r="N101" s="87">
        <f t="shared" si="8"/>
        <v>0</v>
      </c>
      <c r="O101"/>
      <c r="P101"/>
      <c r="Q101" s="88"/>
      <c r="R101" s="88"/>
      <c r="S101" s="88"/>
      <c r="T101" s="88"/>
      <c r="U101" s="88"/>
      <c r="V101" s="88"/>
      <c r="W101" s="88"/>
    </row>
    <row r="102" spans="2:23" ht="15">
      <c r="B102" s="80">
        <v>10333</v>
      </c>
      <c r="C102" s="80" t="s">
        <v>147</v>
      </c>
      <c r="D102" s="84">
        <v>0.0026232</v>
      </c>
      <c r="E102" s="84">
        <v>0.0026232</v>
      </c>
      <c r="F102" s="84">
        <v>0.0026232</v>
      </c>
      <c r="G102" s="84">
        <v>0.0026232</v>
      </c>
      <c r="H102" s="84">
        <v>0</v>
      </c>
      <c r="I102" s="84">
        <v>0</v>
      </c>
      <c r="J102" s="85">
        <v>18.218</v>
      </c>
      <c r="K102" s="85">
        <v>18.218</v>
      </c>
      <c r="L102" s="85">
        <v>18.218</v>
      </c>
      <c r="M102" s="86">
        <v>0.0674</v>
      </c>
      <c r="N102" s="87">
        <f t="shared" si="8"/>
        <v>0</v>
      </c>
      <c r="O102"/>
      <c r="P102"/>
      <c r="Q102" s="88"/>
      <c r="R102" s="88"/>
      <c r="S102" s="88"/>
      <c r="T102" s="88"/>
      <c r="U102" s="88"/>
      <c r="V102" s="88"/>
      <c r="W102" s="88"/>
    </row>
    <row r="103" spans="2:23" ht="15">
      <c r="B103" s="80">
        <v>10338</v>
      </c>
      <c r="C103" s="80" t="s">
        <v>148</v>
      </c>
      <c r="D103" s="84">
        <v>0.0003362</v>
      </c>
      <c r="E103" s="84">
        <v>0.0003362</v>
      </c>
      <c r="F103" s="84">
        <v>0.0003362</v>
      </c>
      <c r="G103" s="84">
        <v>0.0003362</v>
      </c>
      <c r="H103" s="84">
        <v>0</v>
      </c>
      <c r="I103" s="84">
        <v>0</v>
      </c>
      <c r="J103" s="85">
        <v>2.335</v>
      </c>
      <c r="K103" s="85">
        <v>2.335</v>
      </c>
      <c r="L103" s="85">
        <v>2.335</v>
      </c>
      <c r="M103" s="86">
        <v>0.03617</v>
      </c>
      <c r="N103" s="87">
        <f>G103*$AD$3*$R$19*M103</f>
        <v>0</v>
      </c>
      <c r="O103"/>
      <c r="P103"/>
      <c r="Q103" s="88"/>
      <c r="R103" s="88"/>
      <c r="S103" s="88"/>
      <c r="T103" s="88"/>
      <c r="U103" s="88"/>
      <c r="V103" s="88"/>
      <c r="W103" s="88"/>
    </row>
    <row r="104" spans="2:23" ht="15">
      <c r="B104" s="80">
        <v>10342</v>
      </c>
      <c r="C104" s="80" t="s">
        <v>149</v>
      </c>
      <c r="D104" s="84">
        <v>0.0053838</v>
      </c>
      <c r="E104" s="84">
        <v>0.0053974</v>
      </c>
      <c r="F104" s="84">
        <v>0.0053838</v>
      </c>
      <c r="G104" s="84">
        <v>0.0053974</v>
      </c>
      <c r="H104" s="84">
        <v>0</v>
      </c>
      <c r="I104" s="84">
        <v>0</v>
      </c>
      <c r="J104" s="85">
        <v>38.07</v>
      </c>
      <c r="K104" s="85">
        <v>37.39</v>
      </c>
      <c r="L104" s="85">
        <v>37.484</v>
      </c>
      <c r="M104" s="86">
        <v>0</v>
      </c>
      <c r="N104" s="87">
        <f>G104*$AD$3*$R$19*M104</f>
        <v>0</v>
      </c>
      <c r="O104"/>
      <c r="P104"/>
      <c r="Q104" s="88"/>
      <c r="R104" s="88"/>
      <c r="S104" s="88"/>
      <c r="T104" s="88"/>
      <c r="U104" s="88"/>
      <c r="V104" s="88"/>
      <c r="W104" s="88"/>
    </row>
    <row r="105" spans="2:23" ht="15">
      <c r="B105" s="80">
        <v>10343</v>
      </c>
      <c r="C105" s="80" t="s">
        <v>150</v>
      </c>
      <c r="D105" s="84">
        <v>0.0016365</v>
      </c>
      <c r="E105" s="84">
        <v>0.0016365</v>
      </c>
      <c r="F105" s="84">
        <v>0.0016365</v>
      </c>
      <c r="G105" s="84">
        <v>0.0016365</v>
      </c>
      <c r="H105" s="84">
        <v>0</v>
      </c>
      <c r="I105" s="84">
        <v>0</v>
      </c>
      <c r="J105" s="85">
        <v>30.885</v>
      </c>
      <c r="K105" s="85">
        <v>11.365</v>
      </c>
      <c r="L105" s="85">
        <v>11.365</v>
      </c>
      <c r="M105" s="86">
        <v>0.07</v>
      </c>
      <c r="N105" s="87">
        <f aca="true" t="shared" si="9" ref="N105">G105*$AD$3*$R$19*M105</f>
        <v>0</v>
      </c>
      <c r="O105"/>
      <c r="P105"/>
      <c r="Q105" s="88"/>
      <c r="R105" s="88"/>
      <c r="S105" s="88"/>
      <c r="T105" s="88"/>
      <c r="U105" s="88"/>
      <c r="V105" s="88"/>
      <c r="W105" s="88"/>
    </row>
    <row r="106" spans="2:23" ht="15">
      <c r="B106" s="80">
        <v>10349</v>
      </c>
      <c r="C106" s="80" t="s">
        <v>151</v>
      </c>
      <c r="D106" s="84">
        <v>0.0729188</v>
      </c>
      <c r="E106" s="84">
        <v>0.0729188</v>
      </c>
      <c r="F106" s="84">
        <v>0.0729188</v>
      </c>
      <c r="G106" s="84">
        <v>0.0729188</v>
      </c>
      <c r="H106" s="84">
        <v>0</v>
      </c>
      <c r="I106" s="84">
        <v>0</v>
      </c>
      <c r="J106" s="85">
        <v>515.503</v>
      </c>
      <c r="K106" s="85">
        <v>506.41</v>
      </c>
      <c r="L106" s="85">
        <v>506.41</v>
      </c>
      <c r="M106" s="86">
        <v>0</v>
      </c>
      <c r="N106" s="87">
        <f>G106*$AD$3*$R$19*M106</f>
        <v>0</v>
      </c>
      <c r="O106"/>
      <c r="P106"/>
      <c r="Q106" s="88"/>
      <c r="R106" s="88"/>
      <c r="S106" s="88"/>
      <c r="T106" s="88"/>
      <c r="U106" s="88"/>
      <c r="V106" s="88"/>
      <c r="W106" s="88"/>
    </row>
    <row r="107" spans="2:23" ht="15">
      <c r="B107" s="80">
        <v>10352</v>
      </c>
      <c r="C107" s="80" t="s">
        <v>152</v>
      </c>
      <c r="D107" s="84">
        <v>0.0021956</v>
      </c>
      <c r="E107" s="84">
        <v>0.0021999</v>
      </c>
      <c r="F107" s="84">
        <v>0.0021956</v>
      </c>
      <c r="G107" s="84">
        <v>0.0021999</v>
      </c>
      <c r="H107" s="84">
        <v>0</v>
      </c>
      <c r="I107" s="84">
        <v>0</v>
      </c>
      <c r="J107" s="85">
        <v>15.651</v>
      </c>
      <c r="K107" s="85">
        <v>15.248</v>
      </c>
      <c r="L107" s="85">
        <v>15.278</v>
      </c>
      <c r="M107" s="86">
        <v>0.045</v>
      </c>
      <c r="N107" s="87">
        <f aca="true" t="shared" si="10" ref="N107">G107*$AD$3*$R$19*M107</f>
        <v>0</v>
      </c>
      <c r="O107"/>
      <c r="P107"/>
      <c r="Q107" s="88"/>
      <c r="R107" s="88"/>
      <c r="S107" s="88"/>
      <c r="T107" s="88"/>
      <c r="U107" s="88"/>
      <c r="V107" s="88"/>
      <c r="W107" s="88"/>
    </row>
    <row r="108" spans="2:23" ht="15">
      <c r="B108" s="80">
        <v>10354</v>
      </c>
      <c r="C108" s="80" t="s">
        <v>153</v>
      </c>
      <c r="D108" s="84">
        <v>0.1042232</v>
      </c>
      <c r="E108" s="84">
        <v>0.1051112</v>
      </c>
      <c r="F108" s="84">
        <v>0.049830400000000004</v>
      </c>
      <c r="G108" s="84">
        <v>0.050718400000000004</v>
      </c>
      <c r="H108" s="84">
        <v>0.0543928</v>
      </c>
      <c r="I108" s="84">
        <v>0.0543928</v>
      </c>
      <c r="J108" s="85">
        <v>786.245</v>
      </c>
      <c r="K108" s="85">
        <v>723.814</v>
      </c>
      <c r="L108" s="85">
        <v>729.981</v>
      </c>
      <c r="M108" s="86">
        <v>0</v>
      </c>
      <c r="N108" s="87">
        <f>G108*$AD$3*$R$19*M108</f>
        <v>0</v>
      </c>
      <c r="O108"/>
      <c r="P108"/>
      <c r="Q108" s="88"/>
      <c r="R108" s="88"/>
      <c r="S108" s="88"/>
      <c r="T108" s="88"/>
      <c r="U108" s="88"/>
      <c r="V108" s="88"/>
      <c r="W108" s="88"/>
    </row>
    <row r="109" spans="2:23" ht="15">
      <c r="B109" s="80">
        <v>10360</v>
      </c>
      <c r="C109" s="80" t="s">
        <v>154</v>
      </c>
      <c r="D109" s="84">
        <v>0.0009586</v>
      </c>
      <c r="E109" s="84">
        <v>0.0009586</v>
      </c>
      <c r="F109" s="84">
        <v>0.0009586</v>
      </c>
      <c r="G109" s="84">
        <v>0.0009586</v>
      </c>
      <c r="H109" s="84">
        <v>0</v>
      </c>
      <c r="I109" s="84">
        <v>0</v>
      </c>
      <c r="J109" s="85">
        <v>6.657</v>
      </c>
      <c r="K109" s="85">
        <v>6.657</v>
      </c>
      <c r="L109" s="85">
        <v>6.657</v>
      </c>
      <c r="M109" s="86">
        <v>0.04722</v>
      </c>
      <c r="N109" s="87">
        <f aca="true" t="shared" si="11" ref="N109">G109*$AD$3*$R$19*M109</f>
        <v>0</v>
      </c>
      <c r="O109"/>
      <c r="P109"/>
      <c r="Q109" s="88"/>
      <c r="R109" s="88"/>
      <c r="S109" s="88"/>
      <c r="T109" s="88"/>
      <c r="U109" s="88"/>
      <c r="V109" s="88"/>
      <c r="W109" s="88"/>
    </row>
    <row r="110" spans="2:23" ht="15">
      <c r="B110" s="80">
        <v>10363</v>
      </c>
      <c r="C110" s="80" t="s">
        <v>155</v>
      </c>
      <c r="D110" s="84">
        <v>0.0135911</v>
      </c>
      <c r="E110" s="84">
        <v>0.0136251</v>
      </c>
      <c r="F110" s="84">
        <v>0.0135911</v>
      </c>
      <c r="G110" s="84">
        <v>0.0136251</v>
      </c>
      <c r="H110" s="84">
        <v>0</v>
      </c>
      <c r="I110" s="84">
        <v>0</v>
      </c>
      <c r="J110" s="85">
        <v>99.089</v>
      </c>
      <c r="K110" s="85">
        <v>94.388</v>
      </c>
      <c r="L110" s="85">
        <v>94.624</v>
      </c>
      <c r="M110" s="86">
        <v>0</v>
      </c>
      <c r="N110" s="87">
        <f>G110*$AD$3*$R$19*M110</f>
        <v>0</v>
      </c>
      <c r="O110"/>
      <c r="P110"/>
      <c r="Q110" s="88"/>
      <c r="R110" s="88"/>
      <c r="S110" s="88"/>
      <c r="T110" s="88"/>
      <c r="U110" s="88"/>
      <c r="V110" s="88"/>
      <c r="W110" s="88"/>
    </row>
    <row r="111" spans="2:23" ht="15">
      <c r="B111" s="80">
        <v>10369</v>
      </c>
      <c r="C111" s="80" t="s">
        <v>156</v>
      </c>
      <c r="D111" s="84">
        <v>0.0023281</v>
      </c>
      <c r="E111" s="84">
        <v>0.0023281</v>
      </c>
      <c r="F111" s="84">
        <v>0.0023281</v>
      </c>
      <c r="G111" s="84">
        <v>0.0023281</v>
      </c>
      <c r="H111" s="84">
        <v>0</v>
      </c>
      <c r="I111" s="84">
        <v>0</v>
      </c>
      <c r="J111" s="85">
        <v>16.168</v>
      </c>
      <c r="K111" s="85">
        <v>16.168</v>
      </c>
      <c r="L111" s="85">
        <v>16.168</v>
      </c>
      <c r="M111" s="86">
        <v>0.07306</v>
      </c>
      <c r="N111" s="87">
        <f aca="true" t="shared" si="12" ref="N111:N136">G111*$AD$3*$R$19*M111</f>
        <v>0</v>
      </c>
      <c r="O111"/>
      <c r="P111"/>
      <c r="Q111" s="88"/>
      <c r="R111" s="88"/>
      <c r="S111" s="88"/>
      <c r="T111" s="88"/>
      <c r="U111" s="88"/>
      <c r="V111" s="88"/>
      <c r="W111" s="88"/>
    </row>
    <row r="112" spans="2:23" ht="15">
      <c r="B112" s="80">
        <v>10370</v>
      </c>
      <c r="C112" s="80" t="s">
        <v>157</v>
      </c>
      <c r="D112" s="84">
        <v>0.0549423</v>
      </c>
      <c r="E112" s="84">
        <v>0.0549423</v>
      </c>
      <c r="F112" s="84">
        <v>0.0253154</v>
      </c>
      <c r="G112" s="84">
        <v>0.0253154</v>
      </c>
      <c r="H112" s="84">
        <v>0.0296269</v>
      </c>
      <c r="I112" s="84">
        <v>0.0296269</v>
      </c>
      <c r="J112" s="85">
        <v>395.932</v>
      </c>
      <c r="K112" s="85">
        <v>381.566</v>
      </c>
      <c r="L112" s="85">
        <v>381.566</v>
      </c>
      <c r="M112" s="86">
        <v>0</v>
      </c>
      <c r="N112" s="87">
        <f t="shared" si="12"/>
        <v>0</v>
      </c>
      <c r="O112"/>
      <c r="P112"/>
      <c r="Q112" s="88"/>
      <c r="R112" s="88"/>
      <c r="S112" s="88"/>
      <c r="T112" s="88"/>
      <c r="U112" s="88"/>
      <c r="V112" s="88"/>
      <c r="W112" s="88"/>
    </row>
    <row r="113" spans="2:23" ht="15">
      <c r="B113" s="80">
        <v>10371</v>
      </c>
      <c r="C113" s="80" t="s">
        <v>158</v>
      </c>
      <c r="D113" s="84">
        <v>0.001563</v>
      </c>
      <c r="E113" s="84">
        <v>0.001563</v>
      </c>
      <c r="F113" s="84">
        <v>0.001563</v>
      </c>
      <c r="G113" s="84">
        <v>0.001563</v>
      </c>
      <c r="H113" s="84">
        <v>0</v>
      </c>
      <c r="I113" s="84">
        <v>0</v>
      </c>
      <c r="J113" s="85">
        <v>10.855</v>
      </c>
      <c r="K113" s="85">
        <v>10.855</v>
      </c>
      <c r="L113" s="85">
        <v>10.855</v>
      </c>
      <c r="M113" s="86">
        <v>0</v>
      </c>
      <c r="N113" s="87">
        <f t="shared" si="12"/>
        <v>0</v>
      </c>
      <c r="O113"/>
      <c r="P113"/>
      <c r="Q113" s="88"/>
      <c r="R113" s="88"/>
      <c r="S113" s="88"/>
      <c r="T113" s="88"/>
      <c r="U113" s="88"/>
      <c r="V113" s="88"/>
      <c r="W113" s="88"/>
    </row>
    <row r="114" spans="2:23" ht="15">
      <c r="B114" s="80">
        <v>10376</v>
      </c>
      <c r="C114" s="80" t="s">
        <v>159</v>
      </c>
      <c r="D114" s="84">
        <v>0.0078108</v>
      </c>
      <c r="E114" s="84">
        <v>0.0078303</v>
      </c>
      <c r="F114" s="84">
        <v>0.0078108</v>
      </c>
      <c r="G114" s="84">
        <v>0.0078303</v>
      </c>
      <c r="H114" s="84">
        <v>0</v>
      </c>
      <c r="I114" s="84">
        <v>0</v>
      </c>
      <c r="J114" s="85">
        <v>55.13</v>
      </c>
      <c r="K114" s="85">
        <v>54.245</v>
      </c>
      <c r="L114" s="85">
        <v>54.38</v>
      </c>
      <c r="M114" s="86">
        <v>0</v>
      </c>
      <c r="N114" s="87">
        <f t="shared" si="12"/>
        <v>0</v>
      </c>
      <c r="O114"/>
      <c r="P114"/>
      <c r="Q114" s="88"/>
      <c r="R114" s="88"/>
      <c r="S114" s="88"/>
      <c r="T114" s="88"/>
      <c r="U114" s="88"/>
      <c r="V114" s="88"/>
      <c r="W114" s="88"/>
    </row>
    <row r="115" spans="2:23" ht="15">
      <c r="B115" s="80">
        <v>10378</v>
      </c>
      <c r="C115" s="80" t="s">
        <v>160</v>
      </c>
      <c r="D115" s="84">
        <v>0.0002711</v>
      </c>
      <c r="E115" s="84">
        <v>0.0002732</v>
      </c>
      <c r="F115" s="84">
        <v>0.0002711</v>
      </c>
      <c r="G115" s="84">
        <v>0.0002732</v>
      </c>
      <c r="H115" s="84">
        <v>0</v>
      </c>
      <c r="I115" s="84">
        <v>0</v>
      </c>
      <c r="J115" s="85">
        <v>1.988</v>
      </c>
      <c r="K115" s="85">
        <v>1.883</v>
      </c>
      <c r="L115" s="85">
        <v>1.897</v>
      </c>
      <c r="M115" s="86">
        <v>0</v>
      </c>
      <c r="N115" s="87">
        <f t="shared" si="12"/>
        <v>0</v>
      </c>
      <c r="O115"/>
      <c r="P115"/>
      <c r="Q115" s="88"/>
      <c r="R115" s="88"/>
      <c r="S115" s="88"/>
      <c r="T115" s="88"/>
      <c r="U115" s="88"/>
      <c r="V115" s="88"/>
      <c r="W115" s="88"/>
    </row>
    <row r="116" spans="2:23" ht="15">
      <c r="B116" s="80">
        <v>10379</v>
      </c>
      <c r="C116" s="80" t="s">
        <v>161</v>
      </c>
      <c r="D116" s="84">
        <v>0.0006769</v>
      </c>
      <c r="E116" s="84">
        <v>0.0006804</v>
      </c>
      <c r="F116" s="84">
        <v>0.0006769</v>
      </c>
      <c r="G116" s="84">
        <v>0.0006804</v>
      </c>
      <c r="H116" s="84">
        <v>0</v>
      </c>
      <c r="I116" s="84">
        <v>0</v>
      </c>
      <c r="J116" s="85">
        <v>4.731</v>
      </c>
      <c r="K116" s="85">
        <v>4.701</v>
      </c>
      <c r="L116" s="85">
        <v>4.725</v>
      </c>
      <c r="M116" s="86">
        <v>0</v>
      </c>
      <c r="N116" s="87">
        <f t="shared" si="12"/>
        <v>0</v>
      </c>
      <c r="O116"/>
      <c r="P116"/>
      <c r="Q116" s="88"/>
      <c r="R116" s="88"/>
      <c r="S116" s="88"/>
      <c r="T116" s="88"/>
      <c r="U116" s="88"/>
      <c r="V116" s="88"/>
      <c r="W116" s="88"/>
    </row>
    <row r="117" spans="2:23" ht="15">
      <c r="B117" s="80">
        <v>10388</v>
      </c>
      <c r="C117" s="80" t="s">
        <v>162</v>
      </c>
      <c r="D117" s="84">
        <v>0.0160415</v>
      </c>
      <c r="E117" s="84">
        <v>0.0160415</v>
      </c>
      <c r="F117" s="84">
        <v>0.0160415</v>
      </c>
      <c r="G117" s="84">
        <v>0.0160415</v>
      </c>
      <c r="H117" s="84">
        <v>0</v>
      </c>
      <c r="I117" s="84">
        <v>0</v>
      </c>
      <c r="J117" s="85">
        <v>111.406</v>
      </c>
      <c r="K117" s="85">
        <v>111.406</v>
      </c>
      <c r="L117" s="85">
        <v>111.406</v>
      </c>
      <c r="M117" s="86">
        <v>0.08938</v>
      </c>
      <c r="N117" s="87">
        <f t="shared" si="12"/>
        <v>0</v>
      </c>
      <c r="O117"/>
      <c r="P117"/>
      <c r="Q117" s="88"/>
      <c r="R117" s="88"/>
      <c r="S117" s="88"/>
      <c r="T117" s="88"/>
      <c r="U117" s="88"/>
      <c r="V117" s="88"/>
      <c r="W117" s="88"/>
    </row>
    <row r="118" spans="2:23" ht="15">
      <c r="B118" s="80">
        <v>10391</v>
      </c>
      <c r="C118" s="80" t="s">
        <v>163</v>
      </c>
      <c r="D118" s="84">
        <v>0.0042472</v>
      </c>
      <c r="E118" s="84">
        <v>0.0042472</v>
      </c>
      <c r="F118" s="84">
        <v>0.0042472</v>
      </c>
      <c r="G118" s="84">
        <v>0.0042472</v>
      </c>
      <c r="H118" s="84">
        <v>0</v>
      </c>
      <c r="I118" s="84">
        <v>0</v>
      </c>
      <c r="J118" s="85">
        <v>29.496</v>
      </c>
      <c r="K118" s="85">
        <v>29.496</v>
      </c>
      <c r="L118" s="85">
        <v>29.496</v>
      </c>
      <c r="M118" s="86">
        <v>0.03615</v>
      </c>
      <c r="N118" s="87">
        <f t="shared" si="12"/>
        <v>0</v>
      </c>
      <c r="O118"/>
      <c r="P118"/>
      <c r="Q118" s="88"/>
      <c r="R118" s="88"/>
      <c r="S118" s="88"/>
      <c r="T118" s="88"/>
      <c r="U118" s="88"/>
      <c r="V118" s="88"/>
      <c r="W118" s="88"/>
    </row>
    <row r="119" spans="2:23" ht="15">
      <c r="B119" s="80">
        <v>10406</v>
      </c>
      <c r="C119" s="80" t="s">
        <v>164</v>
      </c>
      <c r="D119" s="84">
        <v>6.49E-05</v>
      </c>
      <c r="E119" s="84">
        <v>6.49E-05</v>
      </c>
      <c r="F119" s="84">
        <v>6.49E-05</v>
      </c>
      <c r="G119" s="84">
        <v>6.49E-05</v>
      </c>
      <c r="H119" s="84">
        <v>0</v>
      </c>
      <c r="I119" s="84">
        <v>0</v>
      </c>
      <c r="J119" s="85">
        <v>0.451</v>
      </c>
      <c r="K119" s="85">
        <v>0.451</v>
      </c>
      <c r="L119" s="85">
        <v>0.451</v>
      </c>
      <c r="M119" s="86">
        <v>0</v>
      </c>
      <c r="N119" s="87">
        <f t="shared" si="12"/>
        <v>0</v>
      </c>
      <c r="O119"/>
      <c r="P119"/>
      <c r="Q119" s="88"/>
      <c r="R119" s="88"/>
      <c r="S119" s="88"/>
      <c r="T119" s="88"/>
      <c r="U119" s="88"/>
      <c r="V119" s="88"/>
      <c r="W119" s="88"/>
    </row>
    <row r="120" spans="2:23" ht="15">
      <c r="B120" s="80">
        <v>10408</v>
      </c>
      <c r="C120" s="80" t="s">
        <v>165</v>
      </c>
      <c r="D120" s="84">
        <v>0.0002078</v>
      </c>
      <c r="E120" s="84">
        <v>0.0002078</v>
      </c>
      <c r="F120" s="84">
        <v>0.0002078</v>
      </c>
      <c r="G120" s="84">
        <v>0.0002078</v>
      </c>
      <c r="H120" s="84">
        <v>0</v>
      </c>
      <c r="I120" s="84">
        <v>0</v>
      </c>
      <c r="J120" s="85">
        <v>1.503</v>
      </c>
      <c r="K120" s="85">
        <v>1.443</v>
      </c>
      <c r="L120" s="85">
        <v>1.443</v>
      </c>
      <c r="M120" s="86">
        <v>0</v>
      </c>
      <c r="N120" s="87">
        <f t="shared" si="12"/>
        <v>0</v>
      </c>
      <c r="O120"/>
      <c r="P120"/>
      <c r="Q120" s="88"/>
      <c r="R120" s="88"/>
      <c r="S120" s="88"/>
      <c r="T120" s="88"/>
      <c r="U120" s="88"/>
      <c r="V120" s="88"/>
      <c r="W120" s="88"/>
    </row>
    <row r="121" spans="2:23" ht="15">
      <c r="B121" s="80">
        <v>10409</v>
      </c>
      <c r="C121" s="80" t="s">
        <v>166</v>
      </c>
      <c r="D121" s="84">
        <v>0.0028021</v>
      </c>
      <c r="E121" s="84">
        <v>0.002806</v>
      </c>
      <c r="F121" s="84">
        <v>0.0028021</v>
      </c>
      <c r="G121" s="84">
        <v>0.002806</v>
      </c>
      <c r="H121" s="84">
        <v>0</v>
      </c>
      <c r="I121" s="84">
        <v>0</v>
      </c>
      <c r="J121" s="85">
        <v>20.094</v>
      </c>
      <c r="K121" s="85">
        <v>19.46</v>
      </c>
      <c r="L121" s="85">
        <v>19.487</v>
      </c>
      <c r="M121" s="86">
        <v>0</v>
      </c>
      <c r="N121" s="87">
        <f t="shared" si="12"/>
        <v>0</v>
      </c>
      <c r="O121"/>
      <c r="P121"/>
      <c r="Q121" s="88"/>
      <c r="R121" s="88"/>
      <c r="S121" s="88"/>
      <c r="T121" s="88"/>
      <c r="U121" s="88"/>
      <c r="V121" s="88"/>
      <c r="W121" s="88"/>
    </row>
    <row r="122" spans="2:23" ht="15">
      <c r="B122" s="80">
        <v>10426</v>
      </c>
      <c r="C122" s="80" t="s">
        <v>167</v>
      </c>
      <c r="D122" s="84">
        <v>0.002608</v>
      </c>
      <c r="E122" s="84">
        <v>0.0024379</v>
      </c>
      <c r="F122" s="84">
        <v>0.002608</v>
      </c>
      <c r="G122" s="84">
        <v>0.0024379</v>
      </c>
      <c r="H122" s="84">
        <v>0</v>
      </c>
      <c r="I122" s="84">
        <v>0</v>
      </c>
      <c r="J122" s="85">
        <v>30.794</v>
      </c>
      <c r="K122" s="85">
        <v>18.112</v>
      </c>
      <c r="L122" s="85">
        <v>16.931</v>
      </c>
      <c r="M122" s="86">
        <v>0</v>
      </c>
      <c r="N122" s="87">
        <f t="shared" si="12"/>
        <v>0</v>
      </c>
      <c r="O122"/>
      <c r="P122"/>
      <c r="Q122" s="88"/>
      <c r="R122" s="88"/>
      <c r="S122" s="88"/>
      <c r="T122" s="88"/>
      <c r="U122" s="88"/>
      <c r="V122" s="88"/>
      <c r="W122" s="88"/>
    </row>
    <row r="123" spans="2:23" ht="15">
      <c r="B123" s="80">
        <v>10434</v>
      </c>
      <c r="C123" s="80" t="s">
        <v>168</v>
      </c>
      <c r="D123" s="84">
        <v>0.0038476</v>
      </c>
      <c r="E123" s="84">
        <v>0.0038476</v>
      </c>
      <c r="F123" s="84">
        <v>0.0038476</v>
      </c>
      <c r="G123" s="84">
        <v>0.0038476</v>
      </c>
      <c r="H123" s="84">
        <v>0</v>
      </c>
      <c r="I123" s="84">
        <v>0</v>
      </c>
      <c r="J123" s="85">
        <v>26.721</v>
      </c>
      <c r="K123" s="85">
        <v>26.721</v>
      </c>
      <c r="L123" s="85">
        <v>26.721</v>
      </c>
      <c r="M123" s="86">
        <v>0</v>
      </c>
      <c r="N123" s="87">
        <f t="shared" si="12"/>
        <v>0</v>
      </c>
      <c r="O123"/>
      <c r="P123"/>
      <c r="Q123" s="88"/>
      <c r="R123" s="88"/>
      <c r="S123" s="88"/>
      <c r="T123" s="88"/>
      <c r="U123" s="88"/>
      <c r="V123" s="88"/>
      <c r="W123" s="88"/>
    </row>
    <row r="124" spans="2:23" ht="15">
      <c r="B124" s="80">
        <v>10436</v>
      </c>
      <c r="C124" s="80" t="s">
        <v>169</v>
      </c>
      <c r="D124" s="84">
        <v>0.0027135</v>
      </c>
      <c r="E124" s="84">
        <v>0.0027135</v>
      </c>
      <c r="F124" s="84">
        <v>0.0027135</v>
      </c>
      <c r="G124" s="84">
        <v>0.0027135</v>
      </c>
      <c r="H124" s="84">
        <v>0</v>
      </c>
      <c r="I124" s="84">
        <v>0</v>
      </c>
      <c r="J124" s="85">
        <v>18.845</v>
      </c>
      <c r="K124" s="85">
        <v>18.845</v>
      </c>
      <c r="L124" s="85">
        <v>18.845</v>
      </c>
      <c r="M124" s="86">
        <v>0.07557</v>
      </c>
      <c r="N124" s="87">
        <f t="shared" si="12"/>
        <v>0</v>
      </c>
      <c r="O124"/>
      <c r="P124"/>
      <c r="Q124" s="88"/>
      <c r="R124" s="88"/>
      <c r="S124" s="88"/>
      <c r="T124" s="88"/>
      <c r="U124" s="88"/>
      <c r="V124" s="88"/>
      <c r="W124" s="88"/>
    </row>
    <row r="125" spans="2:23" ht="15">
      <c r="B125" s="80">
        <v>10440</v>
      </c>
      <c r="C125" s="80" t="s">
        <v>170</v>
      </c>
      <c r="D125" s="84">
        <v>0.000707</v>
      </c>
      <c r="E125" s="84">
        <v>0.000707</v>
      </c>
      <c r="F125" s="84">
        <v>0.000707</v>
      </c>
      <c r="G125" s="84">
        <v>0.000707</v>
      </c>
      <c r="H125" s="84">
        <v>0</v>
      </c>
      <c r="I125" s="84">
        <v>0</v>
      </c>
      <c r="J125" s="85">
        <v>4.925</v>
      </c>
      <c r="K125" s="85">
        <v>4.91</v>
      </c>
      <c r="L125" s="85">
        <v>4.91</v>
      </c>
      <c r="M125" s="86">
        <v>0.055</v>
      </c>
      <c r="N125" s="87">
        <f t="shared" si="12"/>
        <v>0</v>
      </c>
      <c r="O125"/>
      <c r="P125"/>
      <c r="Q125" s="88"/>
      <c r="R125" s="88"/>
      <c r="S125" s="88"/>
      <c r="T125" s="88"/>
      <c r="U125" s="88"/>
      <c r="V125" s="88"/>
      <c r="W125" s="88"/>
    </row>
    <row r="126" spans="2:23" ht="15">
      <c r="B126" s="80">
        <v>10442</v>
      </c>
      <c r="C126" s="80" t="s">
        <v>171</v>
      </c>
      <c r="D126" s="84">
        <v>0.0018791</v>
      </c>
      <c r="E126" s="84">
        <v>0.0018854</v>
      </c>
      <c r="F126" s="84">
        <v>0.0018791</v>
      </c>
      <c r="G126" s="84">
        <v>0.0018854</v>
      </c>
      <c r="H126" s="84">
        <v>0</v>
      </c>
      <c r="I126" s="84">
        <v>0</v>
      </c>
      <c r="J126" s="85">
        <v>13.181</v>
      </c>
      <c r="K126" s="85">
        <v>13.05</v>
      </c>
      <c r="L126" s="85">
        <v>13.094</v>
      </c>
      <c r="M126" s="86">
        <v>0.07</v>
      </c>
      <c r="N126" s="87">
        <f t="shared" si="12"/>
        <v>0</v>
      </c>
      <c r="O126"/>
      <c r="P126"/>
      <c r="Q126" s="88"/>
      <c r="R126" s="88"/>
      <c r="S126" s="88"/>
      <c r="T126" s="88"/>
      <c r="U126" s="88"/>
      <c r="V126" s="88"/>
      <c r="W126" s="88"/>
    </row>
    <row r="127" spans="2:23" ht="15">
      <c r="B127" s="80">
        <v>10446</v>
      </c>
      <c r="C127" s="80" t="s">
        <v>172</v>
      </c>
      <c r="D127" s="84">
        <v>0.0135689</v>
      </c>
      <c r="E127" s="84">
        <v>0.0135689</v>
      </c>
      <c r="F127" s="84">
        <v>0.0135689</v>
      </c>
      <c r="G127" s="84">
        <v>0.0135689</v>
      </c>
      <c r="H127" s="84">
        <v>0</v>
      </c>
      <c r="I127" s="84">
        <v>0</v>
      </c>
      <c r="J127" s="85">
        <v>94.234</v>
      </c>
      <c r="K127" s="85">
        <v>94.234</v>
      </c>
      <c r="L127" s="85">
        <v>94.234</v>
      </c>
      <c r="M127" s="86">
        <v>0.06708</v>
      </c>
      <c r="N127" s="87">
        <f t="shared" si="12"/>
        <v>0</v>
      </c>
      <c r="O127"/>
      <c r="P127"/>
      <c r="Q127" s="88"/>
      <c r="R127" s="88"/>
      <c r="S127" s="88"/>
      <c r="T127" s="88"/>
      <c r="U127" s="88"/>
      <c r="V127" s="88"/>
      <c r="W127" s="88"/>
    </row>
    <row r="128" spans="2:23" ht="15">
      <c r="B128" s="80">
        <v>10448</v>
      </c>
      <c r="C128" s="80" t="s">
        <v>173</v>
      </c>
      <c r="D128" s="84">
        <v>0.0011738</v>
      </c>
      <c r="E128" s="84">
        <v>0.0011738</v>
      </c>
      <c r="F128" s="84">
        <v>0.0011738</v>
      </c>
      <c r="G128" s="84">
        <v>0.0011738</v>
      </c>
      <c r="H128" s="84">
        <v>0</v>
      </c>
      <c r="I128" s="84">
        <v>0</v>
      </c>
      <c r="J128" s="85">
        <v>8.345</v>
      </c>
      <c r="K128" s="85">
        <v>8.152</v>
      </c>
      <c r="L128" s="85">
        <v>8.152</v>
      </c>
      <c r="M128" s="86">
        <v>0.07</v>
      </c>
      <c r="N128" s="87">
        <f t="shared" si="12"/>
        <v>0</v>
      </c>
      <c r="O128"/>
      <c r="P128"/>
      <c r="Q128" s="88"/>
      <c r="R128" s="88"/>
      <c r="S128" s="88"/>
      <c r="T128" s="88"/>
      <c r="U128" s="88"/>
      <c r="V128" s="88"/>
      <c r="W128" s="88"/>
    </row>
    <row r="129" spans="2:23" ht="15">
      <c r="B129" s="80">
        <v>10451</v>
      </c>
      <c r="C129" s="80" t="s">
        <v>174</v>
      </c>
      <c r="D129" s="84">
        <v>0.0037704</v>
      </c>
      <c r="E129" s="84">
        <v>0.0037704</v>
      </c>
      <c r="F129" s="84">
        <v>0.0037704</v>
      </c>
      <c r="G129" s="84">
        <v>0.0037704</v>
      </c>
      <c r="H129" s="84">
        <v>0</v>
      </c>
      <c r="I129" s="84">
        <v>0</v>
      </c>
      <c r="J129" s="85">
        <v>26.402</v>
      </c>
      <c r="K129" s="85">
        <v>26.185</v>
      </c>
      <c r="L129" s="85">
        <v>26.185</v>
      </c>
      <c r="M129" s="86">
        <v>0</v>
      </c>
      <c r="N129" s="87">
        <f t="shared" si="12"/>
        <v>0</v>
      </c>
      <c r="O129"/>
      <c r="P129"/>
      <c r="Q129" s="88"/>
      <c r="R129" s="88"/>
      <c r="S129" s="88"/>
      <c r="T129" s="88"/>
      <c r="U129" s="88"/>
      <c r="V129" s="88"/>
      <c r="W129" s="88"/>
    </row>
    <row r="130" spans="2:23" ht="15">
      <c r="B130" s="80">
        <v>10482</v>
      </c>
      <c r="C130" s="80" t="s">
        <v>175</v>
      </c>
      <c r="D130" s="84">
        <v>0.0003904</v>
      </c>
      <c r="E130" s="84">
        <v>0.0003904</v>
      </c>
      <c r="F130" s="84">
        <v>0.0003904</v>
      </c>
      <c r="G130" s="84">
        <v>0.0003904</v>
      </c>
      <c r="H130" s="84">
        <v>0</v>
      </c>
      <c r="I130" s="84">
        <v>0</v>
      </c>
      <c r="J130" s="85">
        <v>4.048</v>
      </c>
      <c r="K130" s="85">
        <v>2.711</v>
      </c>
      <c r="L130" s="85">
        <v>2.711</v>
      </c>
      <c r="M130" s="86">
        <v>0</v>
      </c>
      <c r="N130" s="87">
        <f t="shared" si="12"/>
        <v>0</v>
      </c>
      <c r="O130"/>
      <c r="P130"/>
      <c r="Q130" s="88"/>
      <c r="R130" s="88"/>
      <c r="S130" s="88"/>
      <c r="T130" s="88"/>
      <c r="U130" s="88"/>
      <c r="V130" s="88"/>
      <c r="W130" s="88"/>
    </row>
    <row r="131" spans="2:23" ht="15">
      <c r="B131" s="80">
        <v>10502</v>
      </c>
      <c r="C131" s="80" t="s">
        <v>176</v>
      </c>
      <c r="D131" s="84">
        <v>0.002391</v>
      </c>
      <c r="E131" s="84">
        <v>0.0025004</v>
      </c>
      <c r="F131" s="84">
        <v>0.002391</v>
      </c>
      <c r="G131" s="84">
        <v>0.0025004</v>
      </c>
      <c r="H131" s="84">
        <v>0</v>
      </c>
      <c r="I131" s="84">
        <v>0</v>
      </c>
      <c r="J131" s="85">
        <v>18.407</v>
      </c>
      <c r="K131" s="85">
        <v>16.605</v>
      </c>
      <c r="L131" s="85">
        <v>17.365</v>
      </c>
      <c r="M131" s="86">
        <v>0.07</v>
      </c>
      <c r="N131" s="87">
        <f t="shared" si="12"/>
        <v>0</v>
      </c>
      <c r="O131"/>
      <c r="P131"/>
      <c r="Q131" s="88"/>
      <c r="R131" s="88"/>
      <c r="S131" s="88"/>
      <c r="T131" s="88"/>
      <c r="U131" s="88"/>
      <c r="V131" s="88"/>
      <c r="W131" s="88"/>
    </row>
    <row r="132" spans="2:23" ht="15">
      <c r="B132" s="80">
        <v>13927</v>
      </c>
      <c r="C132" s="80" t="s">
        <v>177</v>
      </c>
      <c r="D132" s="84">
        <v>0.0005771</v>
      </c>
      <c r="E132" s="84">
        <v>0.0005771</v>
      </c>
      <c r="F132" s="84">
        <v>0.0005771</v>
      </c>
      <c r="G132" s="84">
        <v>0.0005771</v>
      </c>
      <c r="H132" s="84">
        <v>0</v>
      </c>
      <c r="I132" s="84">
        <v>0</v>
      </c>
      <c r="J132" s="85">
        <v>4.008</v>
      </c>
      <c r="K132" s="85">
        <v>4.008</v>
      </c>
      <c r="L132" s="85">
        <v>4.008</v>
      </c>
      <c r="M132" s="86">
        <v>0</v>
      </c>
      <c r="N132" s="87">
        <f t="shared" si="12"/>
        <v>0</v>
      </c>
      <c r="O132"/>
      <c r="P132"/>
      <c r="Q132" s="88"/>
      <c r="R132" s="88"/>
      <c r="S132" s="88"/>
      <c r="T132" s="88"/>
      <c r="U132" s="88"/>
      <c r="V132" s="88"/>
      <c r="W132" s="88"/>
    </row>
    <row r="133" spans="2:23" ht="15">
      <c r="B133" s="80">
        <v>10597</v>
      </c>
      <c r="C133" s="80" t="s">
        <v>178</v>
      </c>
      <c r="D133" s="84">
        <v>0.0017911</v>
      </c>
      <c r="E133" s="84">
        <v>0.0017911</v>
      </c>
      <c r="F133" s="84">
        <v>0.0017911</v>
      </c>
      <c r="G133" s="84">
        <v>0.0017911</v>
      </c>
      <c r="H133" s="84">
        <v>0</v>
      </c>
      <c r="I133" s="84">
        <v>0</v>
      </c>
      <c r="J133" s="85">
        <v>12.729</v>
      </c>
      <c r="K133" s="85">
        <v>12.439</v>
      </c>
      <c r="L133" s="85">
        <v>12.439</v>
      </c>
      <c r="M133" s="86">
        <v>0</v>
      </c>
      <c r="N133" s="87">
        <f t="shared" si="12"/>
        <v>0</v>
      </c>
      <c r="O133"/>
      <c r="P133"/>
      <c r="Q133" s="88"/>
      <c r="R133" s="88"/>
      <c r="S133" s="88"/>
      <c r="T133" s="88"/>
      <c r="U133" s="88"/>
      <c r="V133" s="88"/>
      <c r="W133" s="88"/>
    </row>
    <row r="134" spans="2:23" ht="15">
      <c r="B134" s="80">
        <v>10706</v>
      </c>
      <c r="C134" s="80" t="s">
        <v>179</v>
      </c>
      <c r="D134" s="84">
        <v>0.002448</v>
      </c>
      <c r="E134" s="84">
        <v>0.002448</v>
      </c>
      <c r="F134" s="84">
        <v>0.002448</v>
      </c>
      <c r="G134" s="84">
        <v>0.002448</v>
      </c>
      <c r="H134" s="84">
        <v>0</v>
      </c>
      <c r="I134" s="84">
        <v>0</v>
      </c>
      <c r="J134" s="85">
        <v>17.001</v>
      </c>
      <c r="K134" s="85">
        <v>17.001</v>
      </c>
      <c r="L134" s="85">
        <v>17.001</v>
      </c>
      <c r="M134" s="86">
        <v>0</v>
      </c>
      <c r="N134" s="87">
        <f t="shared" si="12"/>
        <v>0</v>
      </c>
      <c r="O134"/>
      <c r="P134"/>
      <c r="Q134" s="88"/>
      <c r="R134" s="88"/>
      <c r="S134" s="88"/>
      <c r="T134" s="88"/>
      <c r="U134" s="88"/>
      <c r="V134" s="88"/>
      <c r="W134" s="88"/>
    </row>
    <row r="135" spans="2:23" ht="15">
      <c r="B135" s="80">
        <v>11680</v>
      </c>
      <c r="C135" s="80" t="s">
        <v>180</v>
      </c>
      <c r="D135" s="84">
        <v>0.0008966</v>
      </c>
      <c r="E135" s="84">
        <v>0.0008966</v>
      </c>
      <c r="F135" s="84">
        <v>0.0008966</v>
      </c>
      <c r="G135" s="84">
        <v>0.0008966</v>
      </c>
      <c r="H135" s="84">
        <v>0</v>
      </c>
      <c r="I135" s="84">
        <v>0</v>
      </c>
      <c r="J135" s="85">
        <v>6.227</v>
      </c>
      <c r="K135" s="85">
        <v>6.227</v>
      </c>
      <c r="L135" s="85">
        <v>6.227</v>
      </c>
      <c r="M135" s="86">
        <v>0</v>
      </c>
      <c r="N135" s="87">
        <f t="shared" si="12"/>
        <v>0</v>
      </c>
      <c r="O135"/>
      <c r="P135"/>
      <c r="Q135" s="88"/>
      <c r="R135" s="88"/>
      <c r="S135" s="88"/>
      <c r="T135" s="88"/>
      <c r="U135" s="88"/>
      <c r="V135" s="88"/>
      <c r="W135" s="88"/>
    </row>
    <row r="136" spans="2:23" ht="15">
      <c r="B136" s="80">
        <v>12026</v>
      </c>
      <c r="C136" s="80" t="s">
        <v>181</v>
      </c>
      <c r="D136" s="84">
        <v>0.0063097</v>
      </c>
      <c r="E136" s="84">
        <v>0.0063281</v>
      </c>
      <c r="F136" s="84">
        <v>0.0063097</v>
      </c>
      <c r="G136" s="84">
        <v>0.0063281</v>
      </c>
      <c r="H136" s="84">
        <v>0</v>
      </c>
      <c r="I136" s="84">
        <v>0</v>
      </c>
      <c r="J136" s="85">
        <v>44.448</v>
      </c>
      <c r="K136" s="85">
        <v>43.82</v>
      </c>
      <c r="L136" s="85">
        <v>43.948</v>
      </c>
      <c r="M136" s="86">
        <v>0</v>
      </c>
      <c r="N136" s="87">
        <f t="shared" si="12"/>
        <v>0</v>
      </c>
      <c r="O136"/>
      <c r="P136"/>
      <c r="Q136" s="88"/>
      <c r="R136" s="88"/>
      <c r="S136" s="88"/>
      <c r="T136" s="88"/>
      <c r="U136" s="88"/>
      <c r="V136" s="88"/>
      <c r="W136" s="88"/>
    </row>
    <row r="137" spans="4:23" ht="15">
      <c r="D137" s="84"/>
      <c r="E137" s="84"/>
      <c r="F137" s="84"/>
      <c r="G137" s="84"/>
      <c r="H137" s="84"/>
      <c r="I137" s="84"/>
      <c r="J137" s="85"/>
      <c r="K137" s="85"/>
      <c r="L137" s="85"/>
      <c r="M137" s="86"/>
      <c r="N137" s="86"/>
      <c r="O137" s="88"/>
      <c r="P137" s="88"/>
      <c r="Q137" s="88"/>
      <c r="R137" s="88"/>
      <c r="S137" s="88"/>
      <c r="T137" s="88"/>
      <c r="U137" s="88"/>
      <c r="V137" s="88"/>
      <c r="W137" s="88"/>
    </row>
    <row r="138" spans="13:17" ht="15">
      <c r="M138" s="86"/>
      <c r="N138" s="86"/>
      <c r="P138" s="88"/>
      <c r="Q138" s="88"/>
    </row>
    <row r="139" spans="13:17" ht="15">
      <c r="M139" s="86"/>
      <c r="N139" s="86"/>
      <c r="P139" s="88"/>
      <c r="Q139" s="88"/>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2"/>
  <sheetViews>
    <sheetView workbookViewId="0" topLeftCell="A1"/>
  </sheetViews>
  <sheetFormatPr defaultColWidth="9.140625" defaultRowHeight="15"/>
  <cols>
    <col min="2" max="2" width="22.421875" style="0" customWidth="1"/>
    <col min="3" max="3" width="61.421875" style="0" customWidth="1"/>
    <col min="4" max="4" width="10.00390625" style="0" customWidth="1"/>
    <col min="5" max="5" width="18.140625" style="0" customWidth="1"/>
    <col min="6" max="6" width="44.421875" style="0" customWidth="1"/>
  </cols>
  <sheetData>
    <row r="1" ht="15.75" thickBot="1"/>
    <row r="2" spans="2:6" ht="18" customHeight="1">
      <c r="B2" s="124" t="s">
        <v>262</v>
      </c>
      <c r="C2" s="125"/>
      <c r="D2" s="125"/>
      <c r="E2" s="125"/>
      <c r="F2" s="126"/>
    </row>
    <row r="3" spans="2:6" ht="18" customHeight="1">
      <c r="B3" s="107" t="s">
        <v>232</v>
      </c>
      <c r="C3" s="108" t="s">
        <v>233</v>
      </c>
      <c r="D3" s="108" t="s">
        <v>234</v>
      </c>
      <c r="E3" s="108" t="s">
        <v>235</v>
      </c>
      <c r="F3" s="109" t="s">
        <v>272</v>
      </c>
    </row>
    <row r="4" spans="2:6" ht="18" customHeight="1">
      <c r="B4" s="129" t="s">
        <v>236</v>
      </c>
      <c r="C4" s="104" t="s">
        <v>273</v>
      </c>
      <c r="D4" s="130" t="s">
        <v>248</v>
      </c>
      <c r="E4" s="130" t="s">
        <v>252</v>
      </c>
      <c r="F4" s="102" t="s">
        <v>274</v>
      </c>
    </row>
    <row r="5" spans="2:6" ht="18" customHeight="1">
      <c r="B5" s="129"/>
      <c r="C5" s="104" t="s">
        <v>263</v>
      </c>
      <c r="D5" s="130"/>
      <c r="E5" s="130"/>
      <c r="F5" s="102" t="s">
        <v>275</v>
      </c>
    </row>
    <row r="6" spans="2:6" ht="18" customHeight="1">
      <c r="B6" s="129"/>
      <c r="C6" s="103" t="s">
        <v>237</v>
      </c>
      <c r="D6" s="130"/>
      <c r="E6" s="103" t="s">
        <v>264</v>
      </c>
      <c r="F6" s="102" t="s">
        <v>255</v>
      </c>
    </row>
    <row r="7" spans="2:6" ht="18" customHeight="1">
      <c r="B7" s="127" t="s">
        <v>238</v>
      </c>
      <c r="C7" s="105" t="s">
        <v>276</v>
      </c>
      <c r="D7" s="128" t="s">
        <v>248</v>
      </c>
      <c r="E7" s="128" t="s">
        <v>252</v>
      </c>
      <c r="F7" s="106" t="s">
        <v>274</v>
      </c>
    </row>
    <row r="8" spans="2:6" ht="18" customHeight="1">
      <c r="B8" s="127"/>
      <c r="C8" s="105" t="s">
        <v>245</v>
      </c>
      <c r="D8" s="128"/>
      <c r="E8" s="128"/>
      <c r="F8" s="106" t="s">
        <v>275</v>
      </c>
    </row>
    <row r="9" spans="2:6" ht="18" customHeight="1">
      <c r="B9" s="127"/>
      <c r="C9" s="105" t="s">
        <v>245</v>
      </c>
      <c r="D9" s="128"/>
      <c r="E9" s="105" t="s">
        <v>264</v>
      </c>
      <c r="F9" s="106" t="s">
        <v>255</v>
      </c>
    </row>
    <row r="10" spans="2:6" ht="18" customHeight="1">
      <c r="B10" s="129" t="s">
        <v>239</v>
      </c>
      <c r="C10" s="103" t="s">
        <v>277</v>
      </c>
      <c r="D10" s="130" t="s">
        <v>248</v>
      </c>
      <c r="E10" s="130" t="s">
        <v>252</v>
      </c>
      <c r="F10" s="102" t="s">
        <v>274</v>
      </c>
    </row>
    <row r="11" spans="2:6" ht="18" customHeight="1">
      <c r="B11" s="129"/>
      <c r="C11" s="103" t="s">
        <v>265</v>
      </c>
      <c r="D11" s="130"/>
      <c r="E11" s="130"/>
      <c r="F11" s="102" t="s">
        <v>275</v>
      </c>
    </row>
    <row r="12" spans="2:6" ht="18" customHeight="1">
      <c r="B12" s="129"/>
      <c r="C12" s="103" t="s">
        <v>246</v>
      </c>
      <c r="D12" s="130"/>
      <c r="E12" s="103" t="s">
        <v>264</v>
      </c>
      <c r="F12" s="102" t="s">
        <v>255</v>
      </c>
    </row>
    <row r="13" spans="2:6" ht="18" customHeight="1">
      <c r="B13" s="127" t="s">
        <v>240</v>
      </c>
      <c r="C13" s="105" t="s">
        <v>278</v>
      </c>
      <c r="D13" s="128" t="s">
        <v>249</v>
      </c>
      <c r="E13" s="128" t="s">
        <v>252</v>
      </c>
      <c r="F13" s="106" t="s">
        <v>274</v>
      </c>
    </row>
    <row r="14" spans="2:6" ht="18" customHeight="1">
      <c r="B14" s="127"/>
      <c r="C14" s="105" t="s">
        <v>245</v>
      </c>
      <c r="D14" s="128"/>
      <c r="E14" s="128"/>
      <c r="F14" s="106" t="s">
        <v>275</v>
      </c>
    </row>
    <row r="15" spans="2:6" ht="18" customHeight="1">
      <c r="B15" s="127"/>
      <c r="C15" s="105" t="s">
        <v>245</v>
      </c>
      <c r="D15" s="128"/>
      <c r="E15" s="105" t="s">
        <v>264</v>
      </c>
      <c r="F15" s="106" t="s">
        <v>255</v>
      </c>
    </row>
    <row r="16" spans="2:6" ht="18" customHeight="1">
      <c r="B16" s="129" t="s">
        <v>241</v>
      </c>
      <c r="C16" s="103" t="s">
        <v>279</v>
      </c>
      <c r="D16" s="131" t="s">
        <v>250</v>
      </c>
      <c r="E16" s="130" t="s">
        <v>253</v>
      </c>
      <c r="F16" s="102" t="s">
        <v>274</v>
      </c>
    </row>
    <row r="17" spans="2:6" ht="18" customHeight="1">
      <c r="B17" s="129"/>
      <c r="C17" s="101" t="s">
        <v>266</v>
      </c>
      <c r="D17" s="131"/>
      <c r="E17" s="130"/>
      <c r="F17" s="102" t="s">
        <v>275</v>
      </c>
    </row>
    <row r="18" spans="2:6" ht="18" customHeight="1">
      <c r="B18" s="129"/>
      <c r="C18" s="103" t="s">
        <v>267</v>
      </c>
      <c r="D18" s="131"/>
      <c r="E18" s="103" t="s">
        <v>254</v>
      </c>
      <c r="F18" s="102" t="s">
        <v>255</v>
      </c>
    </row>
    <row r="19" spans="2:6" ht="18" customHeight="1">
      <c r="B19" s="127" t="s">
        <v>242</v>
      </c>
      <c r="C19" s="105" t="s">
        <v>280</v>
      </c>
      <c r="D19" s="128" t="s">
        <v>250</v>
      </c>
      <c r="E19" s="128" t="s">
        <v>253</v>
      </c>
      <c r="F19" s="106" t="s">
        <v>274</v>
      </c>
    </row>
    <row r="20" spans="2:6" ht="18" customHeight="1">
      <c r="B20" s="127"/>
      <c r="C20" s="105" t="s">
        <v>268</v>
      </c>
      <c r="D20" s="128"/>
      <c r="E20" s="128"/>
      <c r="F20" s="106" t="s">
        <v>275</v>
      </c>
    </row>
    <row r="21" spans="2:6" ht="18" customHeight="1">
      <c r="B21" s="127"/>
      <c r="C21" s="105" t="s">
        <v>269</v>
      </c>
      <c r="D21" s="128"/>
      <c r="E21" s="105" t="s">
        <v>254</v>
      </c>
      <c r="F21" s="106" t="s">
        <v>255</v>
      </c>
    </row>
    <row r="22" spans="2:6" ht="18" customHeight="1">
      <c r="B22" s="129" t="s">
        <v>243</v>
      </c>
      <c r="C22" s="103" t="s">
        <v>281</v>
      </c>
      <c r="D22" s="131" t="s">
        <v>250</v>
      </c>
      <c r="E22" s="130" t="s">
        <v>253</v>
      </c>
      <c r="F22" s="102" t="s">
        <v>274</v>
      </c>
    </row>
    <row r="23" spans="2:6" ht="18" customHeight="1">
      <c r="B23" s="129"/>
      <c r="C23" s="103" t="s">
        <v>247</v>
      </c>
      <c r="D23" s="131"/>
      <c r="E23" s="130"/>
      <c r="F23" s="102" t="s">
        <v>275</v>
      </c>
    </row>
    <row r="24" spans="2:6" ht="18" customHeight="1">
      <c r="B24" s="129"/>
      <c r="C24" s="103" t="s">
        <v>247</v>
      </c>
      <c r="D24" s="131"/>
      <c r="E24" s="103" t="s">
        <v>254</v>
      </c>
      <c r="F24" s="102" t="s">
        <v>255</v>
      </c>
    </row>
    <row r="25" spans="2:6" ht="18" customHeight="1">
      <c r="B25" s="127" t="s">
        <v>244</v>
      </c>
      <c r="C25" s="105" t="s">
        <v>282</v>
      </c>
      <c r="D25" s="128" t="s">
        <v>251</v>
      </c>
      <c r="E25" s="128" t="s">
        <v>253</v>
      </c>
      <c r="F25" s="106" t="s">
        <v>274</v>
      </c>
    </row>
    <row r="26" spans="2:6" ht="18" customHeight="1">
      <c r="B26" s="127"/>
      <c r="C26" s="105" t="s">
        <v>270</v>
      </c>
      <c r="D26" s="128"/>
      <c r="E26" s="128"/>
      <c r="F26" s="106" t="s">
        <v>275</v>
      </c>
    </row>
    <row r="27" spans="2:6" ht="18" customHeight="1">
      <c r="B27" s="127"/>
      <c r="C27" s="105" t="s">
        <v>271</v>
      </c>
      <c r="D27" s="128"/>
      <c r="E27" s="105" t="s">
        <v>254</v>
      </c>
      <c r="F27" s="106" t="s">
        <v>255</v>
      </c>
    </row>
    <row r="28" spans="2:6" ht="18" customHeight="1" thickBot="1">
      <c r="B28" s="132" t="s">
        <v>283</v>
      </c>
      <c r="C28" s="133"/>
      <c r="D28" s="133"/>
      <c r="E28" s="133"/>
      <c r="F28" s="134"/>
    </row>
    <row r="32" ht="15">
      <c r="F32" s="110"/>
    </row>
  </sheetData>
  <mergeCells count="26">
    <mergeCell ref="B10:B12"/>
    <mergeCell ref="D10:D12"/>
    <mergeCell ref="E10:E11"/>
    <mergeCell ref="B28:F28"/>
    <mergeCell ref="B22:B24"/>
    <mergeCell ref="D22:D24"/>
    <mergeCell ref="E22:E23"/>
    <mergeCell ref="B25:B27"/>
    <mergeCell ref="D25:D27"/>
    <mergeCell ref="E25:E26"/>
    <mergeCell ref="B2:F2"/>
    <mergeCell ref="B19:B21"/>
    <mergeCell ref="D19:D21"/>
    <mergeCell ref="B4:B6"/>
    <mergeCell ref="D4:D6"/>
    <mergeCell ref="E19:E20"/>
    <mergeCell ref="B13:B15"/>
    <mergeCell ref="D13:D15"/>
    <mergeCell ref="E13:E14"/>
    <mergeCell ref="B16:B18"/>
    <mergeCell ref="D16:D18"/>
    <mergeCell ref="E16:E17"/>
    <mergeCell ref="E4:E5"/>
    <mergeCell ref="B7:B9"/>
    <mergeCell ref="D7:D9"/>
    <mergeCell ref="E7:E8"/>
  </mergeCells>
  <printOptions/>
  <pageMargins left="0.25" right="0.25" top="0.75" bottom="0.75" header="0.3" footer="0.3"/>
  <pageSetup fitToHeight="1" fitToWidth="1" horizontalDpi="600" verticalDpi="600" orientation="landscape" scale="7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25273CE96C95468826B16BA6B86684" ma:contentTypeVersion="0" ma:contentTypeDescription="Create a new document." ma:contentTypeScope="" ma:versionID="6f1a8cf0d88c4bf3846c7facfb2e6e0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F35BCB-DE2A-4C17-9C67-87CD0DB22EFD}"/>
</file>

<file path=customXml/itemProps2.xml><?xml version="1.0" encoding="utf-8"?>
<ds:datastoreItem xmlns:ds="http://schemas.openxmlformats.org/officeDocument/2006/customXml" ds:itemID="{B11581BA-F5F2-4F77-95D6-F22EFFD5CC68}"/>
</file>

<file path=customXml/itemProps3.xml><?xml version="1.0" encoding="utf-8"?>
<ds:datastoreItem xmlns:ds="http://schemas.openxmlformats.org/officeDocument/2006/customXml" ds:itemID="{E61F99B2-F43F-46DB-AC6B-FE26CC295DB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BPA User</dc:creator>
  <cp:keywords/>
  <dc:description/>
  <cp:lastModifiedBy>ETraetow</cp:lastModifiedBy>
  <cp:lastPrinted>2019-05-10T18:59:18Z</cp:lastPrinted>
  <dcterms:created xsi:type="dcterms:W3CDTF">2017-09-18T21:42:42Z</dcterms:created>
  <dcterms:modified xsi:type="dcterms:W3CDTF">2019-05-10T18:59:33Z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0x0101005C25273CE96C95468826B16BA6B86684</vt:lpwstr>
  </property>
  <property fmtid="{D5CDD505-2E9C-101B-9397-08002B2CF9AE}" pid="3" name="Order">
    <vt:r8>400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