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1123" yWindow="480" windowWidth="18137" windowHeight="12720" activeTab="0"/>
  </bookViews>
  <sheets>
    <sheet name="Rate Calculations" sheetId="10" r:id="rId1"/>
    <sheet name="Sum of Billing Determinants" sheetId="16" r:id="rId2"/>
    <sheet name="PF Customer Bill Amounts" sheetId="17" r:id="rId3"/>
  </sheets>
  <definedNames>
    <definedName name="FirstYear">#REF!</definedName>
    <definedName name="Options">#REF!</definedName>
    <definedName name="_xlnm.Print_Area" localSheetId="2">'PF Customer Bill Amounts'!$A$1:$N$140</definedName>
    <definedName name="_xlnm.Print_Area" localSheetId="0">'Rate Calculations'!$A$1:$L$32</definedName>
    <definedName name="_xlnm.Print_Area" localSheetId="1">'Sum of Billing Determinants'!$A$1:$O$12</definedName>
    <definedName name="SecondYear">#REF!</definedName>
    <definedName name="Spread">#REF!</definedName>
    <definedName name="_xlnm.Print_Titles" localSheetId="2">'PF Customer Bill Amounts'!$B:$C,'PF Customer Bill Amounts'!$2:$4</definedName>
  </definedNames>
  <calcPr calcId="191029"/>
  <extLst/>
</workbook>
</file>

<file path=xl/sharedStrings.xml><?xml version="1.0" encoding="utf-8"?>
<sst xmlns="http://schemas.openxmlformats.org/spreadsheetml/2006/main" count="352" uniqueCount="197">
  <si>
    <t>BESID</t>
  </si>
  <si>
    <t>Preference Customer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</si>
  <si>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</si>
  <si>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</si>
  <si>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</si>
  <si>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</si>
  <si>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</si>
  <si>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</si>
  <si>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</si>
  <si>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</si>
  <si>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</si>
  <si>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</si>
  <si>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</si>
  <si>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</si>
  <si>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</si>
  <si>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</si>
  <si>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</si>
  <si>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</si>
  <si>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</si>
  <si>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</si>
  <si>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</si>
  <si>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</si>
  <si>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</si>
  <si>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</si>
  <si>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</si>
  <si>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</si>
  <si>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</si>
  <si>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</si>
  <si>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</si>
  <si>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</si>
  <si>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</si>
  <si>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</si>
  <si>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</si>
  <si>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</si>
  <si>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</si>
  <si>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</si>
  <si>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</si>
  <si>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</si>
  <si>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</si>
  <si>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</si>
  <si>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</si>
  <si>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</si>
  <si>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</si>
  <si>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</si>
  <si>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</si>
  <si>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</si>
  <si>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</si>
  <si>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</si>
  <si>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</si>
  <si>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</si>
  <si>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</si>
  <si>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</si>
  <si>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</si>
  <si>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</si>
  <si>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</si>
  <si>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</si>
  <si>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</si>
  <si>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</si>
  <si>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</si>
  <si>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</si>
  <si>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</si>
  <si>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</si>
  <si>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</si>
  <si>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</si>
  <si>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</si>
  <si>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</si>
  <si>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</si>
  <si>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</si>
  <si>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</si>
  <si>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</si>
  <si>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</si>
  <si>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</si>
  <si>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</si>
  <si>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</si>
  <si>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</si>
  <si>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</si>
  <si>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</si>
  <si>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</si>
  <si>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</si>
  <si>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</si>
  <si>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</si>
  <si>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</si>
  <si>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</si>
  <si>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</si>
  <si>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</si>
  <si>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</si>
  <si>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</si>
  <si>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</si>
  <si>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</si>
  <si>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</si>
  <si>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</si>
  <si>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</si>
  <si>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</si>
  <si>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</si>
  <si>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</si>
  <si>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</si>
  <si>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</si>
  <si>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</si>
  <si>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</si>
  <si>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</si>
  <si>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</si>
  <si>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</si>
  <si>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</si>
  <si>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</si>
  <si>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</si>
  <si>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</si>
  <si>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</si>
  <si>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</si>
  <si>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</si>
  <si>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</si>
  <si>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</si>
  <si>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</si>
  <si>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</si>
  <si>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</si>
  <si>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</si>
  <si>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</si>
  <si>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</si>
  <si>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</si>
  <si>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</si>
  <si>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</si>
  <si>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</si>
  <si>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</si>
  <si>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</si>
  <si>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</si>
  <si>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</si>
  <si>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</si>
  <si>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</si>
  <si>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</si>
  <si>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</si>
  <si>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Kalispel Tribe Utility</t>
  </si>
  <si>
    <t>Hermiston, City of</t>
  </si>
  <si>
    <t>Port of Seattle - SETAC In'tl. Airport</t>
  </si>
  <si>
    <t>Weiser, City of</t>
  </si>
  <si>
    <t>Jefferson County PUD #1</t>
  </si>
  <si>
    <t>System Shaped Load (MWh)</t>
  </si>
  <si>
    <t>Sum of Billing Determinants (BD) (MWh)</t>
  </si>
  <si>
    <t>Total</t>
  </si>
  <si>
    <t>PF Melded Load (MWh)</t>
  </si>
  <si>
    <t>IP Load (MWh)</t>
  </si>
  <si>
    <t>NR Load (MWh)</t>
  </si>
  <si>
    <t>C</t>
  </si>
  <si>
    <t>Adjusted Load Shaping Charge True-Up rate:</t>
  </si>
  <si>
    <t>Adjusted PF Melded Equivalent Energy Scalar rate:</t>
  </si>
  <si>
    <t>HLH ($/MWh)</t>
  </si>
  <si>
    <t>LLH ($/MWh)</t>
  </si>
  <si>
    <t>A</t>
  </si>
  <si>
    <t>B</t>
  </si>
  <si>
    <t>D</t>
  </si>
  <si>
    <t>E</t>
  </si>
  <si>
    <t>F</t>
  </si>
  <si>
    <t>Sum of Annual Billing Determinants (MWh):</t>
  </si>
  <si>
    <t>Sum of Dec - Sept Billing Determinants (MWh):</t>
  </si>
  <si>
    <t>RHWM</t>
  </si>
  <si>
    <t>PNGC Aggregate</t>
  </si>
  <si>
    <t>RT1SC HLH (MWh)</t>
  </si>
  <si>
    <t>RT1SC LLH (MWh)</t>
  </si>
  <si>
    <t>Sum of Billing Determinants</t>
  </si>
  <si>
    <t>PF System Shaped Loads (MWh)</t>
  </si>
  <si>
    <t>(the amounts below may differ from billed amounts due to rounding)</t>
  </si>
  <si>
    <t>(a) Power DD Credit Rate:</t>
  </si>
  <si>
    <t>Power RDC Amount being used for a Power DD:</t>
  </si>
  <si>
    <t>Power DD Credit rate ($/MWh):</t>
  </si>
  <si>
    <t>(b) Adjusted PF Tier 1 Equivalent Energy Rates:</t>
  </si>
  <si>
    <t>(c) Annual Power DD Credit Rate and Other Adjustments:</t>
  </si>
  <si>
    <t>Oregon Trail Elec Coop</t>
  </si>
  <si>
    <t>South Side Elec</t>
  </si>
  <si>
    <t>* Tier 1 portion of the Forecast Net Requirement, before considering Above-RHWM Load service.</t>
  </si>
  <si>
    <t>JOE</t>
  </si>
  <si>
    <t>Annual Power DD Credit Rate ($/MWh):</t>
  </si>
  <si>
    <t>TOCA 2024</t>
  </si>
  <si>
    <t>TOCA 2025</t>
  </si>
  <si>
    <t>Non-Slice TOCA 2024</t>
  </si>
  <si>
    <t>Non-Slice TOCA 2025</t>
  </si>
  <si>
    <t>Slice Percentage 2024</t>
  </si>
  <si>
    <t>Slice Percentage 2025</t>
  </si>
  <si>
    <t>TOCA Load 2024*</t>
  </si>
  <si>
    <t>TOCA Load 2025*</t>
  </si>
  <si>
    <t>Applicable LDD 2024</t>
  </si>
  <si>
    <t>FY2024</t>
  </si>
  <si>
    <t>BP24 Power Rate Schedules and GRSPs section II.P.2 - Power Dividend Distribution (DD) Credit Rate</t>
  </si>
  <si>
    <t>January 2024</t>
  </si>
  <si>
    <t>GRSP.II.E.1</t>
  </si>
  <si>
    <t>GRSP.II.R.1.c (PFMEES)</t>
  </si>
  <si>
    <t>Product Switching Adjustment Grays Harbor PUD</t>
  </si>
  <si>
    <t>Product Switching Adjustment Benton PUD</t>
  </si>
  <si>
    <t>Product Switching Adjustment Pacific PUD</t>
  </si>
  <si>
    <t>Average T1 Rate w/Credit</t>
  </si>
  <si>
    <t>Average T1 Rate w/o Credit:</t>
  </si>
  <si>
    <t>Percent Change:</t>
  </si>
  <si>
    <t>* GRSP.II.A</t>
  </si>
  <si>
    <t>*GRSP.II.O.b</t>
  </si>
  <si>
    <t>*RAM.IP</t>
  </si>
  <si>
    <t xml:space="preserve"> FY 2024 Power Dividend Distribution Credit Estimates by PF Customer net Low Density Discount </t>
  </si>
  <si>
    <t>**</t>
  </si>
  <si>
    <t>** Denotes product switching adjustment has been made</t>
  </si>
  <si>
    <t>TOCAs @ 09222023</t>
  </si>
  <si>
    <t>App.LDD @ 091923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</si>
</sst>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0.000"/>
    <numFmt numFmtId="166" formatCode="&quot;$&quot;#,##0"/>
    <numFmt numFmtId="167" formatCode="&quot;$&quot;#,##0.00"/>
    <numFmt numFmtId="168" formatCode="_(* #,##0.0000000_);_(* \(#,##0.0000000\);_(* &quot;-&quot;???????_);_(@_)"/>
    <numFmt numFmtId="169" formatCode="#,##0.00000_);\(#,##0.00000\)"/>
    <numFmt numFmtId="170" formatCode="[$-409]mmm\-yy;@"/>
    <numFmt numFmtId="171" formatCode="&quot;$&quot;#,##0.0000"/>
    <numFmt numFmtId="172" formatCode="#,##0.000"/>
    <numFmt numFmtId="173" formatCode="#,##0.000_);\(#,##0.000\)"/>
    <numFmt numFmtId="174" formatCode="_(* #,##0_);_(* \(#,##0\);_(* &quot;-&quot;??_);_(@_)"/>
    <numFmt numFmtId="175" formatCode="_(&quot;$&quot;* #,##0_);_(&quot;$&quot;* \(#,##0\);_(&quot;$&quot;* &quot;-&quot;??_);_(@_)"/>
    <numFmt numFmtId="176" formatCode="0.0%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/>
    <xf numFmtId="0" fontId="4" fillId="0" borderId="0" xfId="0" applyFon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/>
    <xf numFmtId="4" fontId="0" fillId="0" borderId="0" xfId="0" applyNumberFormat="1"/>
    <xf numFmtId="0" fontId="7" fillId="0" borderId="0" xfId="0" applyFont="1" applyAlignment="1">
      <alignment horizontal="left"/>
    </xf>
    <xf numFmtId="166" fontId="4" fillId="0" borderId="0" xfId="0" applyNumberFormat="1" applyFont="1"/>
    <xf numFmtId="5" fontId="0" fillId="0" borderId="0" xfId="0" applyNumberFormat="1"/>
    <xf numFmtId="170" fontId="0" fillId="0" borderId="0" xfId="0" applyNumberFormat="1" applyAlignment="1">
      <alignment horizontal="left"/>
    </xf>
    <xf numFmtId="170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71" fontId="0" fillId="0" borderId="0" xfId="0" applyNumberFormat="1"/>
    <xf numFmtId="167" fontId="4" fillId="2" borderId="1" xfId="0" applyNumberFormat="1" applyFont="1" applyFill="1" applyBorder="1"/>
    <xf numFmtId="0" fontId="6" fillId="0" borderId="0" xfId="26" applyFont="1">
      <alignment/>
      <protection/>
    </xf>
    <xf numFmtId="0" fontId="2" fillId="0" borderId="0" xfId="26">
      <alignment/>
      <protection/>
    </xf>
    <xf numFmtId="0" fontId="8" fillId="0" borderId="0" xfId="26" applyFont="1" applyAlignment="1">
      <alignment horizontal="center" vertical="center"/>
      <protection/>
    </xf>
    <xf numFmtId="0" fontId="9" fillId="0" borderId="0" xfId="26" applyFont="1" applyAlignment="1">
      <alignment horizontal="center" vertical="center" wrapText="1"/>
      <protection/>
    </xf>
    <xf numFmtId="170" fontId="9" fillId="0" borderId="0" xfId="26" applyNumberFormat="1" applyFont="1" applyAlignment="1">
      <alignment horizontal="center" vertical="center" wrapText="1"/>
      <protection/>
    </xf>
    <xf numFmtId="0" fontId="8" fillId="0" borderId="0" xfId="26" applyFont="1">
      <alignment/>
      <protection/>
    </xf>
    <xf numFmtId="164" fontId="8" fillId="0" borderId="0" xfId="27" applyNumberFormat="1" applyFont="1"/>
    <xf numFmtId="165" fontId="8" fillId="0" borderId="0" xfId="27" applyNumberFormat="1" applyFont="1"/>
    <xf numFmtId="169" fontId="8" fillId="0" borderId="0" xfId="27" applyNumberFormat="1" applyFont="1"/>
    <xf numFmtId="5" fontId="8" fillId="0" borderId="0" xfId="27" applyNumberFormat="1" applyFont="1"/>
    <xf numFmtId="168" fontId="2" fillId="0" borderId="0" xfId="26" applyNumberFormat="1">
      <alignment/>
      <protection/>
    </xf>
    <xf numFmtId="0" fontId="10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10" fillId="0" borderId="0" xfId="28" applyFont="1">
      <alignment/>
      <protection/>
    </xf>
    <xf numFmtId="3" fontId="8" fillId="0" borderId="0" xfId="28" applyNumberFormat="1" applyFont="1">
      <alignment/>
      <protection/>
    </xf>
    <xf numFmtId="172" fontId="8" fillId="0" borderId="0" xfId="26" applyNumberFormat="1" applyFont="1">
      <alignment/>
      <protection/>
    </xf>
    <xf numFmtId="173" fontId="11" fillId="0" borderId="0" xfId="0" applyNumberFormat="1" applyFont="1"/>
    <xf numFmtId="173" fontId="8" fillId="0" borderId="0" xfId="26" applyNumberFormat="1" applyFont="1">
      <alignment/>
      <protection/>
    </xf>
    <xf numFmtId="9" fontId="0" fillId="0" borderId="0" xfId="15" applyFont="1"/>
    <xf numFmtId="0" fontId="3" fillId="0" borderId="0" xfId="26" applyFont="1">
      <alignment/>
      <protection/>
    </xf>
    <xf numFmtId="0" fontId="7" fillId="0" borderId="0" xfId="0" applyFont="1" quotePrefix="1"/>
    <xf numFmtId="44" fontId="2" fillId="0" borderId="0" xfId="16" applyFont="1"/>
    <xf numFmtId="9" fontId="2" fillId="0" borderId="0" xfId="15" applyFont="1"/>
    <xf numFmtId="37" fontId="8" fillId="0" borderId="0" xfId="27" applyNumberFormat="1" applyFont="1"/>
    <xf numFmtId="0" fontId="6" fillId="2" borderId="0" xfId="26" applyFont="1" applyFill="1">
      <alignment/>
      <protection/>
    </xf>
    <xf numFmtId="0" fontId="2" fillId="2" borderId="0" xfId="26" applyFill="1">
      <alignment/>
      <protection/>
    </xf>
    <xf numFmtId="0" fontId="9" fillId="2" borderId="0" xfId="26" applyFont="1" applyFill="1" applyAlignment="1">
      <alignment horizontal="center" vertical="center" wrapText="1"/>
      <protection/>
    </xf>
    <xf numFmtId="166" fontId="0" fillId="2" borderId="0" xfId="0" applyNumberFormat="1" applyFill="1"/>
    <xf numFmtId="0" fontId="8" fillId="3" borderId="0" xfId="26" applyFont="1" applyFill="1">
      <alignment/>
      <protection/>
    </xf>
    <xf numFmtId="173" fontId="11" fillId="3" borderId="0" xfId="0" applyNumberFormat="1" applyFont="1" applyFill="1"/>
    <xf numFmtId="173" fontId="8" fillId="3" borderId="0" xfId="26" applyNumberFormat="1" applyFont="1" applyFill="1">
      <alignment/>
      <protection/>
    </xf>
    <xf numFmtId="0" fontId="2" fillId="3" borderId="0" xfId="26" applyFill="1">
      <alignment/>
      <protection/>
    </xf>
    <xf numFmtId="0" fontId="8" fillId="3" borderId="0" xfId="26" applyFont="1" applyFill="1" applyAlignment="1">
      <alignment horizontal="center" vertical="center"/>
      <protection/>
    </xf>
    <xf numFmtId="164" fontId="8" fillId="3" borderId="0" xfId="27" applyNumberFormat="1" applyFont="1" applyFill="1"/>
    <xf numFmtId="165" fontId="8" fillId="3" borderId="0" xfId="27" applyNumberFormat="1" applyFont="1" applyFill="1"/>
    <xf numFmtId="37" fontId="8" fillId="3" borderId="0" xfId="27" applyNumberFormat="1" applyFont="1" applyFill="1"/>
    <xf numFmtId="10" fontId="0" fillId="3" borderId="0" xfId="15" applyNumberFormat="1" applyFont="1" applyFill="1"/>
    <xf numFmtId="0" fontId="0" fillId="3" borderId="0" xfId="0" applyFill="1"/>
    <xf numFmtId="0" fontId="2" fillId="0" borderId="0" xfId="26" applyFont="1">
      <alignment/>
      <protection/>
    </xf>
    <xf numFmtId="1" fontId="0" fillId="0" borderId="0" xfId="0" applyNumberFormat="1"/>
    <xf numFmtId="0" fontId="2" fillId="0" borderId="0" xfId="26" applyFont="1">
      <alignment/>
      <protection/>
    </xf>
    <xf numFmtId="4" fontId="4" fillId="0" borderId="0" xfId="0" applyNumberFormat="1" applyFont="1"/>
    <xf numFmtId="3" fontId="8" fillId="2" borderId="0" xfId="26" applyNumberFormat="1" applyFont="1" applyFill="1">
      <alignment/>
      <protection/>
    </xf>
    <xf numFmtId="3" fontId="8" fillId="2" borderId="0" xfId="28" applyNumberFormat="1" applyFont="1" applyFill="1">
      <alignment/>
      <protection/>
    </xf>
    <xf numFmtId="174" fontId="8" fillId="2" borderId="0" xfId="18" applyNumberFormat="1" applyFont="1" applyFill="1"/>
    <xf numFmtId="0" fontId="0" fillId="0" borderId="0" xfId="0" applyAlignment="1">
      <alignment horizontal="right"/>
    </xf>
    <xf numFmtId="44" fontId="0" fillId="0" borderId="0" xfId="16" applyFont="1"/>
    <xf numFmtId="44" fontId="0" fillId="0" borderId="0" xfId="16" applyFont="1" applyFill="1"/>
    <xf numFmtId="176" fontId="0" fillId="0" borderId="0" xfId="15" applyNumberFormat="1" applyFont="1"/>
    <xf numFmtId="37" fontId="0" fillId="0" borderId="0" xfId="16" applyNumberFormat="1" applyFont="1"/>
    <xf numFmtId="175" fontId="0" fillId="2" borderId="0" xfId="16" applyNumberFormat="1" applyFont="1" applyFill="1"/>
    <xf numFmtId="0" fontId="2" fillId="0" borderId="0" xfId="26" applyFont="1">
      <alignment/>
      <protection/>
    </xf>
    <xf numFmtId="0" fontId="10" fillId="3" borderId="0" xfId="28" applyFont="1" applyFill="1">
      <alignment/>
      <protection/>
    </xf>
    <xf numFmtId="167" fontId="4" fillId="2" borderId="1" xfId="16" applyNumberFormat="1" applyFont="1" applyFill="1" applyBorder="1"/>
    <xf numFmtId="167" fontId="0" fillId="0" borderId="0" xfId="16" applyNumberFormat="1" applyFont="1"/>
    <xf numFmtId="0" fontId="8" fillId="4" borderId="0" xfId="26" applyFont="1" applyFill="1">
      <alignment/>
      <protection/>
    </xf>
    <xf numFmtId="5" fontId="8" fillId="4" borderId="0" xfId="27" applyNumberFormat="1" applyFont="1" applyFill="1"/>
    <xf numFmtId="0" fontId="8" fillId="0" borderId="0" xfId="26" applyFont="1" applyAlignment="1">
      <alignment horizontal="left" vertical="center"/>
      <protection/>
    </xf>
    <xf numFmtId="10" fontId="8" fillId="0" borderId="0" xfId="15" applyNumberFormat="1" applyFont="1"/>
    <xf numFmtId="10" fontId="8" fillId="3" borderId="0" xfId="15" applyNumberFormat="1" applyFont="1" applyFill="1"/>
    <xf numFmtId="10" fontId="0" fillId="0" borderId="0" xfId="15" applyNumberFormat="1" applyFont="1" applyFill="1"/>
    <xf numFmtId="0" fontId="9" fillId="5" borderId="0" xfId="26" applyFont="1" applyFill="1" applyAlignment="1">
      <alignment horizontal="center" vertical="center" wrapText="1"/>
      <protection/>
    </xf>
    <xf numFmtId="10" fontId="8" fillId="2" borderId="0" xfId="15" applyNumberFormat="1" applyFont="1" applyFill="1"/>
    <xf numFmtId="0" fontId="6" fillId="2" borderId="0" xfId="26" applyFont="1" applyFill="1" applyAlignment="1">
      <alignment horizontal="center"/>
      <protection/>
    </xf>
    <xf numFmtId="0" fontId="0" fillId="2" borderId="0" xfId="0" applyFill="1"/>
    <xf numFmtId="10" fontId="8" fillId="6" borderId="0" xfId="15" applyNumberFormat="1" applyFont="1" applyFill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Comma 2" xfId="22"/>
    <cellStyle name="Normal 4" xfId="23"/>
    <cellStyle name="Comma 3" xfId="24"/>
    <cellStyle name="Normal 3 2" xfId="25"/>
    <cellStyle name="Normal 4 2" xfId="26"/>
    <cellStyle name="Comma 3 2" xfId="27"/>
    <cellStyle name="Normal 3 2 2" xfId="28"/>
  </cellStyles>
  <dxfs count="1"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A1:U37"/>
  <sheetViews>
    <sheetView tabSelected="1" workbookViewId="0" topLeftCell="A21">
      <selection activeCell="J40" sqref="J40"/>
    </sheetView>
  </sheetViews>
  <sheetFormatPr defaultColWidth="9.140625" defaultRowHeight="15"/>
  <cols>
    <col min="1" max="1" width="8.140625" style="0" customWidth="1"/>
    <col min="2" max="4" width="11.57421875" style="0" customWidth="1"/>
    <col min="5" max="5" width="12.8515625" style="0" bestFit="1" customWidth="1"/>
    <col min="6" max="6" width="12.421875" style="0" bestFit="1" customWidth="1"/>
    <col min="7" max="8" width="13.8515625" style="0" customWidth="1"/>
    <col min="9" max="9" width="12.57421875" style="0" customWidth="1"/>
    <col min="10" max="10" width="15.8515625" style="0" bestFit="1" customWidth="1"/>
    <col min="12" max="12" width="12.00390625" style="0" customWidth="1"/>
    <col min="15" max="15" width="11.140625" style="0" bestFit="1" customWidth="1"/>
    <col min="16" max="19" width="12.8515625" style="0" customWidth="1"/>
    <col min="20" max="20" width="14.28125" style="0" customWidth="1"/>
  </cols>
  <sheetData>
    <row r="1" ht="15">
      <c r="A1" s="1" t="s">
        <v>179</v>
      </c>
    </row>
    <row r="2" ht="15">
      <c r="A2" s="37" t="s">
        <v>180</v>
      </c>
    </row>
    <row r="4" spans="1:7" ht="15">
      <c r="A4" s="7"/>
      <c r="B4" s="14" t="s">
        <v>145</v>
      </c>
      <c r="C4" s="14" t="s">
        <v>146</v>
      </c>
      <c r="D4" s="14" t="s">
        <v>140</v>
      </c>
      <c r="E4" s="14" t="s">
        <v>147</v>
      </c>
      <c r="F4" s="14" t="s">
        <v>148</v>
      </c>
      <c r="G4" s="14" t="s">
        <v>149</v>
      </c>
    </row>
    <row r="5" spans="1:7" ht="15">
      <c r="A5" s="14">
        <v>1</v>
      </c>
      <c r="B5" s="9" t="s">
        <v>159</v>
      </c>
      <c r="G5" s="5" t="s">
        <v>178</v>
      </c>
    </row>
    <row r="6" spans="1:19" ht="15">
      <c r="A6" s="14">
        <v>2</v>
      </c>
      <c r="C6" t="s">
        <v>160</v>
      </c>
      <c r="G6" s="44">
        <v>165400000</v>
      </c>
      <c r="P6" s="2"/>
      <c r="Q6" s="2"/>
      <c r="R6" s="2"/>
      <c r="S6" s="2"/>
    </row>
    <row r="7" spans="1:10" ht="15">
      <c r="A7" s="14">
        <v>3</v>
      </c>
      <c r="C7" t="s">
        <v>151</v>
      </c>
      <c r="G7" s="6">
        <f>SUM('Sum of Billing Determinants'!E12:N12)</f>
        <v>38143376.399</v>
      </c>
      <c r="J7" s="15"/>
    </row>
    <row r="8" spans="1:13" ht="15" thickBot="1">
      <c r="A8" s="14">
        <v>4</v>
      </c>
      <c r="C8" t="s">
        <v>161</v>
      </c>
      <c r="G8" s="16">
        <f>ROUND(G6/G7,2)</f>
        <v>4.34</v>
      </c>
      <c r="M8" s="2"/>
    </row>
    <row r="9" spans="1:21" ht="15" thickTop="1">
      <c r="A9" s="14">
        <v>5</v>
      </c>
      <c r="G9" s="10"/>
      <c r="U9" s="2"/>
    </row>
    <row r="10" spans="1:2" ht="15">
      <c r="A10" s="14">
        <v>6</v>
      </c>
      <c r="B10" s="7" t="s">
        <v>162</v>
      </c>
    </row>
    <row r="11" spans="1:6" ht="15">
      <c r="A11" s="14">
        <v>7</v>
      </c>
      <c r="E11" t="s">
        <v>143</v>
      </c>
      <c r="F11" t="s">
        <v>144</v>
      </c>
    </row>
    <row r="12" spans="1:12" ht="15">
      <c r="A12" s="14">
        <v>8</v>
      </c>
      <c r="D12" s="12">
        <v>45200</v>
      </c>
      <c r="E12" s="8">
        <v>40.98</v>
      </c>
      <c r="F12" s="8">
        <v>26.18</v>
      </c>
      <c r="I12" s="8"/>
      <c r="L12" s="8"/>
    </row>
    <row r="13" spans="1:12" ht="15">
      <c r="A13" s="14">
        <v>9</v>
      </c>
      <c r="D13" s="12">
        <v>45231</v>
      </c>
      <c r="E13" s="8">
        <v>33.57</v>
      </c>
      <c r="F13" s="8">
        <v>24.66</v>
      </c>
      <c r="L13" s="8"/>
    </row>
    <row r="14" spans="1:12" ht="15">
      <c r="A14" s="14">
        <v>10</v>
      </c>
      <c r="D14" s="12">
        <v>45261</v>
      </c>
      <c r="E14" s="58">
        <f>54.9-G8</f>
        <v>50.56</v>
      </c>
      <c r="F14" s="58">
        <f>45.96-G8</f>
        <v>41.620000000000005</v>
      </c>
      <c r="H14" s="3"/>
      <c r="I14" s="3"/>
      <c r="L14" s="8"/>
    </row>
    <row r="15" spans="1:12" ht="15">
      <c r="A15" s="14">
        <v>11</v>
      </c>
      <c r="D15" s="12">
        <v>45292</v>
      </c>
      <c r="E15" s="58">
        <f>43.15-G8</f>
        <v>38.81</v>
      </c>
      <c r="F15" s="58">
        <f>30-G8</f>
        <v>25.66</v>
      </c>
      <c r="H15" s="3"/>
      <c r="I15" s="3"/>
      <c r="L15" s="8"/>
    </row>
    <row r="16" spans="1:12" ht="15">
      <c r="A16" s="14">
        <v>12</v>
      </c>
      <c r="D16" s="12">
        <v>45323</v>
      </c>
      <c r="E16" s="58">
        <f>43.59-G8</f>
        <v>39.25</v>
      </c>
      <c r="F16" s="58">
        <f>35.28-G8</f>
        <v>30.94</v>
      </c>
      <c r="H16" s="3"/>
      <c r="I16" s="3"/>
      <c r="L16" s="8"/>
    </row>
    <row r="17" spans="1:12" ht="15">
      <c r="A17" s="14">
        <v>13</v>
      </c>
      <c r="D17" s="12">
        <v>45352</v>
      </c>
      <c r="E17" s="58">
        <f>28.34-G8</f>
        <v>24</v>
      </c>
      <c r="F17" s="58">
        <f>29.11-G8</f>
        <v>24.77</v>
      </c>
      <c r="H17" s="3"/>
      <c r="I17" s="3"/>
      <c r="L17" s="8"/>
    </row>
    <row r="18" spans="1:12" ht="15">
      <c r="A18" s="14">
        <v>14</v>
      </c>
      <c r="D18" s="12">
        <v>45383</v>
      </c>
      <c r="E18" s="58">
        <f>13.69-G8</f>
        <v>9.35</v>
      </c>
      <c r="F18" s="58">
        <f>14.94-G8</f>
        <v>10.6</v>
      </c>
      <c r="H18" s="3"/>
      <c r="I18" s="3"/>
      <c r="L18" s="8"/>
    </row>
    <row r="19" spans="1:12" ht="15">
      <c r="A19" s="14">
        <v>15</v>
      </c>
      <c r="D19" s="12">
        <v>45413</v>
      </c>
      <c r="E19" s="58">
        <f>11.48-G8</f>
        <v>7.140000000000001</v>
      </c>
      <c r="F19" s="58">
        <f>9.61-G8</f>
        <v>5.27</v>
      </c>
      <c r="H19" s="3"/>
      <c r="I19" s="3"/>
      <c r="L19" s="8"/>
    </row>
    <row r="20" spans="1:12" ht="15">
      <c r="A20" s="14">
        <v>16</v>
      </c>
      <c r="D20" s="12">
        <v>45444</v>
      </c>
      <c r="E20" s="58">
        <f>11.14-G8</f>
        <v>6.800000000000001</v>
      </c>
      <c r="F20" s="58">
        <f>3.6-G8</f>
        <v>-0.7399999999999998</v>
      </c>
      <c r="H20" s="3"/>
      <c r="I20" s="3"/>
      <c r="L20" s="8"/>
    </row>
    <row r="21" spans="1:12" ht="15">
      <c r="A21" s="14">
        <v>17</v>
      </c>
      <c r="D21" s="12">
        <v>45474</v>
      </c>
      <c r="E21" s="58">
        <f>48.87-G8</f>
        <v>44.53</v>
      </c>
      <c r="F21" s="58">
        <f>30.19-G8</f>
        <v>25.85</v>
      </c>
      <c r="H21" s="3"/>
      <c r="I21" s="3"/>
      <c r="L21" s="8"/>
    </row>
    <row r="22" spans="1:12" ht="15">
      <c r="A22" s="14">
        <v>18</v>
      </c>
      <c r="D22" s="12">
        <v>45505</v>
      </c>
      <c r="E22" s="58">
        <f>64.79-G8</f>
        <v>60.45</v>
      </c>
      <c r="F22" s="58">
        <f>42.2-G8</f>
        <v>37.86</v>
      </c>
      <c r="H22" s="3"/>
      <c r="I22" s="3"/>
      <c r="L22" s="8"/>
    </row>
    <row r="23" spans="1:20" ht="15">
      <c r="A23" s="14">
        <v>19</v>
      </c>
      <c r="D23" s="12">
        <v>45536</v>
      </c>
      <c r="E23" s="58">
        <f>51.97-G8</f>
        <v>47.629999999999995</v>
      </c>
      <c r="F23" s="58">
        <f>37.45-G8</f>
        <v>33.11</v>
      </c>
      <c r="H23" s="3"/>
      <c r="I23" s="3"/>
      <c r="L23" s="8"/>
      <c r="O23" s="14" t="s">
        <v>145</v>
      </c>
      <c r="P23" s="14" t="s">
        <v>146</v>
      </c>
      <c r="Q23" s="14" t="s">
        <v>140</v>
      </c>
      <c r="R23" s="14" t="s">
        <v>147</v>
      </c>
      <c r="S23" s="14" t="s">
        <v>148</v>
      </c>
      <c r="T23" s="14" t="s">
        <v>149</v>
      </c>
    </row>
    <row r="24" spans="1:20" ht="15">
      <c r="A24" s="14">
        <v>20</v>
      </c>
      <c r="D24" s="13"/>
      <c r="E24" s="58"/>
      <c r="F24" s="58"/>
      <c r="N24" s="14">
        <v>21</v>
      </c>
      <c r="O24" t="s">
        <v>163</v>
      </c>
      <c r="T24" s="5" t="s">
        <v>178</v>
      </c>
    </row>
    <row r="25" spans="1:20" ht="15">
      <c r="A25" s="14">
        <v>21</v>
      </c>
      <c r="B25" s="7" t="s">
        <v>163</v>
      </c>
      <c r="G25" s="5" t="s">
        <v>178</v>
      </c>
      <c r="N25" s="14">
        <v>2</v>
      </c>
      <c r="P25" t="s">
        <v>160</v>
      </c>
      <c r="T25" s="67">
        <f>G6</f>
        <v>165400000</v>
      </c>
    </row>
    <row r="26" spans="1:20" ht="15">
      <c r="A26" s="14">
        <v>22</v>
      </c>
      <c r="C26" t="s">
        <v>150</v>
      </c>
      <c r="G26" s="6">
        <f>SUM('Sum of Billing Determinants'!C12:N12)</f>
        <v>45377429.64499999</v>
      </c>
      <c r="H26" s="3"/>
      <c r="N26" s="14">
        <v>22</v>
      </c>
      <c r="P26" t="s">
        <v>150</v>
      </c>
      <c r="T26" s="66">
        <f>G26</f>
        <v>45377429.64499999</v>
      </c>
    </row>
    <row r="27" spans="1:21" ht="15" thickBot="1">
      <c r="A27" s="14">
        <v>23</v>
      </c>
      <c r="C27" t="s">
        <v>168</v>
      </c>
      <c r="G27" s="16">
        <f>ROUND(G6/G26,2)</f>
        <v>3.64</v>
      </c>
      <c r="N27" s="14">
        <v>23</v>
      </c>
      <c r="P27" t="s">
        <v>168</v>
      </c>
      <c r="T27" s="70">
        <f>G27</f>
        <v>3.64</v>
      </c>
      <c r="U27" s="3"/>
    </row>
    <row r="28" spans="1:20" ht="15" thickTop="1">
      <c r="A28" s="14">
        <v>24</v>
      </c>
      <c r="M28" s="3"/>
      <c r="N28" s="14">
        <v>24</v>
      </c>
      <c r="T28" s="63"/>
    </row>
    <row r="29" spans="1:20" ht="15">
      <c r="A29" s="14">
        <v>25</v>
      </c>
      <c r="C29" t="s">
        <v>141</v>
      </c>
      <c r="G29" s="3">
        <f>6.73+G27</f>
        <v>10.370000000000001</v>
      </c>
      <c r="I29" t="s">
        <v>181</v>
      </c>
      <c r="N29" s="14">
        <v>25</v>
      </c>
      <c r="P29" t="s">
        <v>141</v>
      </c>
      <c r="T29" s="71">
        <f>G29</f>
        <v>10.370000000000001</v>
      </c>
    </row>
    <row r="30" spans="1:20" ht="15">
      <c r="A30" s="14">
        <v>26</v>
      </c>
      <c r="C30" t="s">
        <v>142</v>
      </c>
      <c r="G30" s="3">
        <f>5.94+G27</f>
        <v>9.58</v>
      </c>
      <c r="I30" t="s">
        <v>182</v>
      </c>
      <c r="N30" s="14">
        <v>26</v>
      </c>
      <c r="P30" t="s">
        <v>142</v>
      </c>
      <c r="T30" s="71">
        <f>G30</f>
        <v>9.58</v>
      </c>
    </row>
    <row r="31" ht="15">
      <c r="A31" s="14"/>
    </row>
    <row r="32" spans="1:2" ht="15">
      <c r="A32" s="14"/>
      <c r="B32" s="4"/>
    </row>
    <row r="33" spans="1:7" ht="15">
      <c r="A33" s="14"/>
      <c r="B33" s="4"/>
      <c r="F33" s="62" t="s">
        <v>187</v>
      </c>
      <c r="G33" s="63">
        <v>35.63</v>
      </c>
    </row>
    <row r="34" spans="1:7" ht="15">
      <c r="A34" s="14"/>
      <c r="F34" s="62" t="s">
        <v>186</v>
      </c>
      <c r="G34" s="64">
        <f>G33-G27</f>
        <v>31.990000000000002</v>
      </c>
    </row>
    <row r="35" spans="1:7" ht="15">
      <c r="A35" s="14"/>
      <c r="F35" s="62" t="s">
        <v>188</v>
      </c>
      <c r="G35" s="65">
        <f>(G33-G34)/G33</f>
        <v>0.10216110019646367</v>
      </c>
    </row>
    <row r="36" ht="15">
      <c r="A36" s="14"/>
    </row>
    <row r="37" ht="15">
      <c r="A37" s="14"/>
    </row>
  </sheetData>
  <printOptions gridLines="1"/>
  <pageMargins left="0.25" right="0.25" top="0.75" bottom="0.75" header="0.3" footer="0.3"/>
  <pageSetup fitToHeight="1" fitToWidth="1" horizontalDpi="600" verticalDpi="600" orientation="landscape" scale="92" r:id="rId1"/>
  <headerFooter>
    <oddHeader>&amp;LFY 2023 Power DD Credit Rate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3"/>
  <sheetViews>
    <sheetView workbookViewId="0" topLeftCell="A1">
      <selection activeCell="H23" sqref="H23"/>
    </sheetView>
  </sheetViews>
  <sheetFormatPr defaultColWidth="9.140625" defaultRowHeight="15"/>
  <cols>
    <col min="1" max="1" width="5.00390625" style="18" customWidth="1"/>
    <col min="2" max="2" width="37.7109375" style="18" bestFit="1" customWidth="1"/>
    <col min="3" max="15" width="11.28125" style="18" customWidth="1"/>
    <col min="16" max="16" width="3.57421875" style="18" customWidth="1"/>
    <col min="17" max="17" width="3.8515625" style="19" customWidth="1"/>
    <col min="18" max="18" width="6.00390625" style="18" bestFit="1" customWidth="1"/>
    <col min="19" max="19" width="35.28125" style="18" bestFit="1" customWidth="1"/>
    <col min="20" max="23" width="11.00390625" style="18" bestFit="1" customWidth="1"/>
    <col min="24" max="24" width="13.7109375" style="18" bestFit="1" customWidth="1"/>
    <col min="25" max="25" width="13.421875" style="18" customWidth="1"/>
    <col min="26" max="26" width="11.421875" style="18" customWidth="1"/>
    <col min="27" max="27" width="11.57421875" style="18" customWidth="1"/>
    <col min="28" max="28" width="10.421875" style="18" customWidth="1"/>
    <col min="29" max="29" width="9.57421875" style="18" bestFit="1" customWidth="1"/>
    <col min="32" max="33" width="12.140625" style="0" bestFit="1" customWidth="1"/>
    <col min="34" max="34" width="12.7109375" style="0" bestFit="1" customWidth="1"/>
    <col min="35" max="16384" width="9.140625" style="18" customWidth="1"/>
  </cols>
  <sheetData>
    <row r="1" spans="1:3" ht="15">
      <c r="A1" s="17" t="s">
        <v>156</v>
      </c>
      <c r="C1" s="57"/>
    </row>
    <row r="2" spans="3:29" ht="15">
      <c r="C2" s="21">
        <v>45200</v>
      </c>
      <c r="D2" s="21">
        <v>45231</v>
      </c>
      <c r="E2" s="21">
        <v>45261</v>
      </c>
      <c r="F2" s="21">
        <v>45292</v>
      </c>
      <c r="G2" s="21">
        <v>45323</v>
      </c>
      <c r="H2" s="21">
        <v>45352</v>
      </c>
      <c r="I2" s="21">
        <v>45383</v>
      </c>
      <c r="J2" s="21">
        <v>45413</v>
      </c>
      <c r="K2" s="21">
        <v>45444</v>
      </c>
      <c r="L2" s="21">
        <v>45474</v>
      </c>
      <c r="M2" s="21">
        <v>45505</v>
      </c>
      <c r="N2" s="21">
        <v>45536</v>
      </c>
      <c r="O2" s="20" t="s">
        <v>136</v>
      </c>
      <c r="P2" s="20"/>
      <c r="S2"/>
      <c r="T2"/>
      <c r="U2"/>
      <c r="V2"/>
      <c r="W2"/>
      <c r="X2"/>
      <c r="Y2"/>
      <c r="Z2"/>
      <c r="AA2"/>
      <c r="AB2"/>
      <c r="AC2"/>
    </row>
    <row r="3" spans="1:29" ht="15">
      <c r="A3" s="27"/>
      <c r="B3" s="28" t="s">
        <v>154</v>
      </c>
      <c r="C3" s="59">
        <f>2552444036/1000</f>
        <v>2552444.036</v>
      </c>
      <c r="D3" s="59">
        <f>3264487328/1000</f>
        <v>3264487.328</v>
      </c>
      <c r="E3" s="59">
        <f>3520485739/1000</f>
        <v>3520485.739</v>
      </c>
      <c r="F3" s="59">
        <f>3735691715/1000</f>
        <v>3735691.715</v>
      </c>
      <c r="G3" s="59">
        <f>3299995879/1000</f>
        <v>3299995.879</v>
      </c>
      <c r="H3" s="59">
        <f>3449919113/1000</f>
        <v>3449919.113</v>
      </c>
      <c r="I3" s="59">
        <f>2722407778/1000</f>
        <v>2722407.778</v>
      </c>
      <c r="J3" s="59">
        <f>3371816848/1000</f>
        <v>3371816.848</v>
      </c>
      <c r="K3" s="59">
        <f>3560007926/1000</f>
        <v>3560007.926</v>
      </c>
      <c r="L3" s="59">
        <f>3067031764/1000</f>
        <v>3067031.764</v>
      </c>
      <c r="M3" s="59">
        <f>3018290172/1000</f>
        <v>3018290.172</v>
      </c>
      <c r="N3" s="59">
        <f>2614938274/1000</f>
        <v>2614938.274</v>
      </c>
      <c r="O3" s="59">
        <f>SUM(C3:N3)</f>
        <v>38177516.572</v>
      </c>
      <c r="P3" s="22"/>
      <c r="S3" t="s">
        <v>189</v>
      </c>
      <c r="T3"/>
      <c r="U3"/>
      <c r="V3"/>
      <c r="W3"/>
      <c r="X3"/>
      <c r="Y3"/>
      <c r="Z3"/>
      <c r="AA3"/>
      <c r="AB3"/>
      <c r="AC3"/>
    </row>
    <row r="4" spans="1:29" ht="15">
      <c r="A4" s="27"/>
      <c r="B4" s="28" t="s">
        <v>155</v>
      </c>
      <c r="C4" s="59">
        <f>1666359726/1000</f>
        <v>1666359.726</v>
      </c>
      <c r="D4" s="59">
        <f>2115878631/1000</f>
        <v>2115878.631</v>
      </c>
      <c r="E4" s="59">
        <f>2285993696/1000</f>
        <v>2285993.696</v>
      </c>
      <c r="F4" s="59">
        <f>2298138029/1000</f>
        <v>2298138.029</v>
      </c>
      <c r="G4" s="59">
        <f>1889901959/1000</f>
        <v>1889901.959</v>
      </c>
      <c r="H4" s="59">
        <f>2216421778/1000</f>
        <v>2216421.778</v>
      </c>
      <c r="I4" s="59">
        <f>1750213462/1000</f>
        <v>1750213.462</v>
      </c>
      <c r="J4" s="59">
        <f>2177069159/1000</f>
        <v>2177069.159</v>
      </c>
      <c r="K4" s="59">
        <f>2109275055/1000</f>
        <v>2109275.055</v>
      </c>
      <c r="L4" s="59">
        <f>1854722628/1000</f>
        <v>1854722.628</v>
      </c>
      <c r="M4" s="59">
        <f>1739738080/1000</f>
        <v>1739738.08</v>
      </c>
      <c r="N4" s="59">
        <f>1763369104/1000</f>
        <v>1763369.104</v>
      </c>
      <c r="O4" s="59">
        <f>SUM(C4:N4)</f>
        <v>23867081.306999993</v>
      </c>
      <c r="P4" s="22"/>
      <c r="S4" t="s">
        <v>189</v>
      </c>
      <c r="T4"/>
      <c r="U4"/>
      <c r="V4"/>
      <c r="W4"/>
      <c r="X4"/>
      <c r="Y4"/>
      <c r="Z4"/>
      <c r="AA4"/>
      <c r="AB4"/>
      <c r="AC4"/>
    </row>
    <row r="5" spans="1:29" ht="15">
      <c r="A5" s="27"/>
      <c r="B5" s="30" t="s">
        <v>134</v>
      </c>
      <c r="C5" s="31">
        <f>SUM(C16:C149)</f>
        <v>3172260.2970000007</v>
      </c>
      <c r="D5" s="31">
        <f>SUM(D16:D149)</f>
        <v>4045677.9489999968</v>
      </c>
      <c r="E5" s="31">
        <f aca="true" t="shared" si="0" ref="E5:N5">SUM(E16:E149)</f>
        <v>4366086.988000002</v>
      </c>
      <c r="F5" s="31">
        <f t="shared" si="0"/>
        <v>4537039.3259999985</v>
      </c>
      <c r="G5" s="31">
        <f t="shared" si="0"/>
        <v>3902458.567999999</v>
      </c>
      <c r="H5" s="31">
        <f t="shared" si="0"/>
        <v>4260712.110000001</v>
      </c>
      <c r="I5" s="31">
        <f t="shared" si="0"/>
        <v>3363114.1950000008</v>
      </c>
      <c r="J5" s="31">
        <f t="shared" si="0"/>
        <v>4172393.827000001</v>
      </c>
      <c r="K5" s="31">
        <f t="shared" si="0"/>
        <v>4262924.374000001</v>
      </c>
      <c r="L5" s="31">
        <f t="shared" si="0"/>
        <v>3700832.497</v>
      </c>
      <c r="M5" s="31">
        <f t="shared" si="0"/>
        <v>3577721.319</v>
      </c>
      <c r="N5" s="31">
        <f t="shared" si="0"/>
        <v>3292196.431</v>
      </c>
      <c r="O5" s="29">
        <f>SUM(C5:N5)</f>
        <v>46653417.881</v>
      </c>
      <c r="P5" s="22"/>
      <c r="S5"/>
      <c r="T5"/>
      <c r="U5"/>
      <c r="V5"/>
      <c r="W5"/>
      <c r="X5"/>
      <c r="Y5"/>
      <c r="Z5"/>
      <c r="AA5"/>
      <c r="AB5"/>
      <c r="AC5"/>
    </row>
    <row r="6" spans="1:16" ht="15">
      <c r="A6" s="27"/>
      <c r="B6" s="30" t="s">
        <v>137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29">
        <f aca="true" t="shared" si="1" ref="O6:O11">SUM(C6:N6)</f>
        <v>0</v>
      </c>
      <c r="P6" s="22"/>
    </row>
    <row r="7" spans="1:19" ht="15">
      <c r="A7" s="27"/>
      <c r="B7" s="30" t="s">
        <v>138</v>
      </c>
      <c r="C7" s="60">
        <v>8184</v>
      </c>
      <c r="D7" s="60">
        <v>7931</v>
      </c>
      <c r="E7" s="60">
        <v>8184</v>
      </c>
      <c r="F7" s="60">
        <v>8184</v>
      </c>
      <c r="G7" s="60">
        <v>7656</v>
      </c>
      <c r="H7" s="60">
        <v>8173</v>
      </c>
      <c r="I7" s="60">
        <v>7920</v>
      </c>
      <c r="J7" s="60">
        <v>8184</v>
      </c>
      <c r="K7" s="60">
        <v>7920</v>
      </c>
      <c r="L7" s="60">
        <v>8184</v>
      </c>
      <c r="M7" s="60">
        <v>8184</v>
      </c>
      <c r="N7" s="60">
        <v>7920</v>
      </c>
      <c r="O7" s="59">
        <f t="shared" si="1"/>
        <v>96624</v>
      </c>
      <c r="P7" s="22"/>
      <c r="S7" s="68" t="s">
        <v>191</v>
      </c>
    </row>
    <row r="8" spans="1:16" ht="15">
      <c r="A8" s="27"/>
      <c r="B8" s="30" t="s">
        <v>139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9">
        <f t="shared" si="1"/>
        <v>0</v>
      </c>
      <c r="P8" s="22"/>
    </row>
    <row r="9" spans="1:47" ht="15">
      <c r="A9" s="27"/>
      <c r="B9" s="69" t="s">
        <v>184</v>
      </c>
      <c r="C9" s="60"/>
      <c r="D9" s="60"/>
      <c r="E9" s="61">
        <v>79411.155</v>
      </c>
      <c r="F9" s="61">
        <v>82520.466</v>
      </c>
      <c r="G9" s="61">
        <v>70978.6</v>
      </c>
      <c r="H9" s="61">
        <v>77494.578</v>
      </c>
      <c r="I9" s="61">
        <v>61168.909</v>
      </c>
      <c r="J9" s="61">
        <v>75888.23</v>
      </c>
      <c r="K9" s="61">
        <v>77534.814</v>
      </c>
      <c r="L9" s="61">
        <v>67311.39</v>
      </c>
      <c r="M9" s="61">
        <v>65072.222</v>
      </c>
      <c r="N9" s="61">
        <v>59879.045</v>
      </c>
      <c r="O9" s="59">
        <f t="shared" si="1"/>
        <v>717259.409</v>
      </c>
      <c r="P9" s="22"/>
      <c r="S9" s="68" t="s">
        <v>190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spans="1:47" ht="15">
      <c r="A10" s="27"/>
      <c r="B10" s="69" t="s">
        <v>183</v>
      </c>
      <c r="C10" s="60"/>
      <c r="D10" s="60"/>
      <c r="E10" s="61">
        <v>56210.205</v>
      </c>
      <c r="F10" s="61">
        <v>58411.092</v>
      </c>
      <c r="G10" s="61">
        <v>50241.325</v>
      </c>
      <c r="H10" s="61">
        <v>54853.58</v>
      </c>
      <c r="I10" s="61">
        <v>43297.657</v>
      </c>
      <c r="J10" s="61">
        <v>53716.546</v>
      </c>
      <c r="K10" s="61">
        <v>54882.061</v>
      </c>
      <c r="L10" s="61">
        <v>47645.536</v>
      </c>
      <c r="M10" s="61">
        <v>46060.568</v>
      </c>
      <c r="N10" s="61">
        <v>42384.642</v>
      </c>
      <c r="O10" s="59">
        <f t="shared" si="1"/>
        <v>507703.21200000006</v>
      </c>
      <c r="P10" s="22"/>
      <c r="U10" s="55"/>
      <c r="V10" s="31"/>
      <c r="W10" s="31"/>
      <c r="X10" s="31"/>
      <c r="Y10" s="31"/>
      <c r="Z10" s="31"/>
      <c r="AA10" s="31"/>
      <c r="AB10" s="31"/>
      <c r="AC10" s="31"/>
      <c r="AD10" s="31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5">
      <c r="A11" s="27"/>
      <c r="B11" s="69" t="s">
        <v>185</v>
      </c>
      <c r="C11" s="60"/>
      <c r="D11" s="60"/>
      <c r="E11" s="61">
        <v>16346.982</v>
      </c>
      <c r="F11" s="61">
        <v>16987.041</v>
      </c>
      <c r="G11" s="61">
        <v>14611.119</v>
      </c>
      <c r="H11" s="61">
        <v>15952.449</v>
      </c>
      <c r="I11" s="61">
        <v>12591.771</v>
      </c>
      <c r="J11" s="61">
        <v>15621.779</v>
      </c>
      <c r="K11" s="61">
        <v>15960.732</v>
      </c>
      <c r="L11" s="61">
        <v>13856.216</v>
      </c>
      <c r="M11" s="61">
        <v>13395.277</v>
      </c>
      <c r="N11" s="61">
        <v>12326.249</v>
      </c>
      <c r="O11" s="59">
        <f t="shared" si="1"/>
        <v>147649.615</v>
      </c>
      <c r="P11" s="22"/>
      <c r="V11" s="31"/>
      <c r="W11" s="31"/>
      <c r="X11" s="31"/>
      <c r="Y11" s="31"/>
      <c r="Z11" s="31"/>
      <c r="AA11" s="31"/>
      <c r="AB11" s="31"/>
      <c r="AC11" s="31"/>
      <c r="AD11" s="31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16" ht="15">
      <c r="A12" s="27"/>
      <c r="B12" s="30" t="s">
        <v>135</v>
      </c>
      <c r="C12" s="31">
        <f>SUM(C5:C8)-SUM(C9:C11)</f>
        <v>3180444.2970000007</v>
      </c>
      <c r="D12" s="31">
        <f aca="true" t="shared" si="2" ref="D12:N12">SUM(D5:D8)-SUM(D9:D11)</f>
        <v>4053608.9489999968</v>
      </c>
      <c r="E12" s="31">
        <f>SUM(E5:E8)-SUM(E9:E11)</f>
        <v>4222302.646000002</v>
      </c>
      <c r="F12" s="31">
        <f t="shared" si="2"/>
        <v>4387304.726999998</v>
      </c>
      <c r="G12" s="31">
        <f>SUM(G5:G8)-SUM(G9:G11)</f>
        <v>3774283.5239999993</v>
      </c>
      <c r="H12" s="31">
        <f t="shared" si="2"/>
        <v>4120584.5030000014</v>
      </c>
      <c r="I12" s="31">
        <f t="shared" si="2"/>
        <v>3253975.858000001</v>
      </c>
      <c r="J12" s="31">
        <f t="shared" si="2"/>
        <v>4035351.272000001</v>
      </c>
      <c r="K12" s="31">
        <f t="shared" si="2"/>
        <v>4122466.767000001</v>
      </c>
      <c r="L12" s="31">
        <f>SUM(L5:L8)-SUM(L9:L11)</f>
        <v>3580203.355</v>
      </c>
      <c r="M12" s="31">
        <f t="shared" si="2"/>
        <v>3461377.2520000003</v>
      </c>
      <c r="N12" s="31">
        <f t="shared" si="2"/>
        <v>3185526.4949999996</v>
      </c>
      <c r="O12" s="29">
        <f>SUM(C12:N12)</f>
        <v>45377429.64499999</v>
      </c>
      <c r="P12" s="22"/>
    </row>
    <row r="13" spans="1:16" ht="15">
      <c r="A13" s="27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9"/>
      <c r="P13" s="22"/>
    </row>
    <row r="14" spans="1:30" ht="15">
      <c r="A14" s="17" t="s">
        <v>157</v>
      </c>
      <c r="B14" s="2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R14" s="41" t="s">
        <v>195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80" t="s">
        <v>196</v>
      </c>
      <c r="AD14" s="81"/>
    </row>
    <row r="15" spans="1:31" ht="24">
      <c r="A15" s="17"/>
      <c r="B15"/>
      <c r="C15" s="21">
        <f aca="true" t="shared" si="3" ref="C15:N15">C2</f>
        <v>45200</v>
      </c>
      <c r="D15" s="21">
        <f t="shared" si="3"/>
        <v>45231</v>
      </c>
      <c r="E15" s="21">
        <f t="shared" si="3"/>
        <v>45261</v>
      </c>
      <c r="F15" s="21">
        <f t="shared" si="3"/>
        <v>45292</v>
      </c>
      <c r="G15" s="21">
        <f t="shared" si="3"/>
        <v>45323</v>
      </c>
      <c r="H15" s="21">
        <f t="shared" si="3"/>
        <v>45352</v>
      </c>
      <c r="I15" s="21">
        <f t="shared" si="3"/>
        <v>45383</v>
      </c>
      <c r="J15" s="21">
        <f t="shared" si="3"/>
        <v>45413</v>
      </c>
      <c r="K15" s="21">
        <f t="shared" si="3"/>
        <v>45444</v>
      </c>
      <c r="L15" s="21">
        <f t="shared" si="3"/>
        <v>45474</v>
      </c>
      <c r="M15" s="21">
        <f t="shared" si="3"/>
        <v>45505</v>
      </c>
      <c r="N15" s="21">
        <f t="shared" si="3"/>
        <v>45536</v>
      </c>
      <c r="O15" s="20" t="s">
        <v>136</v>
      </c>
      <c r="P15" s="22"/>
      <c r="R15" s="43" t="s">
        <v>0</v>
      </c>
      <c r="S15" s="43" t="s">
        <v>1</v>
      </c>
      <c r="T15" s="43" t="s">
        <v>169</v>
      </c>
      <c r="U15" s="43" t="s">
        <v>170</v>
      </c>
      <c r="V15" s="43" t="s">
        <v>171</v>
      </c>
      <c r="W15" s="43" t="s">
        <v>172</v>
      </c>
      <c r="X15" s="43" t="s">
        <v>173</v>
      </c>
      <c r="Y15" s="43" t="s">
        <v>174</v>
      </c>
      <c r="Z15" s="43" t="s">
        <v>152</v>
      </c>
      <c r="AA15" s="43" t="s">
        <v>175</v>
      </c>
      <c r="AB15" s="43" t="s">
        <v>176</v>
      </c>
      <c r="AC15" s="43" t="s">
        <v>177</v>
      </c>
      <c r="AD15" s="43" t="s">
        <v>167</v>
      </c>
      <c r="AE15" s="78"/>
    </row>
    <row r="16" spans="1:31" ht="15">
      <c r="A16" s="22">
        <v>10005</v>
      </c>
      <c r="B16" s="22" t="s">
        <v>2</v>
      </c>
      <c r="C16" s="33">
        <f>ROUND(C$3*$V16,3)+ROUND(C$4*$V16,3)</f>
        <v>327.38</v>
      </c>
      <c r="D16" s="33">
        <f>ROUND(D$3*$V16,3)+ROUND(D$4*$V16,3)</f>
        <v>417.516</v>
      </c>
      <c r="E16" s="33">
        <f>ROUND(E$3*$V16,3)+ROUND(E$4*$V16,3)</f>
        <v>450.58299999999997</v>
      </c>
      <c r="F16" s="33">
        <f aca="true" t="shared" si="4" ref="D16:N31">ROUND(F$3*$V16,3)+ROUND(F$4*$V16,3)</f>
        <v>468.226</v>
      </c>
      <c r="G16" s="33">
        <f t="shared" si="4"/>
        <v>402.736</v>
      </c>
      <c r="H16" s="33">
        <f t="shared" si="4"/>
        <v>439.70799999999997</v>
      </c>
      <c r="I16" s="33">
        <f t="shared" si="4"/>
        <v>347.076</v>
      </c>
      <c r="J16" s="33">
        <f t="shared" si="4"/>
        <v>430.59400000000005</v>
      </c>
      <c r="K16" s="33">
        <f t="shared" si="4"/>
        <v>439.937</v>
      </c>
      <c r="L16" s="33">
        <f t="shared" si="4"/>
        <v>381.928</v>
      </c>
      <c r="M16" s="33">
        <f t="shared" si="4"/>
        <v>369.22299999999996</v>
      </c>
      <c r="N16" s="33">
        <f t="shared" si="4"/>
        <v>339.756</v>
      </c>
      <c r="O16" s="34">
        <f>SUM(C16:N16)</f>
        <v>4814.6630000000005</v>
      </c>
      <c r="P16" s="22"/>
      <c r="R16" s="22">
        <v>10005</v>
      </c>
      <c r="S16" s="22" t="s">
        <v>2</v>
      </c>
      <c r="T16" s="23">
        <v>7.76E-05</v>
      </c>
      <c r="U16" s="23">
        <v>7.76E-05</v>
      </c>
      <c r="V16" s="23">
        <v>7.76E-05</v>
      </c>
      <c r="W16" s="23">
        <v>7.76E-05</v>
      </c>
      <c r="X16" s="23">
        <v>0</v>
      </c>
      <c r="Y16" s="23">
        <v>0</v>
      </c>
      <c r="Z16" s="24">
        <v>0.548</v>
      </c>
      <c r="AA16" s="24">
        <v>0.548</v>
      </c>
      <c r="AB16" s="24">
        <v>0.548</v>
      </c>
      <c r="AC16" s="79">
        <v>0.02482</v>
      </c>
      <c r="AD16" s="40">
        <v>0</v>
      </c>
      <c r="AE16" s="77"/>
    </row>
    <row r="17" spans="1:31" ht="15">
      <c r="A17" s="22">
        <v>10015</v>
      </c>
      <c r="B17" s="22" t="s">
        <v>3</v>
      </c>
      <c r="C17" s="33">
        <f aca="true" t="shared" si="5" ref="C17:N48">ROUND(C$3*$V17,3)+ROUND(C$4*$V17,3)</f>
        <v>342.145</v>
      </c>
      <c r="D17" s="33">
        <f t="shared" si="4"/>
        <v>436.348</v>
      </c>
      <c r="E17" s="33">
        <f t="shared" si="4"/>
        <v>470.90500000000003</v>
      </c>
      <c r="F17" s="33">
        <f t="shared" si="4"/>
        <v>489.34399999999994</v>
      </c>
      <c r="G17" s="33">
        <f t="shared" si="4"/>
        <v>420.90099999999995</v>
      </c>
      <c r="H17" s="33">
        <f t="shared" si="4"/>
        <v>459.54</v>
      </c>
      <c r="I17" s="33">
        <f t="shared" si="4"/>
        <v>362.72900000000004</v>
      </c>
      <c r="J17" s="33">
        <f t="shared" si="4"/>
        <v>450.014</v>
      </c>
      <c r="K17" s="33">
        <f t="shared" si="4"/>
        <v>459.779</v>
      </c>
      <c r="L17" s="33">
        <f t="shared" si="4"/>
        <v>399.154</v>
      </c>
      <c r="M17" s="33">
        <f t="shared" si="4"/>
        <v>385.876</v>
      </c>
      <c r="N17" s="33">
        <f t="shared" si="4"/>
        <v>355.08</v>
      </c>
      <c r="O17" s="34">
        <f aca="true" t="shared" si="6" ref="O17:O80">SUM(C17:N17)</f>
        <v>5031.815</v>
      </c>
      <c r="P17" s="22"/>
      <c r="R17" s="22">
        <v>10015</v>
      </c>
      <c r="S17" s="22" t="s">
        <v>3</v>
      </c>
      <c r="T17" s="23">
        <v>8.11E-05</v>
      </c>
      <c r="U17" s="23">
        <v>8.11E-05</v>
      </c>
      <c r="V17" s="23">
        <v>8.11E-05</v>
      </c>
      <c r="W17" s="23">
        <v>8.11E-05</v>
      </c>
      <c r="X17" s="23">
        <v>0</v>
      </c>
      <c r="Y17" s="23">
        <v>0</v>
      </c>
      <c r="Z17" s="24">
        <v>0.573</v>
      </c>
      <c r="AA17" s="24">
        <v>0.573</v>
      </c>
      <c r="AB17" s="24">
        <v>0.573</v>
      </c>
      <c r="AC17" s="75">
        <v>0</v>
      </c>
      <c r="AD17" s="40">
        <v>0</v>
      </c>
      <c r="AE17" s="77"/>
    </row>
    <row r="18" spans="1:34" s="48" customFormat="1" ht="15">
      <c r="A18" s="45">
        <v>10024</v>
      </c>
      <c r="B18" s="45" t="s">
        <v>4</v>
      </c>
      <c r="C18" s="46">
        <f t="shared" si="5"/>
        <v>120007.24799999999</v>
      </c>
      <c r="D18" s="46">
        <f t="shared" si="4"/>
        <v>153048.814</v>
      </c>
      <c r="E18" s="46">
        <f>ROUND(E$3*$V18,3)+ROUND(E$4*$V18,3)</f>
        <v>165169.952</v>
      </c>
      <c r="F18" s="46">
        <f t="shared" si="4"/>
        <v>171637.114</v>
      </c>
      <c r="G18" s="46">
        <f t="shared" si="4"/>
        <v>147630.796</v>
      </c>
      <c r="H18" s="46">
        <f t="shared" si="4"/>
        <v>161183.6</v>
      </c>
      <c r="I18" s="46">
        <f t="shared" si="4"/>
        <v>127227.28899999999</v>
      </c>
      <c r="J18" s="46">
        <f t="shared" si="4"/>
        <v>157842.502</v>
      </c>
      <c r="K18" s="46">
        <f t="shared" si="4"/>
        <v>161267.289</v>
      </c>
      <c r="L18" s="46">
        <f t="shared" si="4"/>
        <v>140003.241</v>
      </c>
      <c r="M18" s="46">
        <f>ROUND(M$3*$V18,3)+ROUND(M$4*$V18,3)</f>
        <v>135345.92</v>
      </c>
      <c r="N18" s="46">
        <f>ROUND(N$3*$V18,3)+ROUND(N$4*$V18,3)</f>
        <v>124544.456</v>
      </c>
      <c r="O18" s="47">
        <f t="shared" si="6"/>
        <v>1764908.2209999997</v>
      </c>
      <c r="P18" s="45"/>
      <c r="Q18" s="49"/>
      <c r="R18" s="45">
        <v>10024</v>
      </c>
      <c r="S18" s="45" t="s">
        <v>4</v>
      </c>
      <c r="T18" s="50">
        <v>0.0284458</v>
      </c>
      <c r="U18" s="50">
        <v>0.0284458</v>
      </c>
      <c r="V18" s="50">
        <v>0.0284458</v>
      </c>
      <c r="W18" s="50">
        <v>0.0284458</v>
      </c>
      <c r="X18" s="50">
        <v>0</v>
      </c>
      <c r="Y18" s="50">
        <v>0</v>
      </c>
      <c r="Z18" s="51">
        <v>200.923</v>
      </c>
      <c r="AA18" s="51">
        <v>200.923</v>
      </c>
      <c r="AB18" s="51">
        <v>200.923</v>
      </c>
      <c r="AC18" s="76">
        <v>0</v>
      </c>
      <c r="AD18" s="52">
        <v>0</v>
      </c>
      <c r="AE18" s="53"/>
      <c r="AF18" s="54"/>
      <c r="AG18" s="54"/>
      <c r="AH18" s="54"/>
    </row>
    <row r="19" spans="1:31" ht="15">
      <c r="A19" s="22">
        <v>10025</v>
      </c>
      <c r="B19" s="22" t="s">
        <v>5</v>
      </c>
      <c r="C19" s="33">
        <f t="shared" si="5"/>
        <v>35633.282</v>
      </c>
      <c r="D19" s="33">
        <f t="shared" si="4"/>
        <v>45444.185</v>
      </c>
      <c r="E19" s="33">
        <f t="shared" si="4"/>
        <v>49043.268</v>
      </c>
      <c r="F19" s="33">
        <f t="shared" si="4"/>
        <v>50963.536</v>
      </c>
      <c r="G19" s="33">
        <f t="shared" si="4"/>
        <v>43835.434</v>
      </c>
      <c r="H19" s="33">
        <f t="shared" si="4"/>
        <v>47859.615</v>
      </c>
      <c r="I19" s="33">
        <f t="shared" si="4"/>
        <v>37777.101</v>
      </c>
      <c r="J19" s="33">
        <f t="shared" si="4"/>
        <v>46867.556</v>
      </c>
      <c r="K19" s="33">
        <f t="shared" si="4"/>
        <v>47884.465</v>
      </c>
      <c r="L19" s="33">
        <f t="shared" si="4"/>
        <v>41570.614</v>
      </c>
      <c r="M19" s="33">
        <f t="shared" si="4"/>
        <v>40187.734</v>
      </c>
      <c r="N19" s="33">
        <f t="shared" si="4"/>
        <v>36980.497</v>
      </c>
      <c r="O19" s="34">
        <f t="shared" si="6"/>
        <v>524047.287</v>
      </c>
      <c r="P19" s="22"/>
      <c r="R19" s="22">
        <v>10025</v>
      </c>
      <c r="S19" s="22" t="s">
        <v>5</v>
      </c>
      <c r="T19" s="23">
        <v>0.0084463</v>
      </c>
      <c r="U19" s="23">
        <v>0.0084463</v>
      </c>
      <c r="V19" s="23">
        <v>0.0084463</v>
      </c>
      <c r="W19" s="23">
        <v>0.0084463</v>
      </c>
      <c r="X19" s="23">
        <v>0</v>
      </c>
      <c r="Y19" s="23">
        <v>0</v>
      </c>
      <c r="Z19" s="24">
        <v>59.659</v>
      </c>
      <c r="AA19" s="24">
        <v>59.659</v>
      </c>
      <c r="AB19" s="24">
        <v>59.659</v>
      </c>
      <c r="AC19" s="79">
        <v>0.05976</v>
      </c>
      <c r="AD19" s="40">
        <v>0</v>
      </c>
      <c r="AE19" s="77"/>
    </row>
    <row r="20" spans="1:31" ht="15">
      <c r="A20" s="22">
        <v>10027</v>
      </c>
      <c r="B20" s="22" t="s">
        <v>6</v>
      </c>
      <c r="C20" s="33">
        <f t="shared" si="5"/>
        <v>36550.028</v>
      </c>
      <c r="D20" s="33">
        <f t="shared" si="4"/>
        <v>46613.338</v>
      </c>
      <c r="E20" s="33">
        <f t="shared" si="4"/>
        <v>50305.015</v>
      </c>
      <c r="F20" s="33">
        <f t="shared" si="4"/>
        <v>52274.688</v>
      </c>
      <c r="G20" s="33">
        <f t="shared" si="4"/>
        <v>44963.199</v>
      </c>
      <c r="H20" s="33">
        <f t="shared" si="4"/>
        <v>49090.911</v>
      </c>
      <c r="I20" s="33">
        <f t="shared" si="4"/>
        <v>38749.001</v>
      </c>
      <c r="J20" s="33">
        <f t="shared" si="4"/>
        <v>48073.328</v>
      </c>
      <c r="K20" s="33">
        <f t="shared" si="4"/>
        <v>49116.4</v>
      </c>
      <c r="L20" s="33">
        <f t="shared" si="4"/>
        <v>42640.111000000004</v>
      </c>
      <c r="M20" s="33">
        <f t="shared" si="4"/>
        <v>41221.653999999995</v>
      </c>
      <c r="N20" s="33">
        <f t="shared" si="4"/>
        <v>37931.903999999995</v>
      </c>
      <c r="O20" s="34">
        <f t="shared" si="6"/>
        <v>537529.5769999999</v>
      </c>
      <c r="P20" s="22"/>
      <c r="R20" s="22">
        <v>10027</v>
      </c>
      <c r="S20" s="22" t="s">
        <v>6</v>
      </c>
      <c r="T20" s="23">
        <v>0.0086636</v>
      </c>
      <c r="U20" s="23">
        <v>0.0086636</v>
      </c>
      <c r="V20" s="23">
        <v>0.0086636</v>
      </c>
      <c r="W20" s="23">
        <v>0.0086636</v>
      </c>
      <c r="X20" s="23">
        <v>0</v>
      </c>
      <c r="Y20" s="23">
        <v>0</v>
      </c>
      <c r="Z20" s="24">
        <v>61.194</v>
      </c>
      <c r="AA20" s="24">
        <v>61.194</v>
      </c>
      <c r="AB20" s="24">
        <v>61.194</v>
      </c>
      <c r="AC20" s="79">
        <v>0.07755</v>
      </c>
      <c r="AD20" s="40">
        <v>0</v>
      </c>
      <c r="AE20" s="77"/>
    </row>
    <row r="21" spans="1:31" ht="15">
      <c r="A21" s="22">
        <v>10029</v>
      </c>
      <c r="B21" s="22" t="s">
        <v>7</v>
      </c>
      <c r="C21" s="33">
        <f t="shared" si="5"/>
        <v>10521.696</v>
      </c>
      <c r="D21" s="33">
        <f t="shared" si="4"/>
        <v>13418.632000000001</v>
      </c>
      <c r="E21" s="33">
        <f t="shared" si="4"/>
        <v>14481.359</v>
      </c>
      <c r="F21" s="33">
        <f t="shared" si="4"/>
        <v>15048.371</v>
      </c>
      <c r="G21" s="33">
        <f t="shared" si="4"/>
        <v>12943.605</v>
      </c>
      <c r="H21" s="33">
        <f t="shared" si="4"/>
        <v>14131.854</v>
      </c>
      <c r="I21" s="33">
        <f t="shared" si="4"/>
        <v>11154.717</v>
      </c>
      <c r="J21" s="33">
        <f t="shared" si="4"/>
        <v>13838.920999999998</v>
      </c>
      <c r="K21" s="33">
        <f t="shared" si="4"/>
        <v>14139.192</v>
      </c>
      <c r="L21" s="33">
        <f t="shared" si="4"/>
        <v>12274.855</v>
      </c>
      <c r="M21" s="33">
        <f t="shared" si="4"/>
        <v>11866.523000000001</v>
      </c>
      <c r="N21" s="33">
        <f t="shared" si="4"/>
        <v>10919.499</v>
      </c>
      <c r="O21" s="34">
        <f t="shared" si="6"/>
        <v>154739.224</v>
      </c>
      <c r="R21" s="22">
        <v>10029</v>
      </c>
      <c r="S21" s="22" t="s">
        <v>7</v>
      </c>
      <c r="T21" s="23">
        <v>0.002494</v>
      </c>
      <c r="U21" s="23">
        <v>0.002494</v>
      </c>
      <c r="V21" s="23">
        <v>0.002494</v>
      </c>
      <c r="W21" s="23">
        <v>0.002494</v>
      </c>
      <c r="X21" s="23">
        <v>0</v>
      </c>
      <c r="Y21" s="23">
        <v>0</v>
      </c>
      <c r="Z21" s="24">
        <v>17.616</v>
      </c>
      <c r="AA21" s="24">
        <v>17.616</v>
      </c>
      <c r="AB21" s="24">
        <v>17.616</v>
      </c>
      <c r="AC21" s="79">
        <v>0.07999</v>
      </c>
      <c r="AD21" s="40">
        <v>1</v>
      </c>
      <c r="AE21" s="77"/>
    </row>
    <row r="22" spans="1:31" ht="15">
      <c r="A22" s="22">
        <v>10044</v>
      </c>
      <c r="B22" s="22" t="s">
        <v>8</v>
      </c>
      <c r="C22" s="33">
        <f t="shared" si="5"/>
        <v>12130.326000000001</v>
      </c>
      <c r="D22" s="33">
        <f t="shared" si="4"/>
        <v>15470.166</v>
      </c>
      <c r="E22" s="33">
        <f t="shared" si="4"/>
        <v>16695.371</v>
      </c>
      <c r="F22" s="33">
        <f t="shared" si="4"/>
        <v>17349.07</v>
      </c>
      <c r="G22" s="33">
        <f t="shared" si="4"/>
        <v>14922.512999999999</v>
      </c>
      <c r="H22" s="33">
        <f t="shared" si="4"/>
        <v>16292.43</v>
      </c>
      <c r="I22" s="33">
        <f t="shared" si="4"/>
        <v>12860.128</v>
      </c>
      <c r="J22" s="33">
        <f t="shared" si="4"/>
        <v>15954.712</v>
      </c>
      <c r="K22" s="33">
        <f t="shared" si="4"/>
        <v>16300.89</v>
      </c>
      <c r="L22" s="33">
        <f t="shared" si="4"/>
        <v>14151.52</v>
      </c>
      <c r="M22" s="33">
        <f t="shared" si="4"/>
        <v>13680.759</v>
      </c>
      <c r="N22" s="33">
        <f t="shared" si="4"/>
        <v>12588.947</v>
      </c>
      <c r="O22" s="34">
        <f t="shared" si="6"/>
        <v>178396.83199999994</v>
      </c>
      <c r="R22" s="22">
        <v>10044</v>
      </c>
      <c r="S22" s="22" t="s">
        <v>8</v>
      </c>
      <c r="T22" s="23">
        <v>0.0028753</v>
      </c>
      <c r="U22" s="23">
        <v>0.0028753</v>
      </c>
      <c r="V22" s="23">
        <v>0.0028753</v>
      </c>
      <c r="W22" s="23">
        <v>0.0028753</v>
      </c>
      <c r="X22" s="23">
        <v>0</v>
      </c>
      <c r="Y22" s="23">
        <v>0</v>
      </c>
      <c r="Z22" s="24">
        <v>20.309</v>
      </c>
      <c r="AA22" s="24">
        <v>20.309</v>
      </c>
      <c r="AB22" s="24">
        <v>20.309</v>
      </c>
      <c r="AC22" s="75">
        <v>0</v>
      </c>
      <c r="AD22" s="40">
        <v>0</v>
      </c>
      <c r="AE22" s="77"/>
    </row>
    <row r="23" spans="1:31" ht="15">
      <c r="A23" s="22">
        <v>10046</v>
      </c>
      <c r="B23" s="22" t="s">
        <v>9</v>
      </c>
      <c r="C23" s="33">
        <f t="shared" si="5"/>
        <v>48887.92</v>
      </c>
      <c r="D23" s="33">
        <f t="shared" si="4"/>
        <v>62348.219</v>
      </c>
      <c r="E23" s="33">
        <f t="shared" si="4"/>
        <v>67286.065</v>
      </c>
      <c r="F23" s="33">
        <f t="shared" si="4"/>
        <v>69920.622</v>
      </c>
      <c r="G23" s="33">
        <f t="shared" si="4"/>
        <v>60141.055</v>
      </c>
      <c r="H23" s="33">
        <f t="shared" si="4"/>
        <v>65662.125</v>
      </c>
      <c r="I23" s="33">
        <f t="shared" si="4"/>
        <v>51829.183000000005</v>
      </c>
      <c r="J23" s="33">
        <f t="shared" si="4"/>
        <v>64301.046</v>
      </c>
      <c r="K23" s="33">
        <f t="shared" si="4"/>
        <v>65696.21800000001</v>
      </c>
      <c r="L23" s="33">
        <f t="shared" si="4"/>
        <v>57033.78200000001</v>
      </c>
      <c r="M23" s="33">
        <f t="shared" si="4"/>
        <v>55136.507</v>
      </c>
      <c r="N23" s="33">
        <f t="shared" si="4"/>
        <v>50736.264</v>
      </c>
      <c r="O23" s="34">
        <f t="shared" si="6"/>
        <v>718979.0059999999</v>
      </c>
      <c r="R23" s="22">
        <v>10046</v>
      </c>
      <c r="S23" s="22" t="s">
        <v>9</v>
      </c>
      <c r="T23" s="23">
        <v>0.0115881</v>
      </c>
      <c r="U23" s="23">
        <v>0.0115881</v>
      </c>
      <c r="V23" s="23">
        <v>0.0115881</v>
      </c>
      <c r="W23" s="23">
        <v>0.0115881</v>
      </c>
      <c r="X23" s="23">
        <v>0</v>
      </c>
      <c r="Y23" s="23">
        <v>0</v>
      </c>
      <c r="Z23" s="24">
        <v>81.851</v>
      </c>
      <c r="AA23" s="24">
        <v>81.851</v>
      </c>
      <c r="AB23" s="24">
        <v>81.851</v>
      </c>
      <c r="AC23" s="79">
        <v>0.07852</v>
      </c>
      <c r="AD23" s="40">
        <v>1</v>
      </c>
      <c r="AE23" s="77"/>
    </row>
    <row r="24" spans="1:31" ht="15">
      <c r="A24" s="22">
        <v>10047</v>
      </c>
      <c r="B24" s="22" t="s">
        <v>10</v>
      </c>
      <c r="C24" s="33">
        <f t="shared" si="5"/>
        <v>90973.44099999999</v>
      </c>
      <c r="D24" s="33">
        <f t="shared" si="4"/>
        <v>116021.136</v>
      </c>
      <c r="E24" s="33">
        <f t="shared" si="4"/>
        <v>125209.761</v>
      </c>
      <c r="F24" s="33">
        <f t="shared" si="4"/>
        <v>130112.29800000001</v>
      </c>
      <c r="G24" s="33">
        <f t="shared" si="4"/>
        <v>111913.919</v>
      </c>
      <c r="H24" s="33">
        <f t="shared" si="4"/>
        <v>122187.842</v>
      </c>
      <c r="I24" s="33">
        <f t="shared" si="4"/>
        <v>96446.70999999999</v>
      </c>
      <c r="J24" s="33">
        <f t="shared" si="4"/>
        <v>119655.068</v>
      </c>
      <c r="K24" s="33">
        <f t="shared" si="4"/>
        <v>122251.284</v>
      </c>
      <c r="L24" s="33">
        <f t="shared" si="4"/>
        <v>106131.728</v>
      </c>
      <c r="M24" s="33">
        <f t="shared" si="4"/>
        <v>102601.17</v>
      </c>
      <c r="N24" s="33">
        <f t="shared" si="4"/>
        <v>94412.945</v>
      </c>
      <c r="O24" s="34">
        <f t="shared" si="6"/>
        <v>1337917.302</v>
      </c>
      <c r="R24" s="22">
        <v>10047</v>
      </c>
      <c r="S24" s="22" t="s">
        <v>10</v>
      </c>
      <c r="T24" s="23">
        <v>0.0215638</v>
      </c>
      <c r="U24" s="23">
        <v>0.0215853</v>
      </c>
      <c r="V24" s="23">
        <v>0.0215638</v>
      </c>
      <c r="W24" s="23">
        <v>0.0215853</v>
      </c>
      <c r="X24" s="23">
        <v>0</v>
      </c>
      <c r="Y24" s="23">
        <v>0</v>
      </c>
      <c r="Z24" s="24">
        <v>156.673</v>
      </c>
      <c r="AA24" s="24">
        <v>152.313</v>
      </c>
      <c r="AB24" s="24">
        <v>152.465</v>
      </c>
      <c r="AC24" s="75">
        <v>0</v>
      </c>
      <c r="AD24" s="40">
        <v>0</v>
      </c>
      <c r="AE24" s="77"/>
    </row>
    <row r="25" spans="1:31" ht="15">
      <c r="A25" s="22">
        <v>10055</v>
      </c>
      <c r="B25" s="22" t="s">
        <v>11</v>
      </c>
      <c r="C25" s="33">
        <f t="shared" si="5"/>
        <v>233.721</v>
      </c>
      <c r="D25" s="33">
        <f t="shared" si="4"/>
        <v>298.073</v>
      </c>
      <c r="E25" s="33">
        <f t="shared" si="4"/>
        <v>321.679</v>
      </c>
      <c r="F25" s="33">
        <f t="shared" si="4"/>
        <v>334.274</v>
      </c>
      <c r="G25" s="33">
        <f t="shared" si="4"/>
        <v>287.52099999999996</v>
      </c>
      <c r="H25" s="33">
        <f t="shared" si="4"/>
        <v>313.916</v>
      </c>
      <c r="I25" s="33">
        <f t="shared" si="4"/>
        <v>247.78300000000002</v>
      </c>
      <c r="J25" s="33">
        <f t="shared" si="4"/>
        <v>307.409</v>
      </c>
      <c r="K25" s="33">
        <f t="shared" si="4"/>
        <v>314.078</v>
      </c>
      <c r="L25" s="33">
        <f t="shared" si="4"/>
        <v>272.666</v>
      </c>
      <c r="M25" s="33">
        <f t="shared" si="4"/>
        <v>263.594</v>
      </c>
      <c r="N25" s="33">
        <f t="shared" si="4"/>
        <v>242.559</v>
      </c>
      <c r="O25" s="34">
        <f t="shared" si="6"/>
        <v>3437.273</v>
      </c>
      <c r="R25" s="22">
        <v>10055</v>
      </c>
      <c r="S25" s="22" t="s">
        <v>11</v>
      </c>
      <c r="T25" s="23">
        <v>5.54E-05</v>
      </c>
      <c r="U25" s="23">
        <v>5.52E-05</v>
      </c>
      <c r="V25" s="23">
        <v>5.54E-05</v>
      </c>
      <c r="W25" s="23">
        <v>5.52E-05</v>
      </c>
      <c r="X25" s="23">
        <v>0</v>
      </c>
      <c r="Y25" s="23">
        <v>0</v>
      </c>
      <c r="Z25" s="24">
        <v>0.398</v>
      </c>
      <c r="AA25" s="24">
        <v>0.391</v>
      </c>
      <c r="AB25" s="24">
        <v>0.39</v>
      </c>
      <c r="AC25" s="75">
        <v>0</v>
      </c>
      <c r="AD25" s="40">
        <v>0</v>
      </c>
      <c r="AE25" s="77"/>
    </row>
    <row r="26" spans="1:31" ht="15">
      <c r="A26" s="22">
        <v>10057</v>
      </c>
      <c r="B26" s="22" t="s">
        <v>12</v>
      </c>
      <c r="C26" s="33">
        <f t="shared" si="5"/>
        <v>11942.167000000001</v>
      </c>
      <c r="D26" s="33">
        <f t="shared" si="4"/>
        <v>15230.202</v>
      </c>
      <c r="E26" s="33">
        <f t="shared" si="4"/>
        <v>16436.401</v>
      </c>
      <c r="F26" s="33">
        <f t="shared" si="4"/>
        <v>17079.962</v>
      </c>
      <c r="G26" s="33">
        <f t="shared" si="4"/>
        <v>14691.043000000001</v>
      </c>
      <c r="H26" s="33">
        <f t="shared" si="4"/>
        <v>16039.711</v>
      </c>
      <c r="I26" s="33">
        <f t="shared" si="4"/>
        <v>12660.649</v>
      </c>
      <c r="J26" s="33">
        <f t="shared" si="4"/>
        <v>15707.232</v>
      </c>
      <c r="K26" s="33">
        <f t="shared" si="4"/>
        <v>16048.039</v>
      </c>
      <c r="L26" s="33">
        <f t="shared" si="4"/>
        <v>13932.009999999998</v>
      </c>
      <c r="M26" s="33">
        <f t="shared" si="4"/>
        <v>13468.551</v>
      </c>
      <c r="N26" s="33">
        <f t="shared" si="4"/>
        <v>12393.675</v>
      </c>
      <c r="O26" s="34">
        <f t="shared" si="6"/>
        <v>175629.64200000002</v>
      </c>
      <c r="R26" s="22">
        <v>10057</v>
      </c>
      <c r="S26" s="22" t="s">
        <v>12</v>
      </c>
      <c r="T26" s="23">
        <v>0.0028307</v>
      </c>
      <c r="U26" s="23">
        <v>0.0028301</v>
      </c>
      <c r="V26" s="23">
        <v>0.0028307</v>
      </c>
      <c r="W26" s="23">
        <v>0.0028301</v>
      </c>
      <c r="X26" s="23">
        <v>0</v>
      </c>
      <c r="Y26" s="23">
        <v>0</v>
      </c>
      <c r="Z26" s="24">
        <v>21.069</v>
      </c>
      <c r="AA26" s="24">
        <v>19.994</v>
      </c>
      <c r="AB26" s="24">
        <v>19.99</v>
      </c>
      <c r="AC26" s="75">
        <v>0</v>
      </c>
      <c r="AD26" s="40">
        <v>0</v>
      </c>
      <c r="AE26" s="77"/>
    </row>
    <row r="27" spans="1:31" ht="15">
      <c r="A27" s="22">
        <v>10059</v>
      </c>
      <c r="B27" s="22" t="s">
        <v>13</v>
      </c>
      <c r="C27" s="33">
        <f t="shared" si="5"/>
        <v>4541.542</v>
      </c>
      <c r="D27" s="33">
        <f t="shared" si="4"/>
        <v>5791.964</v>
      </c>
      <c r="E27" s="33">
        <f t="shared" si="4"/>
        <v>6250.674999999999</v>
      </c>
      <c r="F27" s="33">
        <f t="shared" si="4"/>
        <v>6495.418</v>
      </c>
      <c r="G27" s="33">
        <f t="shared" si="4"/>
        <v>5586.925</v>
      </c>
      <c r="H27" s="33">
        <f t="shared" si="4"/>
        <v>6099.816000000001</v>
      </c>
      <c r="I27" s="33">
        <f t="shared" si="4"/>
        <v>4814.777</v>
      </c>
      <c r="J27" s="33">
        <f t="shared" si="4"/>
        <v>5973.376</v>
      </c>
      <c r="K27" s="33">
        <f t="shared" si="4"/>
        <v>6102.984</v>
      </c>
      <c r="L27" s="33">
        <f t="shared" si="4"/>
        <v>5298.269</v>
      </c>
      <c r="M27" s="33">
        <f t="shared" si="4"/>
        <v>5122.017</v>
      </c>
      <c r="N27" s="33">
        <f t="shared" si="4"/>
        <v>4713.2480000000005</v>
      </c>
      <c r="O27" s="34">
        <f t="shared" si="6"/>
        <v>66791.011</v>
      </c>
      <c r="R27" s="22">
        <v>10059</v>
      </c>
      <c r="S27" s="22" t="s">
        <v>13</v>
      </c>
      <c r="T27" s="23">
        <v>0.0010765</v>
      </c>
      <c r="U27" s="23">
        <v>0.0010758</v>
      </c>
      <c r="V27" s="23">
        <v>0.0010765</v>
      </c>
      <c r="W27" s="23">
        <v>0.0010758</v>
      </c>
      <c r="X27" s="23">
        <v>0</v>
      </c>
      <c r="Y27" s="23">
        <v>0</v>
      </c>
      <c r="Z27" s="24">
        <v>7.639</v>
      </c>
      <c r="AA27" s="24">
        <v>7.604</v>
      </c>
      <c r="AB27" s="24">
        <v>7.599</v>
      </c>
      <c r="AC27" s="75">
        <v>0</v>
      </c>
      <c r="AD27" s="40">
        <v>0</v>
      </c>
      <c r="AE27" s="77"/>
    </row>
    <row r="28" spans="1:31" ht="15">
      <c r="A28" s="22">
        <v>10061</v>
      </c>
      <c r="B28" s="22" t="s">
        <v>14</v>
      </c>
      <c r="C28" s="33">
        <f t="shared" si="5"/>
        <v>5224.567</v>
      </c>
      <c r="D28" s="33">
        <f t="shared" si="4"/>
        <v>6663.045</v>
      </c>
      <c r="E28" s="33">
        <f t="shared" si="4"/>
        <v>7190.745000000001</v>
      </c>
      <c r="F28" s="33">
        <f t="shared" si="4"/>
        <v>7472.295</v>
      </c>
      <c r="G28" s="33">
        <f t="shared" si="4"/>
        <v>6427.17</v>
      </c>
      <c r="H28" s="33">
        <f t="shared" si="4"/>
        <v>7017.197</v>
      </c>
      <c r="I28" s="33">
        <f t="shared" si="4"/>
        <v>5538.894</v>
      </c>
      <c r="J28" s="33">
        <f t="shared" si="4"/>
        <v>6871.74</v>
      </c>
      <c r="K28" s="33">
        <f t="shared" si="4"/>
        <v>7020.84</v>
      </c>
      <c r="L28" s="33">
        <f t="shared" si="4"/>
        <v>6095.101000000001</v>
      </c>
      <c r="M28" s="33">
        <f t="shared" si="4"/>
        <v>5892.343000000001</v>
      </c>
      <c r="N28" s="33">
        <f t="shared" si="4"/>
        <v>5422.096</v>
      </c>
      <c r="O28" s="34">
        <f t="shared" si="6"/>
        <v>76836.03300000001</v>
      </c>
      <c r="R28" s="22">
        <v>10061</v>
      </c>
      <c r="S28" s="22" t="s">
        <v>14</v>
      </c>
      <c r="T28" s="23">
        <v>0.0012384</v>
      </c>
      <c r="U28" s="23">
        <v>0.0012384</v>
      </c>
      <c r="V28" s="23">
        <v>0.0012384</v>
      </c>
      <c r="W28" s="23">
        <v>0.0012384</v>
      </c>
      <c r="X28" s="23">
        <v>0</v>
      </c>
      <c r="Y28" s="23">
        <v>0</v>
      </c>
      <c r="Z28" s="24">
        <v>8.747</v>
      </c>
      <c r="AA28" s="24">
        <v>8.747</v>
      </c>
      <c r="AB28" s="24">
        <v>8.747</v>
      </c>
      <c r="AC28" s="75">
        <v>0</v>
      </c>
      <c r="AD28" s="40">
        <v>0</v>
      </c>
      <c r="AE28" s="77"/>
    </row>
    <row r="29" spans="1:31" ht="15">
      <c r="A29" s="22">
        <v>10062</v>
      </c>
      <c r="B29" s="22" t="s">
        <v>15</v>
      </c>
      <c r="C29" s="33">
        <f t="shared" si="5"/>
        <v>3177.603</v>
      </c>
      <c r="D29" s="33">
        <f t="shared" si="4"/>
        <v>4052.492</v>
      </c>
      <c r="E29" s="33">
        <f t="shared" si="4"/>
        <v>4373.4400000000005</v>
      </c>
      <c r="F29" s="33">
        <f t="shared" si="4"/>
        <v>4544.6810000000005</v>
      </c>
      <c r="G29" s="33">
        <f t="shared" si="4"/>
        <v>3909.031</v>
      </c>
      <c r="H29" s="33">
        <f t="shared" si="4"/>
        <v>4267.888</v>
      </c>
      <c r="I29" s="33">
        <f t="shared" si="4"/>
        <v>3368.779</v>
      </c>
      <c r="J29" s="33">
        <f t="shared" si="4"/>
        <v>4179.42</v>
      </c>
      <c r="K29" s="33">
        <f t="shared" si="4"/>
        <v>4270.104</v>
      </c>
      <c r="L29" s="33">
        <f t="shared" si="4"/>
        <v>3707.0650000000005</v>
      </c>
      <c r="M29" s="33">
        <f t="shared" si="4"/>
        <v>3583.7470000000003</v>
      </c>
      <c r="N29" s="33">
        <f t="shared" si="4"/>
        <v>3297.742</v>
      </c>
      <c r="O29" s="34">
        <f t="shared" si="6"/>
        <v>46731.992</v>
      </c>
      <c r="R29" s="22">
        <v>10062</v>
      </c>
      <c r="S29" s="22" t="s">
        <v>15</v>
      </c>
      <c r="T29" s="23">
        <v>0.0007532</v>
      </c>
      <c r="U29" s="23">
        <v>0.0007532</v>
      </c>
      <c r="V29" s="23">
        <v>0.0007532</v>
      </c>
      <c r="W29" s="23">
        <v>0.0007532</v>
      </c>
      <c r="X29" s="23">
        <v>0</v>
      </c>
      <c r="Y29" s="23">
        <v>0</v>
      </c>
      <c r="Z29" s="24">
        <v>5.32</v>
      </c>
      <c r="AA29" s="24">
        <v>5.32</v>
      </c>
      <c r="AB29" s="24">
        <v>5.32</v>
      </c>
      <c r="AC29" s="75">
        <v>0</v>
      </c>
      <c r="AD29" s="40">
        <v>0</v>
      </c>
      <c r="AE29" s="77"/>
    </row>
    <row r="30" spans="1:31" ht="15">
      <c r="A30" s="22">
        <v>10064</v>
      </c>
      <c r="B30" s="22" t="s">
        <v>16</v>
      </c>
      <c r="C30" s="33">
        <f t="shared" si="5"/>
        <v>8400.060000000001</v>
      </c>
      <c r="D30" s="33">
        <f t="shared" si="4"/>
        <v>10712.847000000002</v>
      </c>
      <c r="E30" s="33">
        <f t="shared" si="4"/>
        <v>11561.280999999999</v>
      </c>
      <c r="F30" s="33">
        <f t="shared" si="4"/>
        <v>12013.959</v>
      </c>
      <c r="G30" s="33">
        <f t="shared" si="4"/>
        <v>10333.606</v>
      </c>
      <c r="H30" s="33">
        <f t="shared" si="4"/>
        <v>11282.251</v>
      </c>
      <c r="I30" s="33">
        <f t="shared" si="4"/>
        <v>8905.436</v>
      </c>
      <c r="J30" s="33">
        <f t="shared" si="4"/>
        <v>11048.386999999999</v>
      </c>
      <c r="K30" s="33">
        <f t="shared" si="4"/>
        <v>11288.11</v>
      </c>
      <c r="L30" s="33">
        <f t="shared" si="4"/>
        <v>9799.705</v>
      </c>
      <c r="M30" s="33">
        <f t="shared" si="4"/>
        <v>9473.71</v>
      </c>
      <c r="N30" s="33">
        <f t="shared" si="4"/>
        <v>8717.648000000001</v>
      </c>
      <c r="O30" s="34">
        <f t="shared" si="6"/>
        <v>123537.00000000001</v>
      </c>
      <c r="R30" s="22">
        <v>10064</v>
      </c>
      <c r="S30" s="22" t="s">
        <v>16</v>
      </c>
      <c r="T30" s="23">
        <v>0.0019911</v>
      </c>
      <c r="U30" s="23">
        <v>0.0019911</v>
      </c>
      <c r="V30" s="23">
        <v>0.0019911</v>
      </c>
      <c r="W30" s="23">
        <v>0.0019911</v>
      </c>
      <c r="X30" s="23">
        <v>0</v>
      </c>
      <c r="Y30" s="23">
        <v>0</v>
      </c>
      <c r="Z30" s="24">
        <v>14.064</v>
      </c>
      <c r="AA30" s="24">
        <v>14.064</v>
      </c>
      <c r="AB30" s="24">
        <v>14.064</v>
      </c>
      <c r="AC30" s="75">
        <v>0</v>
      </c>
      <c r="AD30" s="40">
        <v>0</v>
      </c>
      <c r="AE30" s="77"/>
    </row>
    <row r="31" spans="1:31" ht="15">
      <c r="A31" s="22">
        <v>10065</v>
      </c>
      <c r="B31" s="22" t="s">
        <v>17</v>
      </c>
      <c r="C31" s="33">
        <f t="shared" si="5"/>
        <v>1420.471</v>
      </c>
      <c r="D31" s="33">
        <f t="shared" si="4"/>
        <v>1811.569</v>
      </c>
      <c r="E31" s="33">
        <f t="shared" si="4"/>
        <v>1955.042</v>
      </c>
      <c r="F31" s="33">
        <f t="shared" si="4"/>
        <v>2031.5900000000001</v>
      </c>
      <c r="G31" s="33">
        <f t="shared" si="4"/>
        <v>1747.4389999999999</v>
      </c>
      <c r="H31" s="33">
        <f t="shared" si="4"/>
        <v>1907.857</v>
      </c>
      <c r="I31" s="33">
        <f t="shared" si="4"/>
        <v>1505.932</v>
      </c>
      <c r="J31" s="33">
        <f t="shared" si="4"/>
        <v>1868.31</v>
      </c>
      <c r="K31" s="33">
        <f t="shared" si="4"/>
        <v>1908.848</v>
      </c>
      <c r="L31" s="33">
        <f t="shared" si="4"/>
        <v>1657.1550000000002</v>
      </c>
      <c r="M31" s="33">
        <f t="shared" si="4"/>
        <v>1602.028</v>
      </c>
      <c r="N31" s="33">
        <f t="shared" si="4"/>
        <v>1474.176</v>
      </c>
      <c r="O31" s="34">
        <f t="shared" si="6"/>
        <v>20890.416999999998</v>
      </c>
      <c r="R31" s="22">
        <v>10065</v>
      </c>
      <c r="S31" s="22" t="s">
        <v>17</v>
      </c>
      <c r="T31" s="23">
        <v>0.0003367</v>
      </c>
      <c r="U31" s="23">
        <v>0.0003367</v>
      </c>
      <c r="V31" s="23">
        <v>0.0003367</v>
      </c>
      <c r="W31" s="23">
        <v>0.0003367</v>
      </c>
      <c r="X31" s="23">
        <v>0</v>
      </c>
      <c r="Y31" s="23">
        <v>0</v>
      </c>
      <c r="Z31" s="24">
        <v>2.378</v>
      </c>
      <c r="AA31" s="24">
        <v>2.378</v>
      </c>
      <c r="AB31" s="24">
        <v>2.378</v>
      </c>
      <c r="AC31" s="79">
        <v>0.06635</v>
      </c>
      <c r="AD31" s="40">
        <v>0</v>
      </c>
      <c r="AE31" s="77"/>
    </row>
    <row r="32" spans="1:31" ht="15">
      <c r="A32" s="22">
        <v>10066</v>
      </c>
      <c r="B32" s="22" t="s">
        <v>18</v>
      </c>
      <c r="C32" s="33">
        <f t="shared" si="5"/>
        <v>14556.139</v>
      </c>
      <c r="D32" s="33">
        <f t="shared" si="5"/>
        <v>18563.877</v>
      </c>
      <c r="E32" s="33">
        <f t="shared" si="5"/>
        <v>20034.095999999998</v>
      </c>
      <c r="F32" s="33">
        <f t="shared" si="5"/>
        <v>20818.523</v>
      </c>
      <c r="G32" s="33">
        <f t="shared" si="5"/>
        <v>17906.705</v>
      </c>
      <c r="H32" s="33">
        <f t="shared" si="5"/>
        <v>19550.576</v>
      </c>
      <c r="I32" s="33">
        <f t="shared" si="5"/>
        <v>15431.885999999999</v>
      </c>
      <c r="J32" s="33">
        <f t="shared" si="5"/>
        <v>19145.322</v>
      </c>
      <c r="K32" s="33">
        <f t="shared" si="5"/>
        <v>19560.727</v>
      </c>
      <c r="L32" s="33">
        <f t="shared" si="5"/>
        <v>16981.529000000002</v>
      </c>
      <c r="M32" s="33">
        <f t="shared" si="5"/>
        <v>16416.625</v>
      </c>
      <c r="N32" s="33">
        <f t="shared" si="5"/>
        <v>15106.474</v>
      </c>
      <c r="O32" s="34">
        <f t="shared" si="6"/>
        <v>214072.47900000002</v>
      </c>
      <c r="R32" s="22">
        <v>10066</v>
      </c>
      <c r="S32" s="22" t="s">
        <v>18</v>
      </c>
      <c r="T32" s="23">
        <v>0.0034503</v>
      </c>
      <c r="U32" s="23">
        <v>0.0034503</v>
      </c>
      <c r="V32" s="23">
        <v>0.0034503</v>
      </c>
      <c r="W32" s="23">
        <v>0.0034503</v>
      </c>
      <c r="X32" s="23">
        <v>0</v>
      </c>
      <c r="Y32" s="23">
        <v>0</v>
      </c>
      <c r="Z32" s="24">
        <v>24.371</v>
      </c>
      <c r="AA32" s="24">
        <v>24.371</v>
      </c>
      <c r="AB32" s="24">
        <v>24.371</v>
      </c>
      <c r="AC32" s="75">
        <v>0</v>
      </c>
      <c r="AD32" s="40">
        <v>0</v>
      </c>
      <c r="AE32" s="77"/>
    </row>
    <row r="33" spans="1:31" ht="15">
      <c r="A33" s="22">
        <v>10067</v>
      </c>
      <c r="B33" s="22" t="s">
        <v>19</v>
      </c>
      <c r="C33" s="33">
        <f t="shared" si="5"/>
        <v>9447.167</v>
      </c>
      <c r="D33" s="33">
        <f t="shared" si="5"/>
        <v>12048.253</v>
      </c>
      <c r="E33" s="33">
        <f t="shared" si="5"/>
        <v>13002.45</v>
      </c>
      <c r="F33" s="33">
        <f t="shared" si="5"/>
        <v>13511.554</v>
      </c>
      <c r="G33" s="33">
        <f t="shared" si="5"/>
        <v>11621.738</v>
      </c>
      <c r="H33" s="33">
        <f t="shared" si="5"/>
        <v>12688.637</v>
      </c>
      <c r="I33" s="33">
        <f t="shared" si="5"/>
        <v>10015.541</v>
      </c>
      <c r="J33" s="33">
        <f t="shared" si="5"/>
        <v>12425.619999999999</v>
      </c>
      <c r="K33" s="33">
        <f t="shared" si="5"/>
        <v>12695.226</v>
      </c>
      <c r="L33" s="33">
        <f t="shared" si="5"/>
        <v>11021.284</v>
      </c>
      <c r="M33" s="33">
        <f t="shared" si="5"/>
        <v>10654.652</v>
      </c>
      <c r="N33" s="33">
        <f t="shared" si="5"/>
        <v>9804.343</v>
      </c>
      <c r="O33" s="34">
        <f t="shared" si="6"/>
        <v>138936.465</v>
      </c>
      <c r="R33" s="22">
        <v>10067</v>
      </c>
      <c r="S33" s="22" t="s">
        <v>19</v>
      </c>
      <c r="T33" s="23">
        <v>0.0022393</v>
      </c>
      <c r="U33" s="23">
        <v>0.0022393</v>
      </c>
      <c r="V33" s="23">
        <v>0.0022393</v>
      </c>
      <c r="W33" s="23">
        <v>0.0022393</v>
      </c>
      <c r="X33" s="23">
        <v>0</v>
      </c>
      <c r="Y33" s="23">
        <v>0</v>
      </c>
      <c r="Z33" s="24">
        <v>15.817</v>
      </c>
      <c r="AA33" s="24">
        <v>15.817</v>
      </c>
      <c r="AB33" s="24">
        <v>15.817</v>
      </c>
      <c r="AC33" s="75">
        <v>0</v>
      </c>
      <c r="AD33" s="40">
        <v>0</v>
      </c>
      <c r="AE33" s="77"/>
    </row>
    <row r="34" spans="1:31" ht="15">
      <c r="A34" s="22">
        <v>10068</v>
      </c>
      <c r="B34" s="22" t="s">
        <v>20</v>
      </c>
      <c r="C34" s="33">
        <f t="shared" si="5"/>
        <v>1506.5349999999999</v>
      </c>
      <c r="D34" s="33">
        <f t="shared" si="5"/>
        <v>1921.328</v>
      </c>
      <c r="E34" s="33">
        <f t="shared" si="5"/>
        <v>2073.493</v>
      </c>
      <c r="F34" s="33">
        <f t="shared" si="5"/>
        <v>2154.681</v>
      </c>
      <c r="G34" s="33">
        <f t="shared" si="5"/>
        <v>1853.313</v>
      </c>
      <c r="H34" s="33">
        <f t="shared" si="5"/>
        <v>2023.4499999999998</v>
      </c>
      <c r="I34" s="33">
        <f t="shared" si="5"/>
        <v>1597.173</v>
      </c>
      <c r="J34" s="33">
        <f t="shared" si="5"/>
        <v>1981.507</v>
      </c>
      <c r="K34" s="33">
        <f t="shared" si="5"/>
        <v>2024.501</v>
      </c>
      <c r="L34" s="33">
        <f t="shared" si="5"/>
        <v>1757.558</v>
      </c>
      <c r="M34" s="33">
        <f t="shared" si="5"/>
        <v>1699.091</v>
      </c>
      <c r="N34" s="33">
        <f t="shared" si="5"/>
        <v>1563.493</v>
      </c>
      <c r="O34" s="34">
        <f t="shared" si="6"/>
        <v>22156.123</v>
      </c>
      <c r="R34" s="22">
        <v>10068</v>
      </c>
      <c r="S34" s="22" t="s">
        <v>20</v>
      </c>
      <c r="T34" s="23">
        <v>0.0003571</v>
      </c>
      <c r="U34" s="23">
        <v>0.0003568</v>
      </c>
      <c r="V34" s="23">
        <v>0.0003571</v>
      </c>
      <c r="W34" s="23">
        <v>0.0003568</v>
      </c>
      <c r="X34" s="23">
        <v>0</v>
      </c>
      <c r="Y34" s="23">
        <v>0</v>
      </c>
      <c r="Z34" s="24">
        <v>2.77</v>
      </c>
      <c r="AA34" s="24">
        <v>2.522</v>
      </c>
      <c r="AB34" s="24">
        <v>2.52</v>
      </c>
      <c r="AC34" s="75">
        <v>0</v>
      </c>
      <c r="AD34" s="40">
        <v>0</v>
      </c>
      <c r="AE34" s="77"/>
    </row>
    <row r="35" spans="1:31" ht="15">
      <c r="A35" s="22">
        <v>10070</v>
      </c>
      <c r="B35" s="22" t="s">
        <v>21</v>
      </c>
      <c r="C35" s="33">
        <f t="shared" si="5"/>
        <v>214.315</v>
      </c>
      <c r="D35" s="33">
        <f t="shared" si="5"/>
        <v>273.323</v>
      </c>
      <c r="E35" s="33">
        <f t="shared" si="5"/>
        <v>294.969</v>
      </c>
      <c r="F35" s="33">
        <f t="shared" si="5"/>
        <v>306.51800000000003</v>
      </c>
      <c r="G35" s="33">
        <f t="shared" si="5"/>
        <v>263.647</v>
      </c>
      <c r="H35" s="33">
        <f t="shared" si="5"/>
        <v>287.85</v>
      </c>
      <c r="I35" s="33">
        <f t="shared" si="5"/>
        <v>227.209</v>
      </c>
      <c r="J35" s="33">
        <f t="shared" si="5"/>
        <v>281.88300000000004</v>
      </c>
      <c r="K35" s="33">
        <f t="shared" si="5"/>
        <v>287.999</v>
      </c>
      <c r="L35" s="33">
        <f t="shared" si="5"/>
        <v>250.025</v>
      </c>
      <c r="M35" s="33">
        <f t="shared" si="5"/>
        <v>241.70800000000003</v>
      </c>
      <c r="N35" s="33">
        <f t="shared" si="5"/>
        <v>222.418</v>
      </c>
      <c r="O35" s="34">
        <f t="shared" si="6"/>
        <v>3151.864</v>
      </c>
      <c r="R35" s="22">
        <v>10070</v>
      </c>
      <c r="S35" s="22" t="s">
        <v>21</v>
      </c>
      <c r="T35" s="23">
        <v>5.08E-05</v>
      </c>
      <c r="U35" s="23">
        <v>5.08E-05</v>
      </c>
      <c r="V35" s="23">
        <v>5.08E-05</v>
      </c>
      <c r="W35" s="23">
        <v>5.08E-05</v>
      </c>
      <c r="X35" s="23">
        <v>0</v>
      </c>
      <c r="Y35" s="23">
        <v>0</v>
      </c>
      <c r="Z35" s="24">
        <v>0.359</v>
      </c>
      <c r="AA35" s="24">
        <v>0.359</v>
      </c>
      <c r="AB35" s="24">
        <v>0.359</v>
      </c>
      <c r="AC35" s="75">
        <v>0</v>
      </c>
      <c r="AD35" s="40">
        <v>0</v>
      </c>
      <c r="AE35" s="77"/>
    </row>
    <row r="36" spans="1:31" ht="15">
      <c r="A36" s="22">
        <v>10071</v>
      </c>
      <c r="B36" s="22" t="s">
        <v>22</v>
      </c>
      <c r="C36" s="33">
        <f t="shared" si="5"/>
        <v>1113.7640000000001</v>
      </c>
      <c r="D36" s="33">
        <f t="shared" si="5"/>
        <v>1420.417</v>
      </c>
      <c r="E36" s="33">
        <f t="shared" si="5"/>
        <v>1532.9099999999999</v>
      </c>
      <c r="F36" s="33">
        <f t="shared" si="5"/>
        <v>1592.931</v>
      </c>
      <c r="G36" s="33">
        <f t="shared" si="5"/>
        <v>1370.133</v>
      </c>
      <c r="H36" s="33">
        <f t="shared" si="5"/>
        <v>1495.914</v>
      </c>
      <c r="I36" s="33">
        <f t="shared" si="5"/>
        <v>1180.772</v>
      </c>
      <c r="J36" s="33">
        <f t="shared" si="5"/>
        <v>1464.906</v>
      </c>
      <c r="K36" s="33">
        <f t="shared" si="5"/>
        <v>1496.691</v>
      </c>
      <c r="L36" s="33">
        <f t="shared" si="5"/>
        <v>1299.343</v>
      </c>
      <c r="M36" s="33">
        <f t="shared" si="5"/>
        <v>1256.12</v>
      </c>
      <c r="N36" s="33">
        <f t="shared" si="5"/>
        <v>1155.873</v>
      </c>
      <c r="O36" s="34">
        <f t="shared" si="6"/>
        <v>16379.774000000001</v>
      </c>
      <c r="R36" s="22">
        <v>10071</v>
      </c>
      <c r="S36" s="22" t="s">
        <v>22</v>
      </c>
      <c r="T36" s="23">
        <v>0.000264</v>
      </c>
      <c r="U36" s="23">
        <v>0.0002639</v>
      </c>
      <c r="V36" s="23">
        <v>0.000264</v>
      </c>
      <c r="W36" s="23">
        <v>0.0002639</v>
      </c>
      <c r="X36" s="23">
        <v>0</v>
      </c>
      <c r="Y36" s="23">
        <v>0</v>
      </c>
      <c r="Z36" s="24">
        <v>1.914</v>
      </c>
      <c r="AA36" s="24">
        <v>1.865</v>
      </c>
      <c r="AB36" s="24">
        <v>1.864</v>
      </c>
      <c r="AC36" s="75">
        <v>0</v>
      </c>
      <c r="AD36" s="40">
        <v>0</v>
      </c>
      <c r="AE36" s="77"/>
    </row>
    <row r="37" spans="1:31" ht="15">
      <c r="A37" s="22">
        <v>10072</v>
      </c>
      <c r="B37" s="22" t="s">
        <v>23</v>
      </c>
      <c r="C37" s="33">
        <f t="shared" si="5"/>
        <v>14324.104</v>
      </c>
      <c r="D37" s="33">
        <f t="shared" si="5"/>
        <v>18267.957000000002</v>
      </c>
      <c r="E37" s="33">
        <f t="shared" si="5"/>
        <v>19714.739</v>
      </c>
      <c r="F37" s="33">
        <f t="shared" si="5"/>
        <v>20486.662</v>
      </c>
      <c r="G37" s="33">
        <f t="shared" si="5"/>
        <v>17621.260000000002</v>
      </c>
      <c r="H37" s="33">
        <f t="shared" si="5"/>
        <v>19238.927</v>
      </c>
      <c r="I37" s="33">
        <f t="shared" si="5"/>
        <v>15185.891</v>
      </c>
      <c r="J37" s="33">
        <f t="shared" si="5"/>
        <v>18840.133</v>
      </c>
      <c r="K37" s="33">
        <f t="shared" si="5"/>
        <v>19248.917</v>
      </c>
      <c r="L37" s="33">
        <f t="shared" si="5"/>
        <v>16710.833</v>
      </c>
      <c r="M37" s="33">
        <f t="shared" si="5"/>
        <v>16154.934000000001</v>
      </c>
      <c r="N37" s="33">
        <f t="shared" si="5"/>
        <v>14865.667000000001</v>
      </c>
      <c r="O37" s="34">
        <f t="shared" si="6"/>
        <v>210660.02400000003</v>
      </c>
      <c r="R37" s="22">
        <v>10072</v>
      </c>
      <c r="S37" s="22" t="s">
        <v>23</v>
      </c>
      <c r="T37" s="23">
        <v>0.0033953</v>
      </c>
      <c r="U37" s="23">
        <v>0.0033953</v>
      </c>
      <c r="V37" s="23">
        <v>0.0033953</v>
      </c>
      <c r="W37" s="23">
        <v>0.0033953</v>
      </c>
      <c r="X37" s="23">
        <v>0</v>
      </c>
      <c r="Y37" s="23">
        <v>0</v>
      </c>
      <c r="Z37" s="24">
        <v>23.982</v>
      </c>
      <c r="AA37" s="24">
        <v>23.982</v>
      </c>
      <c r="AB37" s="24">
        <v>23.982</v>
      </c>
      <c r="AC37" s="75">
        <v>0</v>
      </c>
      <c r="AD37" s="40">
        <v>0</v>
      </c>
      <c r="AE37" s="77"/>
    </row>
    <row r="38" spans="1:31" ht="15">
      <c r="A38" s="22">
        <v>10074</v>
      </c>
      <c r="B38" s="22" t="s">
        <v>24</v>
      </c>
      <c r="C38" s="33">
        <f t="shared" si="5"/>
        <v>15936.530999999999</v>
      </c>
      <c r="D38" s="33">
        <f t="shared" si="5"/>
        <v>20324.333</v>
      </c>
      <c r="E38" s="33">
        <f t="shared" si="5"/>
        <v>21933.976000000002</v>
      </c>
      <c r="F38" s="33">
        <f t="shared" si="5"/>
        <v>22792.791</v>
      </c>
      <c r="G38" s="33">
        <f t="shared" si="5"/>
        <v>19604.839</v>
      </c>
      <c r="H38" s="33">
        <f t="shared" si="5"/>
        <v>21404.602</v>
      </c>
      <c r="I38" s="33">
        <f t="shared" si="5"/>
        <v>16895.326</v>
      </c>
      <c r="J38" s="33">
        <f t="shared" si="5"/>
        <v>20960.917</v>
      </c>
      <c r="K38" s="33">
        <f t="shared" si="5"/>
        <v>21415.717</v>
      </c>
      <c r="L38" s="33">
        <f t="shared" si="5"/>
        <v>18591.927</v>
      </c>
      <c r="M38" s="33">
        <f t="shared" si="5"/>
        <v>17973.452</v>
      </c>
      <c r="N38" s="33">
        <f t="shared" si="5"/>
        <v>16539.056</v>
      </c>
      <c r="O38" s="34">
        <f t="shared" si="6"/>
        <v>234373.467</v>
      </c>
      <c r="R38" s="22">
        <v>10074</v>
      </c>
      <c r="S38" s="22" t="s">
        <v>24</v>
      </c>
      <c r="T38" s="23">
        <v>0.0037775</v>
      </c>
      <c r="U38" s="23">
        <v>0.0037775</v>
      </c>
      <c r="V38" s="23">
        <v>0.0037775</v>
      </c>
      <c r="W38" s="23">
        <v>0.0037775</v>
      </c>
      <c r="X38" s="23">
        <v>0</v>
      </c>
      <c r="Y38" s="23">
        <v>0</v>
      </c>
      <c r="Z38" s="24">
        <v>26.682</v>
      </c>
      <c r="AA38" s="24">
        <v>26.682</v>
      </c>
      <c r="AB38" s="24">
        <v>26.682</v>
      </c>
      <c r="AC38" s="75">
        <v>0</v>
      </c>
      <c r="AD38" s="40">
        <v>0</v>
      </c>
      <c r="AE38" s="77"/>
    </row>
    <row r="39" spans="1:31" ht="15">
      <c r="A39" s="22">
        <v>10076</v>
      </c>
      <c r="B39" s="22" t="s">
        <v>25</v>
      </c>
      <c r="C39" s="33">
        <f t="shared" si="5"/>
        <v>2877.224</v>
      </c>
      <c r="D39" s="33">
        <f t="shared" si="5"/>
        <v>3669.409</v>
      </c>
      <c r="E39" s="33">
        <f t="shared" si="5"/>
        <v>3960.0190000000002</v>
      </c>
      <c r="F39" s="33">
        <f t="shared" si="5"/>
        <v>4115.072</v>
      </c>
      <c r="G39" s="33">
        <f t="shared" si="5"/>
        <v>3539.51</v>
      </c>
      <c r="H39" s="33">
        <f t="shared" si="5"/>
        <v>3864.4449999999997</v>
      </c>
      <c r="I39" s="33">
        <f t="shared" si="5"/>
        <v>3050.328</v>
      </c>
      <c r="J39" s="33">
        <f t="shared" si="5"/>
        <v>3784.34</v>
      </c>
      <c r="K39" s="33">
        <f t="shared" si="5"/>
        <v>3866.451</v>
      </c>
      <c r="L39" s="33">
        <f t="shared" si="5"/>
        <v>3356.6369999999997</v>
      </c>
      <c r="M39" s="33">
        <f t="shared" si="5"/>
        <v>3244.9750000000004</v>
      </c>
      <c r="N39" s="33">
        <f t="shared" si="5"/>
        <v>2986.006</v>
      </c>
      <c r="O39" s="34">
        <f t="shared" si="6"/>
        <v>42314.416000000005</v>
      </c>
      <c r="R39" s="22">
        <v>10076</v>
      </c>
      <c r="S39" s="22" t="s">
        <v>25</v>
      </c>
      <c r="T39" s="23">
        <v>0.000682</v>
      </c>
      <c r="U39" s="23">
        <v>0.000682</v>
      </c>
      <c r="V39" s="23">
        <v>0.000682</v>
      </c>
      <c r="W39" s="23">
        <v>0.000682</v>
      </c>
      <c r="X39" s="23">
        <v>0</v>
      </c>
      <c r="Y39" s="23">
        <v>0</v>
      </c>
      <c r="Z39" s="24">
        <v>4.817</v>
      </c>
      <c r="AA39" s="24">
        <v>4.817</v>
      </c>
      <c r="AB39" s="24">
        <v>4.817</v>
      </c>
      <c r="AC39" s="75">
        <v>0</v>
      </c>
      <c r="AD39" s="40">
        <v>0</v>
      </c>
      <c r="AE39" s="77"/>
    </row>
    <row r="40" spans="1:31" ht="15">
      <c r="A40" s="22">
        <v>10078</v>
      </c>
      <c r="B40" s="22" t="s">
        <v>26</v>
      </c>
      <c r="C40" s="33">
        <f t="shared" si="5"/>
        <v>2220.779</v>
      </c>
      <c r="D40" s="33">
        <f t="shared" si="5"/>
        <v>2832.225</v>
      </c>
      <c r="E40" s="33">
        <f t="shared" si="5"/>
        <v>3056.531</v>
      </c>
      <c r="F40" s="33">
        <f t="shared" si="5"/>
        <v>3176.208</v>
      </c>
      <c r="G40" s="33">
        <f t="shared" si="5"/>
        <v>2731.962</v>
      </c>
      <c r="H40" s="33">
        <f t="shared" si="5"/>
        <v>2982.761</v>
      </c>
      <c r="I40" s="33">
        <f t="shared" si="5"/>
        <v>2354.387</v>
      </c>
      <c r="J40" s="33">
        <f t="shared" si="5"/>
        <v>2920.933</v>
      </c>
      <c r="K40" s="33">
        <f t="shared" si="5"/>
        <v>2984.31</v>
      </c>
      <c r="L40" s="33">
        <f t="shared" si="5"/>
        <v>2590.812</v>
      </c>
      <c r="M40" s="33">
        <f t="shared" si="5"/>
        <v>2504.626</v>
      </c>
      <c r="N40" s="33">
        <f t="shared" si="5"/>
        <v>2304.741</v>
      </c>
      <c r="O40" s="34">
        <f t="shared" si="6"/>
        <v>32660.275</v>
      </c>
      <c r="R40" s="22">
        <v>10078</v>
      </c>
      <c r="S40" s="22" t="s">
        <v>26</v>
      </c>
      <c r="T40" s="23">
        <v>0.0005264</v>
      </c>
      <c r="U40" s="23">
        <v>0.0005264</v>
      </c>
      <c r="V40" s="23">
        <v>0.0005264</v>
      </c>
      <c r="W40" s="23">
        <v>0.0005264</v>
      </c>
      <c r="X40" s="23">
        <v>0</v>
      </c>
      <c r="Y40" s="23">
        <v>0</v>
      </c>
      <c r="Z40" s="24">
        <v>3.718</v>
      </c>
      <c r="AA40" s="24">
        <v>3.718</v>
      </c>
      <c r="AB40" s="24">
        <v>3.718</v>
      </c>
      <c r="AC40" s="75">
        <v>0</v>
      </c>
      <c r="AD40" s="40">
        <v>0</v>
      </c>
      <c r="AE40" s="77"/>
    </row>
    <row r="41" spans="1:31" ht="15">
      <c r="A41" s="22">
        <v>10079</v>
      </c>
      <c r="B41" s="22" t="s">
        <v>27</v>
      </c>
      <c r="C41" s="33">
        <f t="shared" si="5"/>
        <v>48841.513000000006</v>
      </c>
      <c r="D41" s="33">
        <f t="shared" si="5"/>
        <v>62289.034</v>
      </c>
      <c r="E41" s="33">
        <f t="shared" si="5"/>
        <v>67222.193</v>
      </c>
      <c r="F41" s="33">
        <f t="shared" si="5"/>
        <v>69854.251</v>
      </c>
      <c r="G41" s="33">
        <f t="shared" si="5"/>
        <v>60083.966</v>
      </c>
      <c r="H41" s="33">
        <f t="shared" si="5"/>
        <v>65599.796</v>
      </c>
      <c r="I41" s="33">
        <f t="shared" si="5"/>
        <v>51779.983</v>
      </c>
      <c r="J41" s="33">
        <f t="shared" si="5"/>
        <v>64240.008</v>
      </c>
      <c r="K41" s="33">
        <f t="shared" si="5"/>
        <v>65633.856</v>
      </c>
      <c r="L41" s="33">
        <f t="shared" si="5"/>
        <v>56979.642</v>
      </c>
      <c r="M41" s="33">
        <f t="shared" si="5"/>
        <v>55084.168999999994</v>
      </c>
      <c r="N41" s="33">
        <f t="shared" si="5"/>
        <v>50688.102</v>
      </c>
      <c r="O41" s="34">
        <f t="shared" si="6"/>
        <v>718296.513</v>
      </c>
      <c r="R41" s="22">
        <v>10079</v>
      </c>
      <c r="S41" s="22" t="s">
        <v>27</v>
      </c>
      <c r="T41" s="23">
        <v>0.0115771</v>
      </c>
      <c r="U41" s="23">
        <v>0.0116909</v>
      </c>
      <c r="V41" s="23">
        <v>0.0115771</v>
      </c>
      <c r="W41" s="23">
        <v>0.0116909</v>
      </c>
      <c r="X41" s="23">
        <v>0</v>
      </c>
      <c r="Y41" s="23">
        <v>0</v>
      </c>
      <c r="Z41" s="24">
        <v>88.179</v>
      </c>
      <c r="AA41" s="24">
        <v>81.773</v>
      </c>
      <c r="AB41" s="24">
        <v>82.577</v>
      </c>
      <c r="AC41" s="75">
        <v>0</v>
      </c>
      <c r="AD41" s="40">
        <v>0</v>
      </c>
      <c r="AE41" s="77"/>
    </row>
    <row r="42" spans="1:31" ht="15">
      <c r="A42" s="22">
        <v>10080</v>
      </c>
      <c r="B42" s="22" t="s">
        <v>28</v>
      </c>
      <c r="C42" s="33">
        <f t="shared" si="5"/>
        <v>3946.6910000000003</v>
      </c>
      <c r="D42" s="33">
        <f t="shared" si="5"/>
        <v>5033.332</v>
      </c>
      <c r="E42" s="33">
        <f t="shared" si="5"/>
        <v>5431.961</v>
      </c>
      <c r="F42" s="33">
        <f t="shared" si="5"/>
        <v>5644.647999999999</v>
      </c>
      <c r="G42" s="33">
        <f t="shared" si="5"/>
        <v>4855.149</v>
      </c>
      <c r="H42" s="33">
        <f t="shared" si="5"/>
        <v>5300.862</v>
      </c>
      <c r="I42" s="33">
        <f t="shared" si="5"/>
        <v>4184.137</v>
      </c>
      <c r="J42" s="33">
        <f t="shared" si="5"/>
        <v>5190.983</v>
      </c>
      <c r="K42" s="33">
        <f t="shared" si="5"/>
        <v>5303.6140000000005</v>
      </c>
      <c r="L42" s="33">
        <f t="shared" si="5"/>
        <v>4604.301</v>
      </c>
      <c r="M42" s="33">
        <f t="shared" si="5"/>
        <v>4451.135</v>
      </c>
      <c r="N42" s="33">
        <f t="shared" si="5"/>
        <v>4095.907</v>
      </c>
      <c r="O42" s="34">
        <f t="shared" si="6"/>
        <v>58042.72</v>
      </c>
      <c r="R42" s="22">
        <v>10080</v>
      </c>
      <c r="S42" s="22" t="s">
        <v>28</v>
      </c>
      <c r="T42" s="23">
        <v>0.0009355</v>
      </c>
      <c r="U42" s="23">
        <v>0.0009358</v>
      </c>
      <c r="V42" s="23">
        <v>0.0009355</v>
      </c>
      <c r="W42" s="23">
        <v>0.0009358</v>
      </c>
      <c r="X42" s="23">
        <v>0</v>
      </c>
      <c r="Y42" s="23">
        <v>0</v>
      </c>
      <c r="Z42" s="24">
        <v>7.437</v>
      </c>
      <c r="AA42" s="24">
        <v>6.608</v>
      </c>
      <c r="AB42" s="24">
        <v>6.61</v>
      </c>
      <c r="AC42" s="75">
        <v>0</v>
      </c>
      <c r="AD42" s="40">
        <v>0</v>
      </c>
      <c r="AE42" s="77"/>
    </row>
    <row r="43" spans="1:31" ht="15">
      <c r="A43" s="22">
        <v>10081</v>
      </c>
      <c r="B43" s="22" t="s">
        <v>29</v>
      </c>
      <c r="C43" s="33">
        <f t="shared" si="5"/>
        <v>5443.1</v>
      </c>
      <c r="D43" s="33">
        <f t="shared" si="5"/>
        <v>6941.749</v>
      </c>
      <c r="E43" s="33">
        <f t="shared" si="5"/>
        <v>7491.52</v>
      </c>
      <c r="F43" s="33">
        <f t="shared" si="5"/>
        <v>7784.847</v>
      </c>
      <c r="G43" s="33">
        <f t="shared" si="5"/>
        <v>6696.007</v>
      </c>
      <c r="H43" s="33">
        <f t="shared" si="5"/>
        <v>7310.713</v>
      </c>
      <c r="I43" s="33">
        <f t="shared" si="5"/>
        <v>5770.576</v>
      </c>
      <c r="J43" s="33">
        <f t="shared" si="5"/>
        <v>7159.173000000001</v>
      </c>
      <c r="K43" s="33">
        <f t="shared" si="5"/>
        <v>7314.509</v>
      </c>
      <c r="L43" s="33">
        <f t="shared" si="5"/>
        <v>6350.0470000000005</v>
      </c>
      <c r="M43" s="33">
        <f t="shared" si="5"/>
        <v>6138.808</v>
      </c>
      <c r="N43" s="33">
        <f t="shared" si="5"/>
        <v>5648.892</v>
      </c>
      <c r="O43" s="34">
        <f t="shared" si="6"/>
        <v>80049.94100000002</v>
      </c>
      <c r="R43" s="22">
        <v>10081</v>
      </c>
      <c r="S43" s="22" t="s">
        <v>29</v>
      </c>
      <c r="T43" s="23">
        <v>0.0012902</v>
      </c>
      <c r="U43" s="23">
        <v>0.0012899</v>
      </c>
      <c r="V43" s="23">
        <v>0.0012902</v>
      </c>
      <c r="W43" s="23">
        <v>0.0012899</v>
      </c>
      <c r="X43" s="23">
        <v>0</v>
      </c>
      <c r="Y43" s="23">
        <v>0</v>
      </c>
      <c r="Z43" s="24">
        <v>10.455</v>
      </c>
      <c r="AA43" s="24">
        <v>9.113</v>
      </c>
      <c r="AB43" s="24">
        <v>9.111</v>
      </c>
      <c r="AC43" s="75">
        <v>0</v>
      </c>
      <c r="AD43" s="40">
        <v>0</v>
      </c>
      <c r="AE43" s="77"/>
    </row>
    <row r="44" spans="1:31" ht="15">
      <c r="A44" s="22">
        <v>10082</v>
      </c>
      <c r="B44" s="22" t="s">
        <v>30</v>
      </c>
      <c r="C44" s="33">
        <f t="shared" si="5"/>
        <v>59.063</v>
      </c>
      <c r="D44" s="33">
        <f t="shared" si="5"/>
        <v>75.325</v>
      </c>
      <c r="E44" s="33">
        <f t="shared" si="5"/>
        <v>81.291</v>
      </c>
      <c r="F44" s="33">
        <f t="shared" si="5"/>
        <v>84.47399999999999</v>
      </c>
      <c r="G44" s="33">
        <f t="shared" si="5"/>
        <v>72.659</v>
      </c>
      <c r="H44" s="33">
        <f t="shared" si="5"/>
        <v>79.32900000000001</v>
      </c>
      <c r="I44" s="33">
        <f t="shared" si="5"/>
        <v>62.617</v>
      </c>
      <c r="J44" s="33">
        <f t="shared" si="5"/>
        <v>77.684</v>
      </c>
      <c r="K44" s="33">
        <f t="shared" si="5"/>
        <v>79.37</v>
      </c>
      <c r="L44" s="33">
        <f t="shared" si="5"/>
        <v>68.904</v>
      </c>
      <c r="M44" s="33">
        <f t="shared" si="5"/>
        <v>66.612</v>
      </c>
      <c r="N44" s="33">
        <f t="shared" si="5"/>
        <v>61.29600000000001</v>
      </c>
      <c r="O44" s="34">
        <f t="shared" si="6"/>
        <v>868.624</v>
      </c>
      <c r="R44" s="22">
        <v>10082</v>
      </c>
      <c r="S44" s="22" t="s">
        <v>30</v>
      </c>
      <c r="T44" s="23">
        <v>1.4E-05</v>
      </c>
      <c r="U44" s="23">
        <v>1.4E-05</v>
      </c>
      <c r="V44" s="23">
        <v>1.4E-05</v>
      </c>
      <c r="W44" s="23">
        <v>1.4E-05</v>
      </c>
      <c r="X44" s="23">
        <v>0</v>
      </c>
      <c r="Y44" s="23">
        <v>0</v>
      </c>
      <c r="Z44" s="24">
        <v>0.118</v>
      </c>
      <c r="AA44" s="24">
        <v>0.099</v>
      </c>
      <c r="AB44" s="24">
        <v>0.099</v>
      </c>
      <c r="AC44" s="75">
        <v>0</v>
      </c>
      <c r="AD44" s="40">
        <v>0</v>
      </c>
      <c r="AE44" s="77"/>
    </row>
    <row r="45" spans="1:31" ht="15">
      <c r="A45" s="22">
        <v>10083</v>
      </c>
      <c r="B45" s="22" t="s">
        <v>31</v>
      </c>
      <c r="C45" s="33">
        <f t="shared" si="5"/>
        <v>4995.064</v>
      </c>
      <c r="D45" s="33">
        <f t="shared" si="5"/>
        <v>6370.352999999999</v>
      </c>
      <c r="E45" s="33">
        <f t="shared" si="5"/>
        <v>6874.872</v>
      </c>
      <c r="F45" s="33">
        <f t="shared" si="5"/>
        <v>7144.054</v>
      </c>
      <c r="G45" s="33">
        <f t="shared" si="5"/>
        <v>6144.839</v>
      </c>
      <c r="H45" s="33">
        <f t="shared" si="5"/>
        <v>6708.947</v>
      </c>
      <c r="I45" s="33">
        <f t="shared" si="5"/>
        <v>5295.584000000001</v>
      </c>
      <c r="J45" s="33">
        <f t="shared" si="5"/>
        <v>6569.881</v>
      </c>
      <c r="K45" s="33">
        <f t="shared" si="5"/>
        <v>6712.4310000000005</v>
      </c>
      <c r="L45" s="33">
        <f t="shared" si="5"/>
        <v>5827.358</v>
      </c>
      <c r="M45" s="33">
        <f t="shared" si="5"/>
        <v>5633.505999999999</v>
      </c>
      <c r="N45" s="33">
        <f t="shared" si="5"/>
        <v>5183.916</v>
      </c>
      <c r="O45" s="34">
        <f t="shared" si="6"/>
        <v>73460.80500000001</v>
      </c>
      <c r="R45" s="22">
        <v>10083</v>
      </c>
      <c r="S45" s="22" t="s">
        <v>31</v>
      </c>
      <c r="T45" s="23">
        <v>0.001184</v>
      </c>
      <c r="U45" s="23">
        <v>0.001184</v>
      </c>
      <c r="V45" s="23">
        <v>0.001184</v>
      </c>
      <c r="W45" s="23">
        <v>0.001184</v>
      </c>
      <c r="X45" s="23">
        <v>0</v>
      </c>
      <c r="Y45" s="23">
        <v>0</v>
      </c>
      <c r="Z45" s="24">
        <v>8.363</v>
      </c>
      <c r="AA45" s="24">
        <v>8.363</v>
      </c>
      <c r="AB45" s="24">
        <v>8.363</v>
      </c>
      <c r="AC45" s="75">
        <v>0</v>
      </c>
      <c r="AD45" s="40">
        <v>0</v>
      </c>
      <c r="AE45" s="77"/>
    </row>
    <row r="46" spans="1:31" ht="15">
      <c r="A46" s="22">
        <v>10086</v>
      </c>
      <c r="B46" s="22" t="s">
        <v>32</v>
      </c>
      <c r="C46" s="33">
        <f t="shared" si="5"/>
        <v>2311.061</v>
      </c>
      <c r="D46" s="33">
        <f t="shared" si="5"/>
        <v>2947.364</v>
      </c>
      <c r="E46" s="33">
        <f t="shared" si="5"/>
        <v>3180.7889999999998</v>
      </c>
      <c r="F46" s="33">
        <f t="shared" si="5"/>
        <v>3305.3320000000003</v>
      </c>
      <c r="G46" s="33">
        <f t="shared" si="5"/>
        <v>2843.026</v>
      </c>
      <c r="H46" s="33">
        <f t="shared" si="5"/>
        <v>3104.022</v>
      </c>
      <c r="I46" s="33">
        <f t="shared" si="5"/>
        <v>2450.102</v>
      </c>
      <c r="J46" s="33">
        <f t="shared" si="5"/>
        <v>3039.679</v>
      </c>
      <c r="K46" s="33">
        <f t="shared" si="5"/>
        <v>3105.633</v>
      </c>
      <c r="L46" s="33">
        <f t="shared" si="5"/>
        <v>2696.1369999999997</v>
      </c>
      <c r="M46" s="33">
        <f t="shared" si="5"/>
        <v>2606.4480000000003</v>
      </c>
      <c r="N46" s="33">
        <f t="shared" si="5"/>
        <v>2398.437</v>
      </c>
      <c r="O46" s="34">
        <f t="shared" si="6"/>
        <v>33988.03</v>
      </c>
      <c r="R46" s="22">
        <v>10086</v>
      </c>
      <c r="S46" s="22" t="s">
        <v>32</v>
      </c>
      <c r="T46" s="23">
        <v>0.0005478</v>
      </c>
      <c r="U46" s="23">
        <v>0.0005485</v>
      </c>
      <c r="V46" s="23">
        <v>0.0005478</v>
      </c>
      <c r="W46" s="23">
        <v>0.0005485</v>
      </c>
      <c r="X46" s="23">
        <v>0</v>
      </c>
      <c r="Y46" s="23">
        <v>0</v>
      </c>
      <c r="Z46" s="24">
        <v>3.945</v>
      </c>
      <c r="AA46" s="24">
        <v>3.869</v>
      </c>
      <c r="AB46" s="24">
        <v>3.874</v>
      </c>
      <c r="AC46" s="75">
        <v>0</v>
      </c>
      <c r="AD46" s="40">
        <v>0</v>
      </c>
      <c r="AE46" s="77"/>
    </row>
    <row r="47" spans="1:31" ht="15">
      <c r="A47" s="22">
        <v>10087</v>
      </c>
      <c r="B47" s="22" t="s">
        <v>33</v>
      </c>
      <c r="C47" s="33">
        <f t="shared" si="5"/>
        <v>27947.466</v>
      </c>
      <c r="D47" s="33">
        <f t="shared" si="5"/>
        <v>35642.234000000004</v>
      </c>
      <c r="E47" s="33">
        <f t="shared" si="5"/>
        <v>38465.023</v>
      </c>
      <c r="F47" s="33">
        <f t="shared" si="5"/>
        <v>39971.104999999996</v>
      </c>
      <c r="G47" s="33">
        <f t="shared" si="5"/>
        <v>34380.479</v>
      </c>
      <c r="H47" s="33">
        <f t="shared" si="5"/>
        <v>37536.675</v>
      </c>
      <c r="I47" s="33">
        <f t="shared" si="5"/>
        <v>29628.879</v>
      </c>
      <c r="J47" s="33">
        <f t="shared" si="5"/>
        <v>36758.596</v>
      </c>
      <c r="K47" s="33">
        <f t="shared" si="5"/>
        <v>37556.166</v>
      </c>
      <c r="L47" s="33">
        <f t="shared" si="5"/>
        <v>32604.162</v>
      </c>
      <c r="M47" s="33">
        <f t="shared" si="5"/>
        <v>31519.558</v>
      </c>
      <c r="N47" s="33">
        <f t="shared" si="5"/>
        <v>29004.097999999998</v>
      </c>
      <c r="O47" s="34">
        <f t="shared" si="6"/>
        <v>411014.44100000005</v>
      </c>
      <c r="R47" s="22">
        <v>10087</v>
      </c>
      <c r="S47" s="22" t="s">
        <v>33</v>
      </c>
      <c r="T47" s="23">
        <v>0.0066245</v>
      </c>
      <c r="U47" s="23">
        <v>0.0066202</v>
      </c>
      <c r="V47" s="23">
        <v>0.0066245</v>
      </c>
      <c r="W47" s="23">
        <v>0.0066202</v>
      </c>
      <c r="X47" s="23">
        <v>0</v>
      </c>
      <c r="Y47" s="23">
        <v>0</v>
      </c>
      <c r="Z47" s="24">
        <v>85.48</v>
      </c>
      <c r="AA47" s="24">
        <v>46.791</v>
      </c>
      <c r="AB47" s="24">
        <v>46.761</v>
      </c>
      <c r="AC47" s="75">
        <v>0</v>
      </c>
      <c r="AD47" s="40">
        <v>0</v>
      </c>
      <c r="AE47" s="77"/>
    </row>
    <row r="48" spans="1:31" ht="15">
      <c r="A48" s="22">
        <v>10089</v>
      </c>
      <c r="B48" s="22" t="s">
        <v>34</v>
      </c>
      <c r="C48" s="33">
        <f t="shared" si="5"/>
        <v>62244.229999999996</v>
      </c>
      <c r="D48" s="33">
        <f t="shared" si="5"/>
        <v>79381.919</v>
      </c>
      <c r="E48" s="33">
        <f t="shared" si="5"/>
        <v>85668.79800000001</v>
      </c>
      <c r="F48" s="33">
        <f t="shared" si="5"/>
        <v>89023.12400000001</v>
      </c>
      <c r="G48" s="33">
        <f t="shared" si="5"/>
        <v>76571.753</v>
      </c>
      <c r="H48" s="33">
        <f t="shared" si="5"/>
        <v>83601.194</v>
      </c>
      <c r="I48" s="33">
        <f t="shared" si="5"/>
        <v>65989.053</v>
      </c>
      <c r="J48" s="33">
        <f t="shared" si="5"/>
        <v>81868.264</v>
      </c>
      <c r="K48" s="33">
        <f t="shared" si="5"/>
        <v>83644.601</v>
      </c>
      <c r="L48" s="33">
        <f t="shared" si="5"/>
        <v>72615.565</v>
      </c>
      <c r="M48" s="33">
        <f t="shared" si="5"/>
        <v>70199.94900000001</v>
      </c>
      <c r="N48" s="33">
        <f t="shared" si="5"/>
        <v>64597.547</v>
      </c>
      <c r="O48" s="34">
        <f t="shared" si="6"/>
        <v>915405.997</v>
      </c>
      <c r="R48" s="22">
        <v>10089</v>
      </c>
      <c r="S48" s="22" t="s">
        <v>34</v>
      </c>
      <c r="T48" s="23">
        <v>0.014754</v>
      </c>
      <c r="U48" s="23">
        <v>0.014754</v>
      </c>
      <c r="V48" s="23">
        <v>0.014754</v>
      </c>
      <c r="W48" s="23">
        <v>0.014754</v>
      </c>
      <c r="X48" s="23">
        <v>0</v>
      </c>
      <c r="Y48" s="23">
        <v>0</v>
      </c>
      <c r="Z48" s="24">
        <v>104.213</v>
      </c>
      <c r="AA48" s="24">
        <v>104.213</v>
      </c>
      <c r="AB48" s="24">
        <v>104.213</v>
      </c>
      <c r="AC48" s="75">
        <v>0</v>
      </c>
      <c r="AD48" s="40">
        <v>0</v>
      </c>
      <c r="AE48" s="77"/>
    </row>
    <row r="49" spans="1:31" ht="15">
      <c r="A49" s="22">
        <v>10091</v>
      </c>
      <c r="B49" s="22" t="s">
        <v>35</v>
      </c>
      <c r="C49" s="33">
        <f aca="true" t="shared" si="7" ref="C49:N70">ROUND(C$3*$V49,3)+ROUND(C$4*$V49,3)</f>
        <v>5396.272</v>
      </c>
      <c r="D49" s="33">
        <f t="shared" si="7"/>
        <v>6882.026</v>
      </c>
      <c r="E49" s="33">
        <f t="shared" si="7"/>
        <v>7427.067999999999</v>
      </c>
      <c r="F49" s="33">
        <f t="shared" si="7"/>
        <v>7717.871</v>
      </c>
      <c r="G49" s="33">
        <f t="shared" si="7"/>
        <v>6638.398999999999</v>
      </c>
      <c r="H49" s="33">
        <f t="shared" si="7"/>
        <v>7247.817000000001</v>
      </c>
      <c r="I49" s="33">
        <f t="shared" si="7"/>
        <v>5720.93</v>
      </c>
      <c r="J49" s="33">
        <f t="shared" si="7"/>
        <v>7097.58</v>
      </c>
      <c r="K49" s="33">
        <f t="shared" si="7"/>
        <v>7251.58</v>
      </c>
      <c r="L49" s="33">
        <f t="shared" si="7"/>
        <v>6295.416</v>
      </c>
      <c r="M49" s="33">
        <f t="shared" si="7"/>
        <v>6085.994000000001</v>
      </c>
      <c r="N49" s="33">
        <f t="shared" si="7"/>
        <v>5600.293</v>
      </c>
      <c r="O49" s="34">
        <f t="shared" si="6"/>
        <v>79361.24600000001</v>
      </c>
      <c r="R49" s="22">
        <v>10091</v>
      </c>
      <c r="S49" s="22" t="s">
        <v>35</v>
      </c>
      <c r="T49" s="23">
        <v>0.0012791</v>
      </c>
      <c r="U49" s="23">
        <v>0.0012783</v>
      </c>
      <c r="V49" s="23">
        <v>0.0012791</v>
      </c>
      <c r="W49" s="23">
        <v>0.0012783</v>
      </c>
      <c r="X49" s="23">
        <v>0</v>
      </c>
      <c r="Y49" s="23">
        <v>0</v>
      </c>
      <c r="Z49" s="24">
        <v>9.422</v>
      </c>
      <c r="AA49" s="24">
        <v>9.035</v>
      </c>
      <c r="AB49" s="24">
        <v>9.029</v>
      </c>
      <c r="AC49" s="75">
        <v>0</v>
      </c>
      <c r="AD49" s="40">
        <v>0</v>
      </c>
      <c r="AE49" s="77"/>
    </row>
    <row r="50" spans="1:31" ht="15">
      <c r="A50" s="22">
        <v>10094</v>
      </c>
      <c r="B50" s="22" t="s">
        <v>36</v>
      </c>
      <c r="C50" s="33">
        <f t="shared" si="7"/>
        <v>1811.132</v>
      </c>
      <c r="D50" s="33">
        <f t="shared" si="7"/>
        <v>2309.791</v>
      </c>
      <c r="E50" s="33">
        <f t="shared" si="7"/>
        <v>2492.7219999999998</v>
      </c>
      <c r="F50" s="33">
        <f t="shared" si="7"/>
        <v>2590.323</v>
      </c>
      <c r="G50" s="33">
        <f t="shared" si="7"/>
        <v>2228.023</v>
      </c>
      <c r="H50" s="33">
        <f t="shared" si="7"/>
        <v>2432.56</v>
      </c>
      <c r="I50" s="33">
        <f t="shared" si="7"/>
        <v>1920.097</v>
      </c>
      <c r="J50" s="33">
        <f t="shared" si="7"/>
        <v>2382.1369999999997</v>
      </c>
      <c r="K50" s="33">
        <f t="shared" si="7"/>
        <v>2433.823</v>
      </c>
      <c r="L50" s="33">
        <f t="shared" si="7"/>
        <v>2112.9089999999997</v>
      </c>
      <c r="M50" s="33">
        <f t="shared" si="7"/>
        <v>2042.6219999999998</v>
      </c>
      <c r="N50" s="33">
        <f t="shared" si="7"/>
        <v>1879.607</v>
      </c>
      <c r="O50" s="34">
        <f t="shared" si="6"/>
        <v>26635.746</v>
      </c>
      <c r="R50" s="22">
        <v>10094</v>
      </c>
      <c r="S50" s="22" t="s">
        <v>36</v>
      </c>
      <c r="T50" s="23">
        <v>0.0004293</v>
      </c>
      <c r="U50" s="23">
        <v>0.0004291</v>
      </c>
      <c r="V50" s="23">
        <v>0.0004293</v>
      </c>
      <c r="W50" s="23">
        <v>0.0004291</v>
      </c>
      <c r="X50" s="23">
        <v>0</v>
      </c>
      <c r="Y50" s="23">
        <v>0</v>
      </c>
      <c r="Z50" s="24">
        <v>3.037</v>
      </c>
      <c r="AA50" s="24">
        <v>3.032</v>
      </c>
      <c r="AB50" s="24">
        <v>3.031</v>
      </c>
      <c r="AC50" s="75">
        <v>0</v>
      </c>
      <c r="AD50" s="40">
        <v>0</v>
      </c>
      <c r="AE50" s="77"/>
    </row>
    <row r="51" spans="1:31" ht="15">
      <c r="A51" s="22">
        <v>10095</v>
      </c>
      <c r="B51" s="22" t="s">
        <v>37</v>
      </c>
      <c r="C51" s="33">
        <f t="shared" si="7"/>
        <v>2176.059</v>
      </c>
      <c r="D51" s="33">
        <f t="shared" si="7"/>
        <v>2775.193</v>
      </c>
      <c r="E51" s="33">
        <f t="shared" si="7"/>
        <v>2994.983</v>
      </c>
      <c r="F51" s="33">
        <f t="shared" si="7"/>
        <v>3112.25</v>
      </c>
      <c r="G51" s="33">
        <f t="shared" si="7"/>
        <v>2676.949</v>
      </c>
      <c r="H51" s="33">
        <f t="shared" si="7"/>
        <v>2922.6980000000003</v>
      </c>
      <c r="I51" s="33">
        <f t="shared" si="7"/>
        <v>2306.978</v>
      </c>
      <c r="J51" s="33">
        <f t="shared" si="7"/>
        <v>2862.115</v>
      </c>
      <c r="K51" s="33">
        <f t="shared" si="7"/>
        <v>2924.216</v>
      </c>
      <c r="L51" s="33">
        <f t="shared" si="7"/>
        <v>2538.641</v>
      </c>
      <c r="M51" s="33">
        <f t="shared" si="7"/>
        <v>2454.191</v>
      </c>
      <c r="N51" s="33">
        <f t="shared" si="7"/>
        <v>2258.331</v>
      </c>
      <c r="O51" s="34">
        <f t="shared" si="6"/>
        <v>32002.604</v>
      </c>
      <c r="R51" s="22">
        <v>10095</v>
      </c>
      <c r="S51" s="22" t="s">
        <v>37</v>
      </c>
      <c r="T51" s="23">
        <v>0.0005158</v>
      </c>
      <c r="U51" s="23">
        <v>0.0005158</v>
      </c>
      <c r="V51" s="23">
        <v>0.0005158</v>
      </c>
      <c r="W51" s="23">
        <v>0.0005158</v>
      </c>
      <c r="X51" s="23">
        <v>0</v>
      </c>
      <c r="Y51" s="23">
        <v>0</v>
      </c>
      <c r="Z51" s="24">
        <v>3.643</v>
      </c>
      <c r="AA51" s="24">
        <v>3.643</v>
      </c>
      <c r="AB51" s="24">
        <v>3.643</v>
      </c>
      <c r="AC51" s="75">
        <v>0</v>
      </c>
      <c r="AD51" s="40">
        <v>0</v>
      </c>
      <c r="AE51" s="77"/>
    </row>
    <row r="52" spans="1:31" ht="15">
      <c r="A52" s="22">
        <v>10097</v>
      </c>
      <c r="B52" s="22" t="s">
        <v>38</v>
      </c>
      <c r="C52" s="33">
        <f t="shared" si="7"/>
        <v>1192.656</v>
      </c>
      <c r="D52" s="33">
        <f t="shared" si="7"/>
        <v>1521.03</v>
      </c>
      <c r="E52" s="33">
        <f t="shared" si="7"/>
        <v>1641.491</v>
      </c>
      <c r="F52" s="33">
        <f t="shared" si="7"/>
        <v>1705.764</v>
      </c>
      <c r="G52" s="33">
        <f t="shared" si="7"/>
        <v>1467.184</v>
      </c>
      <c r="H52" s="33">
        <f t="shared" si="7"/>
        <v>1601.874</v>
      </c>
      <c r="I52" s="33">
        <f t="shared" si="7"/>
        <v>1264.41</v>
      </c>
      <c r="J52" s="33">
        <f t="shared" si="7"/>
        <v>1568.67</v>
      </c>
      <c r="K52" s="33">
        <f t="shared" si="7"/>
        <v>1602.7060000000001</v>
      </c>
      <c r="L52" s="33">
        <f t="shared" si="7"/>
        <v>1391.38</v>
      </c>
      <c r="M52" s="33">
        <f t="shared" si="7"/>
        <v>1345.095</v>
      </c>
      <c r="N52" s="33">
        <f t="shared" si="7"/>
        <v>1237.747</v>
      </c>
      <c r="O52" s="34">
        <f t="shared" si="6"/>
        <v>17540.007</v>
      </c>
      <c r="R52" s="22">
        <v>10097</v>
      </c>
      <c r="S52" s="22" t="s">
        <v>38</v>
      </c>
      <c r="T52" s="23">
        <v>0.0002827</v>
      </c>
      <c r="U52" s="23">
        <v>0.0002832</v>
      </c>
      <c r="V52" s="23">
        <v>0.0002827</v>
      </c>
      <c r="W52" s="23">
        <v>0.0002832</v>
      </c>
      <c r="X52" s="23">
        <v>0</v>
      </c>
      <c r="Y52" s="23">
        <v>0</v>
      </c>
      <c r="Z52" s="24">
        <v>2.038</v>
      </c>
      <c r="AA52" s="24">
        <v>1.997</v>
      </c>
      <c r="AB52" s="24">
        <v>2</v>
      </c>
      <c r="AC52" s="75">
        <v>0</v>
      </c>
      <c r="AD52" s="40">
        <v>0</v>
      </c>
      <c r="AE52" s="77"/>
    </row>
    <row r="53" spans="1:31" ht="15">
      <c r="A53" s="22">
        <v>10101</v>
      </c>
      <c r="B53" s="22" t="s">
        <v>39</v>
      </c>
      <c r="C53" s="33">
        <f t="shared" si="7"/>
        <v>45409.937999999995</v>
      </c>
      <c r="D53" s="33">
        <f t="shared" si="7"/>
        <v>57912.645000000004</v>
      </c>
      <c r="E53" s="33">
        <f t="shared" si="7"/>
        <v>62499.202</v>
      </c>
      <c r="F53" s="33">
        <f t="shared" si="7"/>
        <v>64946.333</v>
      </c>
      <c r="G53" s="33">
        <f t="shared" si="7"/>
        <v>55862.504</v>
      </c>
      <c r="H53" s="33">
        <f t="shared" si="7"/>
        <v>60990.793000000005</v>
      </c>
      <c r="I53" s="33">
        <f t="shared" si="7"/>
        <v>48141.954</v>
      </c>
      <c r="J53" s="33">
        <f t="shared" si="7"/>
        <v>59726.543999999994</v>
      </c>
      <c r="K53" s="33">
        <f t="shared" si="7"/>
        <v>61022.461</v>
      </c>
      <c r="L53" s="33">
        <f t="shared" si="7"/>
        <v>52976.288</v>
      </c>
      <c r="M53" s="33">
        <f t="shared" si="7"/>
        <v>51213.989</v>
      </c>
      <c r="N53" s="33">
        <f t="shared" si="7"/>
        <v>47126.787</v>
      </c>
      <c r="O53" s="34">
        <f t="shared" si="6"/>
        <v>667829.4380000001</v>
      </c>
      <c r="R53" s="22">
        <v>10101</v>
      </c>
      <c r="S53" s="22" t="s">
        <v>39</v>
      </c>
      <c r="T53" s="23">
        <v>0.0107637</v>
      </c>
      <c r="U53" s="23">
        <v>0.0107637</v>
      </c>
      <c r="V53" s="23">
        <v>0.0107637</v>
      </c>
      <c r="W53" s="23">
        <v>0.0107637</v>
      </c>
      <c r="X53" s="23">
        <v>0</v>
      </c>
      <c r="Y53" s="23">
        <v>0</v>
      </c>
      <c r="Z53" s="24">
        <v>76.028</v>
      </c>
      <c r="AA53" s="24">
        <v>76.028</v>
      </c>
      <c r="AB53" s="24">
        <v>76.028</v>
      </c>
      <c r="AC53" s="82">
        <v>0.05095</v>
      </c>
      <c r="AD53" s="40">
        <v>0</v>
      </c>
      <c r="AE53" s="77"/>
    </row>
    <row r="54" spans="1:31" ht="15">
      <c r="A54" s="22">
        <v>10103</v>
      </c>
      <c r="B54" s="22" t="s">
        <v>40</v>
      </c>
      <c r="C54" s="33">
        <f t="shared" si="7"/>
        <v>98188.861</v>
      </c>
      <c r="D54" s="33">
        <f t="shared" si="7"/>
        <v>125223.176</v>
      </c>
      <c r="E54" s="33">
        <f t="shared" si="7"/>
        <v>135140.583</v>
      </c>
      <c r="F54" s="33">
        <f t="shared" si="7"/>
        <v>140431.957</v>
      </c>
      <c r="G54" s="33">
        <f t="shared" si="7"/>
        <v>120790.201</v>
      </c>
      <c r="H54" s="33">
        <f t="shared" si="7"/>
        <v>131878.984</v>
      </c>
      <c r="I54" s="33">
        <f t="shared" si="7"/>
        <v>104096.234</v>
      </c>
      <c r="J54" s="33">
        <f t="shared" si="7"/>
        <v>129145.328</v>
      </c>
      <c r="K54" s="33">
        <f t="shared" si="7"/>
        <v>131947.459</v>
      </c>
      <c r="L54" s="33">
        <f t="shared" si="7"/>
        <v>114549.404</v>
      </c>
      <c r="M54" s="33">
        <f t="shared" si="7"/>
        <v>110738.825</v>
      </c>
      <c r="N54" s="33">
        <f t="shared" si="7"/>
        <v>101901.16399999999</v>
      </c>
      <c r="O54" s="34">
        <f t="shared" si="6"/>
        <v>1444032.176</v>
      </c>
      <c r="R54" s="22">
        <v>10103</v>
      </c>
      <c r="S54" s="22" t="s">
        <v>40</v>
      </c>
      <c r="T54" s="23">
        <v>0.045091</v>
      </c>
      <c r="U54" s="23">
        <v>0.045091</v>
      </c>
      <c r="V54" s="23">
        <v>0.0232741</v>
      </c>
      <c r="W54" s="23">
        <v>0.0232741</v>
      </c>
      <c r="X54" s="23">
        <v>0.0218169</v>
      </c>
      <c r="Y54" s="23">
        <v>0.0218169</v>
      </c>
      <c r="Z54" s="24">
        <v>318.494</v>
      </c>
      <c r="AA54" s="24">
        <v>318.494</v>
      </c>
      <c r="AB54" s="24">
        <v>318.494</v>
      </c>
      <c r="AC54" s="75">
        <v>0</v>
      </c>
      <c r="AD54" s="40">
        <v>0</v>
      </c>
      <c r="AE54" s="77"/>
    </row>
    <row r="55" spans="1:31" ht="15">
      <c r="A55" s="22">
        <v>10105</v>
      </c>
      <c r="B55" s="22" t="s">
        <v>41</v>
      </c>
      <c r="C55" s="33">
        <f t="shared" si="7"/>
        <v>20157.022</v>
      </c>
      <c r="D55" s="33">
        <f t="shared" si="7"/>
        <v>25706.851000000002</v>
      </c>
      <c r="E55" s="33">
        <f t="shared" si="7"/>
        <v>27742.778</v>
      </c>
      <c r="F55" s="33">
        <f t="shared" si="7"/>
        <v>28829.034999999996</v>
      </c>
      <c r="G55" s="33">
        <f t="shared" si="7"/>
        <v>24796.813000000002</v>
      </c>
      <c r="H55" s="33">
        <f t="shared" si="7"/>
        <v>27073.211</v>
      </c>
      <c r="I55" s="33">
        <f t="shared" si="7"/>
        <v>21369.737</v>
      </c>
      <c r="J55" s="33">
        <f t="shared" si="7"/>
        <v>26512.023</v>
      </c>
      <c r="K55" s="33">
        <f t="shared" si="7"/>
        <v>27087.267</v>
      </c>
      <c r="L55" s="33">
        <f t="shared" si="7"/>
        <v>23515.65</v>
      </c>
      <c r="M55" s="33">
        <f t="shared" si="7"/>
        <v>22733.384</v>
      </c>
      <c r="N55" s="33">
        <f t="shared" si="7"/>
        <v>20919.114999999998</v>
      </c>
      <c r="O55" s="34">
        <f t="shared" si="6"/>
        <v>296442.886</v>
      </c>
      <c r="R55" s="22">
        <v>10105</v>
      </c>
      <c r="S55" s="22" t="s">
        <v>41</v>
      </c>
      <c r="T55" s="23">
        <v>0.0120298</v>
      </c>
      <c r="U55" s="23">
        <v>0.0116987</v>
      </c>
      <c r="V55" s="23">
        <v>0.0047779</v>
      </c>
      <c r="W55" s="23">
        <v>0.004446799999999999</v>
      </c>
      <c r="X55" s="23">
        <v>0.0072519</v>
      </c>
      <c r="Y55" s="23">
        <v>0.0072519</v>
      </c>
      <c r="Z55" s="24">
        <v>92.838</v>
      </c>
      <c r="AA55" s="24">
        <v>84.971</v>
      </c>
      <c r="AB55" s="24">
        <v>82.632</v>
      </c>
      <c r="AC55" s="75">
        <v>0</v>
      </c>
      <c r="AD55" s="40">
        <v>0</v>
      </c>
      <c r="AE55" s="77"/>
    </row>
    <row r="56" spans="1:31" ht="15">
      <c r="A56" s="22">
        <v>10106</v>
      </c>
      <c r="B56" s="22" t="s">
        <v>42</v>
      </c>
      <c r="C56" s="33">
        <f t="shared" si="7"/>
        <v>14262.510000000002</v>
      </c>
      <c r="D56" s="33">
        <f t="shared" si="7"/>
        <v>18189.403</v>
      </c>
      <c r="E56" s="33">
        <f t="shared" si="7"/>
        <v>19629.965</v>
      </c>
      <c r="F56" s="33">
        <f t="shared" si="7"/>
        <v>20398.568</v>
      </c>
      <c r="G56" s="33">
        <f t="shared" si="7"/>
        <v>17545.488</v>
      </c>
      <c r="H56" s="33">
        <f t="shared" si="7"/>
        <v>19156.199</v>
      </c>
      <c r="I56" s="33">
        <f t="shared" si="7"/>
        <v>15120.591</v>
      </c>
      <c r="J56" s="33">
        <f t="shared" si="7"/>
        <v>18759.119</v>
      </c>
      <c r="K56" s="33">
        <f t="shared" si="7"/>
        <v>19166.145</v>
      </c>
      <c r="L56" s="33">
        <f t="shared" si="7"/>
        <v>16638.975</v>
      </c>
      <c r="M56" s="33">
        <f t="shared" si="7"/>
        <v>16085.467</v>
      </c>
      <c r="N56" s="33">
        <f t="shared" si="7"/>
        <v>14801.743999999999</v>
      </c>
      <c r="O56" s="34">
        <f t="shared" si="6"/>
        <v>209754.174</v>
      </c>
      <c r="R56" s="22">
        <v>10106</v>
      </c>
      <c r="S56" s="22" t="s">
        <v>42</v>
      </c>
      <c r="T56" s="23">
        <v>0.0033807</v>
      </c>
      <c r="U56" s="23">
        <v>0.0033807</v>
      </c>
      <c r="V56" s="23">
        <v>0.0033807</v>
      </c>
      <c r="W56" s="23">
        <v>0.0033807</v>
      </c>
      <c r="X56" s="23">
        <v>0</v>
      </c>
      <c r="Y56" s="23">
        <v>0</v>
      </c>
      <c r="Z56" s="24">
        <v>23.879</v>
      </c>
      <c r="AA56" s="24">
        <v>23.879</v>
      </c>
      <c r="AB56" s="24">
        <v>23.879</v>
      </c>
      <c r="AC56" s="79">
        <v>0.07074</v>
      </c>
      <c r="AD56" s="40">
        <v>1</v>
      </c>
      <c r="AE56" s="77"/>
    </row>
    <row r="57" spans="1:31" ht="15">
      <c r="A57" s="22">
        <v>10109</v>
      </c>
      <c r="B57" s="22" t="s">
        <v>43</v>
      </c>
      <c r="C57" s="33">
        <f t="shared" si="7"/>
        <v>7237.78</v>
      </c>
      <c r="D57" s="33">
        <f t="shared" si="7"/>
        <v>9230.555</v>
      </c>
      <c r="E57" s="33">
        <f t="shared" si="7"/>
        <v>9961.596</v>
      </c>
      <c r="F57" s="33">
        <f t="shared" si="7"/>
        <v>10351.639000000001</v>
      </c>
      <c r="G57" s="33">
        <f t="shared" si="7"/>
        <v>8903.789</v>
      </c>
      <c r="H57" s="33">
        <f t="shared" si="7"/>
        <v>9721.173999999999</v>
      </c>
      <c r="I57" s="33">
        <f t="shared" si="7"/>
        <v>7673.229</v>
      </c>
      <c r="J57" s="33">
        <f t="shared" si="7"/>
        <v>9519.669</v>
      </c>
      <c r="K57" s="33">
        <f t="shared" si="7"/>
        <v>9726.222</v>
      </c>
      <c r="L57" s="33">
        <f t="shared" si="7"/>
        <v>8443.762</v>
      </c>
      <c r="M57" s="33">
        <f t="shared" si="7"/>
        <v>8162.874</v>
      </c>
      <c r="N57" s="33">
        <f t="shared" si="7"/>
        <v>7511.424</v>
      </c>
      <c r="O57" s="34">
        <f t="shared" si="6"/>
        <v>106443.71299999999</v>
      </c>
      <c r="R57" s="22">
        <v>10109</v>
      </c>
      <c r="S57" s="22" t="s">
        <v>43</v>
      </c>
      <c r="T57" s="23">
        <v>0.0017156</v>
      </c>
      <c r="U57" s="23">
        <v>0.0017156</v>
      </c>
      <c r="V57" s="23">
        <v>0.0017156</v>
      </c>
      <c r="W57" s="23">
        <v>0.0017156</v>
      </c>
      <c r="X57" s="23">
        <v>0</v>
      </c>
      <c r="Y57" s="23">
        <v>0</v>
      </c>
      <c r="Z57" s="24">
        <v>12.118</v>
      </c>
      <c r="AA57" s="24">
        <v>12.118</v>
      </c>
      <c r="AB57" s="24">
        <v>12.118</v>
      </c>
      <c r="AC57" s="79">
        <v>0.08569</v>
      </c>
      <c r="AD57" s="40">
        <v>0</v>
      </c>
      <c r="AE57" s="77"/>
    </row>
    <row r="58" spans="1:31" ht="15">
      <c r="A58" s="22">
        <v>10111</v>
      </c>
      <c r="B58" s="22" t="s">
        <v>44</v>
      </c>
      <c r="C58" s="33">
        <f t="shared" si="7"/>
        <v>1873.57</v>
      </c>
      <c r="D58" s="33">
        <f t="shared" si="7"/>
        <v>2389.4210000000003</v>
      </c>
      <c r="E58" s="33">
        <f t="shared" si="7"/>
        <v>2578.6580000000004</v>
      </c>
      <c r="F58" s="33">
        <f t="shared" si="7"/>
        <v>2679.624</v>
      </c>
      <c r="G58" s="33">
        <f t="shared" si="7"/>
        <v>2304.833</v>
      </c>
      <c r="H58" s="33">
        <f t="shared" si="7"/>
        <v>2516.422</v>
      </c>
      <c r="I58" s="33">
        <f t="shared" si="7"/>
        <v>1986.291</v>
      </c>
      <c r="J58" s="33">
        <f t="shared" si="7"/>
        <v>2464.26</v>
      </c>
      <c r="K58" s="33">
        <f t="shared" si="7"/>
        <v>2517.7290000000003</v>
      </c>
      <c r="L58" s="33">
        <f t="shared" si="7"/>
        <v>2185.751</v>
      </c>
      <c r="M58" s="33">
        <f t="shared" si="7"/>
        <v>2113.041</v>
      </c>
      <c r="N58" s="33">
        <f t="shared" si="7"/>
        <v>1944.406</v>
      </c>
      <c r="O58" s="34">
        <f t="shared" si="6"/>
        <v>27554.006</v>
      </c>
      <c r="R58" s="22">
        <v>10111</v>
      </c>
      <c r="S58" s="22" t="s">
        <v>44</v>
      </c>
      <c r="T58" s="23">
        <v>0.0004441</v>
      </c>
      <c r="U58" s="23">
        <v>0.0004445</v>
      </c>
      <c r="V58" s="23">
        <v>0.0004441</v>
      </c>
      <c r="W58" s="23">
        <v>0.0004445</v>
      </c>
      <c r="X58" s="23">
        <v>0</v>
      </c>
      <c r="Y58" s="23">
        <v>0</v>
      </c>
      <c r="Z58" s="24">
        <v>3.235</v>
      </c>
      <c r="AA58" s="24">
        <v>3.137</v>
      </c>
      <c r="AB58" s="24">
        <v>3.14</v>
      </c>
      <c r="AC58" s="79">
        <v>0.07</v>
      </c>
      <c r="AD58" s="40">
        <v>0</v>
      </c>
      <c r="AE58" s="77"/>
    </row>
    <row r="59" spans="1:31" ht="15">
      <c r="A59" s="22">
        <v>10112</v>
      </c>
      <c r="B59" s="22" t="s">
        <v>45</v>
      </c>
      <c r="C59" s="33">
        <f t="shared" si="7"/>
        <v>34791.63</v>
      </c>
      <c r="D59" s="33">
        <f t="shared" si="7"/>
        <v>44370.801999999996</v>
      </c>
      <c r="E59" s="33">
        <f t="shared" si="7"/>
        <v>47884.875</v>
      </c>
      <c r="F59" s="33">
        <f t="shared" si="7"/>
        <v>49759.787</v>
      </c>
      <c r="G59" s="33">
        <f t="shared" si="7"/>
        <v>42800.049</v>
      </c>
      <c r="H59" s="33">
        <f t="shared" si="7"/>
        <v>46729.18</v>
      </c>
      <c r="I59" s="33">
        <f t="shared" si="7"/>
        <v>36884.812</v>
      </c>
      <c r="J59" s="33">
        <f t="shared" si="7"/>
        <v>45760.553</v>
      </c>
      <c r="K59" s="33">
        <f t="shared" si="7"/>
        <v>46753.443</v>
      </c>
      <c r="L59" s="33">
        <f t="shared" si="7"/>
        <v>40588.725</v>
      </c>
      <c r="M59" s="33">
        <f t="shared" si="7"/>
        <v>39238.507</v>
      </c>
      <c r="N59" s="33">
        <f t="shared" si="7"/>
        <v>36107.025</v>
      </c>
      <c r="O59" s="34">
        <f t="shared" si="6"/>
        <v>511669.3879999999</v>
      </c>
      <c r="R59" s="22">
        <v>10112</v>
      </c>
      <c r="S59" s="22" t="s">
        <v>45</v>
      </c>
      <c r="T59" s="23">
        <v>0.0082468</v>
      </c>
      <c r="U59" s="23">
        <v>0.0082468</v>
      </c>
      <c r="V59" s="23">
        <v>0.0082468</v>
      </c>
      <c r="W59" s="23">
        <v>0.0082468</v>
      </c>
      <c r="X59" s="23">
        <v>0</v>
      </c>
      <c r="Y59" s="23">
        <v>0</v>
      </c>
      <c r="Z59" s="24">
        <v>58.25</v>
      </c>
      <c r="AA59" s="24">
        <v>58.25</v>
      </c>
      <c r="AB59" s="24">
        <v>58.25</v>
      </c>
      <c r="AC59" s="75">
        <v>0</v>
      </c>
      <c r="AD59" s="40">
        <v>0</v>
      </c>
      <c r="AE59" s="77"/>
    </row>
    <row r="60" spans="1:31" ht="15">
      <c r="A60" s="22">
        <v>10113</v>
      </c>
      <c r="B60" s="22" t="s">
        <v>46</v>
      </c>
      <c r="C60" s="33">
        <f t="shared" si="7"/>
        <v>22513.224</v>
      </c>
      <c r="D60" s="33">
        <f t="shared" si="7"/>
        <v>28711.785</v>
      </c>
      <c r="E60" s="33">
        <f t="shared" si="7"/>
        <v>30985.697</v>
      </c>
      <c r="F60" s="33">
        <f t="shared" si="7"/>
        <v>32198.929</v>
      </c>
      <c r="G60" s="33">
        <f t="shared" si="7"/>
        <v>27695.371</v>
      </c>
      <c r="H60" s="33">
        <f t="shared" si="7"/>
        <v>30237.861</v>
      </c>
      <c r="I60" s="33">
        <f t="shared" si="7"/>
        <v>23867.696</v>
      </c>
      <c r="J60" s="33">
        <f t="shared" si="7"/>
        <v>29611.075</v>
      </c>
      <c r="K60" s="33">
        <f t="shared" si="7"/>
        <v>30253.561</v>
      </c>
      <c r="L60" s="33">
        <f t="shared" si="7"/>
        <v>26264.449999999997</v>
      </c>
      <c r="M60" s="33">
        <f t="shared" si="7"/>
        <v>25390.742</v>
      </c>
      <c r="N60" s="33">
        <f t="shared" si="7"/>
        <v>23364.4</v>
      </c>
      <c r="O60" s="34">
        <f t="shared" si="6"/>
        <v>331094.7910000001</v>
      </c>
      <c r="R60" s="22">
        <v>10113</v>
      </c>
      <c r="S60" s="22" t="s">
        <v>46</v>
      </c>
      <c r="T60" s="23">
        <v>0.0053364</v>
      </c>
      <c r="U60" s="23">
        <v>0.0053364</v>
      </c>
      <c r="V60" s="23">
        <v>0.0053364</v>
      </c>
      <c r="W60" s="23">
        <v>0.0053364</v>
      </c>
      <c r="X60" s="23">
        <v>0</v>
      </c>
      <c r="Y60" s="23">
        <v>0</v>
      </c>
      <c r="Z60" s="24">
        <v>37.693</v>
      </c>
      <c r="AA60" s="24">
        <v>37.693</v>
      </c>
      <c r="AB60" s="24">
        <v>37.693</v>
      </c>
      <c r="AC60" s="79">
        <v>0.08083</v>
      </c>
      <c r="AD60" s="40">
        <v>0</v>
      </c>
      <c r="AE60" s="77"/>
    </row>
    <row r="61" spans="1:31" ht="15">
      <c r="A61" s="22">
        <v>10116</v>
      </c>
      <c r="B61" s="22" t="s">
        <v>47</v>
      </c>
      <c r="C61" s="33">
        <f t="shared" si="7"/>
        <v>136.267</v>
      </c>
      <c r="D61" s="33">
        <f t="shared" si="7"/>
        <v>173.786</v>
      </c>
      <c r="E61" s="33">
        <f t="shared" si="7"/>
        <v>187.55</v>
      </c>
      <c r="F61" s="33">
        <f t="shared" si="7"/>
        <v>194.893</v>
      </c>
      <c r="G61" s="33">
        <f t="shared" si="7"/>
        <v>167.63400000000001</v>
      </c>
      <c r="H61" s="33">
        <f t="shared" si="7"/>
        <v>183.022</v>
      </c>
      <c r="I61" s="33">
        <f t="shared" si="7"/>
        <v>144.466</v>
      </c>
      <c r="J61" s="33">
        <f t="shared" si="7"/>
        <v>179.22899999999998</v>
      </c>
      <c r="K61" s="33">
        <f t="shared" si="7"/>
        <v>183.118</v>
      </c>
      <c r="L61" s="33">
        <f t="shared" si="7"/>
        <v>158.973</v>
      </c>
      <c r="M61" s="33">
        <f t="shared" si="7"/>
        <v>153.685</v>
      </c>
      <c r="N61" s="33">
        <f t="shared" si="7"/>
        <v>141.42</v>
      </c>
      <c r="O61" s="34">
        <f t="shared" si="6"/>
        <v>2004.043</v>
      </c>
      <c r="R61" s="22">
        <v>10116</v>
      </c>
      <c r="S61" s="22" t="s">
        <v>47</v>
      </c>
      <c r="T61" s="23">
        <v>3.23E-05</v>
      </c>
      <c r="U61" s="23">
        <v>3.23E-05</v>
      </c>
      <c r="V61" s="23">
        <v>3.23E-05</v>
      </c>
      <c r="W61" s="23">
        <v>3.23E-05</v>
      </c>
      <c r="X61" s="23">
        <v>0</v>
      </c>
      <c r="Y61" s="23">
        <v>0</v>
      </c>
      <c r="Z61" s="24">
        <v>0.228</v>
      </c>
      <c r="AA61" s="24">
        <v>0.228</v>
      </c>
      <c r="AB61" s="24">
        <v>0.228</v>
      </c>
      <c r="AC61" s="75">
        <v>0</v>
      </c>
      <c r="AD61" s="40">
        <v>0</v>
      </c>
      <c r="AE61" s="77"/>
    </row>
    <row r="62" spans="1:31" ht="15">
      <c r="A62" s="22">
        <v>10118</v>
      </c>
      <c r="B62" s="22" t="s">
        <v>48</v>
      </c>
      <c r="C62" s="33">
        <f t="shared" si="7"/>
        <v>27280.051</v>
      </c>
      <c r="D62" s="33">
        <f t="shared" si="7"/>
        <v>34791.06</v>
      </c>
      <c r="E62" s="33">
        <f t="shared" si="7"/>
        <v>37546.438</v>
      </c>
      <c r="F62" s="33">
        <f t="shared" si="7"/>
        <v>39016.553</v>
      </c>
      <c r="G62" s="33">
        <f t="shared" si="7"/>
        <v>33559.436</v>
      </c>
      <c r="H62" s="33">
        <f t="shared" si="7"/>
        <v>36640.26</v>
      </c>
      <c r="I62" s="33">
        <f t="shared" si="7"/>
        <v>28921.309999999998</v>
      </c>
      <c r="J62" s="33">
        <f t="shared" si="7"/>
        <v>35880.761</v>
      </c>
      <c r="K62" s="33">
        <f t="shared" si="7"/>
        <v>36659.284</v>
      </c>
      <c r="L62" s="33">
        <f t="shared" si="7"/>
        <v>31825.54</v>
      </c>
      <c r="M62" s="33">
        <f t="shared" si="7"/>
        <v>30766.837999999996</v>
      </c>
      <c r="N62" s="33">
        <f t="shared" si="7"/>
        <v>28311.449</v>
      </c>
      <c r="O62" s="34">
        <f t="shared" si="6"/>
        <v>401198.98</v>
      </c>
      <c r="R62" s="22">
        <v>10118</v>
      </c>
      <c r="S62" s="22" t="s">
        <v>48</v>
      </c>
      <c r="T62" s="23">
        <v>0.0064663</v>
      </c>
      <c r="U62" s="23">
        <v>0.0064663</v>
      </c>
      <c r="V62" s="23">
        <v>0.0064663</v>
      </c>
      <c r="W62" s="23">
        <v>0.0064663</v>
      </c>
      <c r="X62" s="23">
        <v>0</v>
      </c>
      <c r="Y62" s="23">
        <v>0</v>
      </c>
      <c r="Z62" s="24">
        <v>45.674</v>
      </c>
      <c r="AA62" s="24">
        <v>45.674</v>
      </c>
      <c r="AB62" s="24">
        <v>45.674</v>
      </c>
      <c r="AC62" s="79">
        <v>0.07004</v>
      </c>
      <c r="AD62" s="40">
        <v>1</v>
      </c>
      <c r="AE62" s="77"/>
    </row>
    <row r="63" spans="1:31" ht="15">
      <c r="A63" s="22">
        <v>10121</v>
      </c>
      <c r="B63" s="22" t="s">
        <v>49</v>
      </c>
      <c r="C63" s="33">
        <f t="shared" si="7"/>
        <v>23589.02</v>
      </c>
      <c r="D63" s="33">
        <f t="shared" si="7"/>
        <v>30083.778</v>
      </c>
      <c r="E63" s="33">
        <f t="shared" si="7"/>
        <v>32466.349000000002</v>
      </c>
      <c r="F63" s="33">
        <f t="shared" si="7"/>
        <v>33737.556</v>
      </c>
      <c r="G63" s="33">
        <f t="shared" si="7"/>
        <v>29018.795000000002</v>
      </c>
      <c r="H63" s="33">
        <f t="shared" si="7"/>
        <v>31682.779000000002</v>
      </c>
      <c r="I63" s="33">
        <f t="shared" si="7"/>
        <v>25008.215</v>
      </c>
      <c r="J63" s="33">
        <f t="shared" si="7"/>
        <v>31026.040999999997</v>
      </c>
      <c r="K63" s="33">
        <f t="shared" si="7"/>
        <v>31699.229</v>
      </c>
      <c r="L63" s="33">
        <f t="shared" si="7"/>
        <v>27519.497</v>
      </c>
      <c r="M63" s="33">
        <f t="shared" si="7"/>
        <v>26604.04</v>
      </c>
      <c r="N63" s="33">
        <f t="shared" si="7"/>
        <v>24480.868</v>
      </c>
      <c r="O63" s="34">
        <f t="shared" si="6"/>
        <v>346916.16699999996</v>
      </c>
      <c r="R63" s="22">
        <v>10121</v>
      </c>
      <c r="S63" s="22" t="s">
        <v>49</v>
      </c>
      <c r="T63" s="23">
        <v>0.0055914</v>
      </c>
      <c r="U63" s="23">
        <v>0.005588</v>
      </c>
      <c r="V63" s="23">
        <v>0.0055914</v>
      </c>
      <c r="W63" s="23">
        <v>0.005588</v>
      </c>
      <c r="X63" s="23">
        <v>0</v>
      </c>
      <c r="Y63" s="23">
        <v>0</v>
      </c>
      <c r="Z63" s="24">
        <v>40.875</v>
      </c>
      <c r="AA63" s="24">
        <v>39.494</v>
      </c>
      <c r="AB63" s="24">
        <v>39.47</v>
      </c>
      <c r="AC63" s="79">
        <v>0.06</v>
      </c>
      <c r="AD63" s="40">
        <v>1</v>
      </c>
      <c r="AE63" s="77"/>
    </row>
    <row r="64" spans="1:31" ht="15">
      <c r="A64" s="22">
        <v>10123</v>
      </c>
      <c r="B64" s="22" t="s">
        <v>50</v>
      </c>
      <c r="C64" s="33">
        <f t="shared" si="7"/>
        <v>121842.84999999999</v>
      </c>
      <c r="D64" s="33">
        <f t="shared" si="7"/>
        <v>155389.811</v>
      </c>
      <c r="E64" s="33">
        <f t="shared" si="7"/>
        <v>167696.352</v>
      </c>
      <c r="F64" s="33">
        <f t="shared" si="7"/>
        <v>174262.434</v>
      </c>
      <c r="G64" s="33">
        <f t="shared" si="7"/>
        <v>149888.91999999998</v>
      </c>
      <c r="H64" s="33">
        <f t="shared" si="7"/>
        <v>163649.025</v>
      </c>
      <c r="I64" s="33">
        <f t="shared" si="7"/>
        <v>129173.32699999999</v>
      </c>
      <c r="J64" s="33">
        <f t="shared" si="7"/>
        <v>160256.822</v>
      </c>
      <c r="K64" s="33">
        <f t="shared" si="7"/>
        <v>163733.995</v>
      </c>
      <c r="L64" s="33">
        <f t="shared" si="7"/>
        <v>142144.69700000001</v>
      </c>
      <c r="M64" s="33">
        <f t="shared" si="7"/>
        <v>137416.139</v>
      </c>
      <c r="N64" s="33">
        <f t="shared" si="7"/>
        <v>126449.45799999998</v>
      </c>
      <c r="O64" s="34">
        <f t="shared" si="6"/>
        <v>1791903.8299999996</v>
      </c>
      <c r="R64" s="22">
        <v>10123</v>
      </c>
      <c r="S64" s="22" t="s">
        <v>50</v>
      </c>
      <c r="T64" s="23">
        <v>0.0687564</v>
      </c>
      <c r="U64" s="23">
        <v>0.0777531</v>
      </c>
      <c r="V64" s="23">
        <v>0.028880899999999994</v>
      </c>
      <c r="W64" s="23">
        <v>0.037877600000000004</v>
      </c>
      <c r="X64" s="23">
        <v>0.0398755</v>
      </c>
      <c r="Y64" s="23">
        <v>0.0398755</v>
      </c>
      <c r="Z64" s="24">
        <v>549.199</v>
      </c>
      <c r="AA64" s="24">
        <v>485.652</v>
      </c>
      <c r="AB64" s="24">
        <v>549.199</v>
      </c>
      <c r="AC64" s="75">
        <v>0</v>
      </c>
      <c r="AD64" s="40">
        <v>0</v>
      </c>
      <c r="AE64" s="77"/>
    </row>
    <row r="65" spans="1:31" ht="15">
      <c r="A65" s="22">
        <v>10136</v>
      </c>
      <c r="B65" s="22" t="s">
        <v>51</v>
      </c>
      <c r="C65" s="33">
        <f t="shared" si="7"/>
        <v>10987.452000000001</v>
      </c>
      <c r="D65" s="33">
        <f t="shared" si="7"/>
        <v>14012.625</v>
      </c>
      <c r="E65" s="33">
        <f t="shared" si="7"/>
        <v>15122.395</v>
      </c>
      <c r="F65" s="33">
        <f t="shared" si="7"/>
        <v>15714.507000000001</v>
      </c>
      <c r="G65" s="33">
        <f t="shared" si="7"/>
        <v>13516.57</v>
      </c>
      <c r="H65" s="33">
        <f t="shared" si="7"/>
        <v>14757.417999999998</v>
      </c>
      <c r="I65" s="33">
        <f t="shared" si="7"/>
        <v>11648.494999999999</v>
      </c>
      <c r="J65" s="33">
        <f t="shared" si="7"/>
        <v>14451.519</v>
      </c>
      <c r="K65" s="33">
        <f t="shared" si="7"/>
        <v>14765.080999999998</v>
      </c>
      <c r="L65" s="33">
        <f t="shared" si="7"/>
        <v>12818.218</v>
      </c>
      <c r="M65" s="33">
        <f t="shared" si="7"/>
        <v>12391.809000000001</v>
      </c>
      <c r="N65" s="33">
        <f t="shared" si="7"/>
        <v>11402.863000000001</v>
      </c>
      <c r="O65" s="34">
        <f t="shared" si="6"/>
        <v>161588.95200000002</v>
      </c>
      <c r="R65" s="22">
        <v>10136</v>
      </c>
      <c r="S65" s="22" t="s">
        <v>51</v>
      </c>
      <c r="T65" s="23">
        <v>0.0026044</v>
      </c>
      <c r="U65" s="23">
        <v>0.0026098</v>
      </c>
      <c r="V65" s="23">
        <v>0.0026044</v>
      </c>
      <c r="W65" s="23">
        <v>0.0026098</v>
      </c>
      <c r="X65" s="23">
        <v>0</v>
      </c>
      <c r="Y65" s="23">
        <v>0</v>
      </c>
      <c r="Z65" s="24">
        <v>18.537</v>
      </c>
      <c r="AA65" s="24">
        <v>18.396</v>
      </c>
      <c r="AB65" s="24">
        <v>18.434</v>
      </c>
      <c r="AC65" s="79">
        <v>0.07</v>
      </c>
      <c r="AD65" s="40">
        <v>1</v>
      </c>
      <c r="AE65" s="77"/>
    </row>
    <row r="66" spans="1:31" ht="15">
      <c r="A66" s="22">
        <v>10142</v>
      </c>
      <c r="B66" s="22" t="s">
        <v>52</v>
      </c>
      <c r="C66" s="33">
        <f t="shared" si="7"/>
        <v>1604.833</v>
      </c>
      <c r="D66" s="33">
        <f t="shared" si="7"/>
        <v>2046.6909999999998</v>
      </c>
      <c r="E66" s="33">
        <f t="shared" si="7"/>
        <v>2208.785</v>
      </c>
      <c r="F66" s="33">
        <f t="shared" si="7"/>
        <v>2295.2690000000002</v>
      </c>
      <c r="G66" s="33">
        <f t="shared" si="7"/>
        <v>1974.237</v>
      </c>
      <c r="H66" s="33">
        <f t="shared" si="7"/>
        <v>2155.4759999999997</v>
      </c>
      <c r="I66" s="33">
        <f t="shared" si="7"/>
        <v>1701.385</v>
      </c>
      <c r="J66" s="33">
        <f t="shared" si="7"/>
        <v>2110.796</v>
      </c>
      <c r="K66" s="33">
        <f t="shared" si="7"/>
        <v>2156.5950000000003</v>
      </c>
      <c r="L66" s="33">
        <f t="shared" si="7"/>
        <v>1872.2350000000001</v>
      </c>
      <c r="M66" s="33">
        <f t="shared" si="7"/>
        <v>1809.954</v>
      </c>
      <c r="N66" s="33">
        <f t="shared" si="7"/>
        <v>1665.509</v>
      </c>
      <c r="O66" s="34">
        <f t="shared" si="6"/>
        <v>23601.765</v>
      </c>
      <c r="R66" s="22">
        <v>10142</v>
      </c>
      <c r="S66" s="22" t="s">
        <v>52</v>
      </c>
      <c r="T66" s="23">
        <v>0.0003804</v>
      </c>
      <c r="U66" s="23">
        <v>0.0003804</v>
      </c>
      <c r="V66" s="23">
        <v>0.0003804</v>
      </c>
      <c r="W66" s="23">
        <v>0.0003804</v>
      </c>
      <c r="X66" s="23">
        <v>0</v>
      </c>
      <c r="Y66" s="23">
        <v>0</v>
      </c>
      <c r="Z66" s="24">
        <v>2.687</v>
      </c>
      <c r="AA66" s="24">
        <v>2.687</v>
      </c>
      <c r="AB66" s="24">
        <v>2.687</v>
      </c>
      <c r="AC66" s="79">
        <v>0.037</v>
      </c>
      <c r="AD66" s="40">
        <v>0</v>
      </c>
      <c r="AE66" s="77"/>
    </row>
    <row r="67" spans="1:31" ht="15">
      <c r="A67" s="22">
        <v>10144</v>
      </c>
      <c r="B67" s="22" t="s">
        <v>53</v>
      </c>
      <c r="C67" s="33">
        <f t="shared" si="7"/>
        <v>1945.29</v>
      </c>
      <c r="D67" s="33">
        <f t="shared" si="7"/>
        <v>2480.887</v>
      </c>
      <c r="E67" s="33">
        <f t="shared" si="7"/>
        <v>2677.368</v>
      </c>
      <c r="F67" s="33">
        <f t="shared" si="7"/>
        <v>2782.1980000000003</v>
      </c>
      <c r="G67" s="33">
        <f t="shared" si="7"/>
        <v>2393.062</v>
      </c>
      <c r="H67" s="33">
        <f t="shared" si="7"/>
        <v>2612.75</v>
      </c>
      <c r="I67" s="33">
        <f t="shared" si="7"/>
        <v>2062.325</v>
      </c>
      <c r="J67" s="33">
        <f t="shared" si="7"/>
        <v>2558.5919999999996</v>
      </c>
      <c r="K67" s="33">
        <f t="shared" si="7"/>
        <v>2614.107</v>
      </c>
      <c r="L67" s="33">
        <f t="shared" si="7"/>
        <v>2269.4210000000003</v>
      </c>
      <c r="M67" s="33">
        <f t="shared" si="7"/>
        <v>2193.9269999999997</v>
      </c>
      <c r="N67" s="33">
        <f t="shared" si="7"/>
        <v>2018.837</v>
      </c>
      <c r="O67" s="34">
        <f t="shared" si="6"/>
        <v>28608.764</v>
      </c>
      <c r="R67" s="22">
        <v>10144</v>
      </c>
      <c r="S67" s="22" t="s">
        <v>53</v>
      </c>
      <c r="T67" s="23">
        <v>0.0004611</v>
      </c>
      <c r="U67" s="23">
        <v>0.0004613</v>
      </c>
      <c r="V67" s="23">
        <v>0.0004611</v>
      </c>
      <c r="W67" s="23">
        <v>0.0004613</v>
      </c>
      <c r="X67" s="23">
        <v>0</v>
      </c>
      <c r="Y67" s="23">
        <v>0</v>
      </c>
      <c r="Z67" s="24">
        <v>3.368</v>
      </c>
      <c r="AA67" s="24">
        <v>3.257</v>
      </c>
      <c r="AB67" s="24">
        <v>3.258</v>
      </c>
      <c r="AC67" s="75">
        <v>0</v>
      </c>
      <c r="AD67" s="40">
        <v>0</v>
      </c>
      <c r="AE67" s="77"/>
    </row>
    <row r="68" spans="1:31" ht="15">
      <c r="A68" s="22">
        <v>10156</v>
      </c>
      <c r="B68" s="22" t="s">
        <v>54</v>
      </c>
      <c r="C68" s="33">
        <f t="shared" si="7"/>
        <v>19255.042</v>
      </c>
      <c r="D68" s="33">
        <f t="shared" si="7"/>
        <v>24556.529000000002</v>
      </c>
      <c r="E68" s="33">
        <f t="shared" si="7"/>
        <v>26501.353000000003</v>
      </c>
      <c r="F68" s="33">
        <f t="shared" si="7"/>
        <v>27539.003</v>
      </c>
      <c r="G68" s="33">
        <f t="shared" si="7"/>
        <v>23687.213</v>
      </c>
      <c r="H68" s="33">
        <f t="shared" si="7"/>
        <v>25861.747</v>
      </c>
      <c r="I68" s="33">
        <f t="shared" si="7"/>
        <v>20413.49</v>
      </c>
      <c r="J68" s="33">
        <f t="shared" si="7"/>
        <v>25325.67</v>
      </c>
      <c r="K68" s="33">
        <f t="shared" si="7"/>
        <v>25875.174</v>
      </c>
      <c r="L68" s="33">
        <f t="shared" si="7"/>
        <v>22463.379999999997</v>
      </c>
      <c r="M68" s="33">
        <f t="shared" si="7"/>
        <v>21716.117</v>
      </c>
      <c r="N68" s="33">
        <f t="shared" si="7"/>
        <v>19983.033</v>
      </c>
      <c r="O68" s="34">
        <f t="shared" si="6"/>
        <v>283177.751</v>
      </c>
      <c r="R68" s="22">
        <v>10156</v>
      </c>
      <c r="S68" s="22" t="s">
        <v>54</v>
      </c>
      <c r="T68" s="23">
        <v>0.0045641</v>
      </c>
      <c r="U68" s="23">
        <v>0.0045641</v>
      </c>
      <c r="V68" s="23">
        <v>0.0045641</v>
      </c>
      <c r="W68" s="23">
        <v>0.0045641</v>
      </c>
      <c r="X68" s="23">
        <v>0</v>
      </c>
      <c r="Y68" s="23">
        <v>0</v>
      </c>
      <c r="Z68" s="24">
        <v>32.238</v>
      </c>
      <c r="AA68" s="24">
        <v>32.238</v>
      </c>
      <c r="AB68" s="24">
        <v>32.238</v>
      </c>
      <c r="AC68" s="75">
        <v>0</v>
      </c>
      <c r="AD68" s="40">
        <v>0</v>
      </c>
      <c r="AE68" s="77"/>
    </row>
    <row r="69" spans="1:31" ht="15">
      <c r="A69" s="22">
        <v>10157</v>
      </c>
      <c r="B69" s="22" t="s">
        <v>55</v>
      </c>
      <c r="C69" s="33">
        <f t="shared" si="7"/>
        <v>14240.994</v>
      </c>
      <c r="D69" s="33">
        <f t="shared" si="7"/>
        <v>18161.963</v>
      </c>
      <c r="E69" s="33">
        <f t="shared" si="7"/>
        <v>19600.352</v>
      </c>
      <c r="F69" s="33">
        <f t="shared" si="7"/>
        <v>20367.796</v>
      </c>
      <c r="G69" s="33">
        <f t="shared" si="7"/>
        <v>17519.019</v>
      </c>
      <c r="H69" s="33">
        <f t="shared" si="7"/>
        <v>19127.3</v>
      </c>
      <c r="I69" s="33">
        <f t="shared" si="7"/>
        <v>15097.780999999999</v>
      </c>
      <c r="J69" s="33">
        <f t="shared" si="7"/>
        <v>18730.82</v>
      </c>
      <c r="K69" s="33">
        <f t="shared" si="7"/>
        <v>19137.232</v>
      </c>
      <c r="L69" s="33">
        <f t="shared" si="7"/>
        <v>16613.874</v>
      </c>
      <c r="M69" s="33">
        <f t="shared" si="7"/>
        <v>16061.2</v>
      </c>
      <c r="N69" s="33">
        <f t="shared" si="7"/>
        <v>14779.415</v>
      </c>
      <c r="O69" s="34">
        <f t="shared" si="6"/>
        <v>209437.746</v>
      </c>
      <c r="R69" s="22">
        <v>10157</v>
      </c>
      <c r="S69" s="22" t="s">
        <v>55</v>
      </c>
      <c r="T69" s="23">
        <v>0.0070728</v>
      </c>
      <c r="U69" s="23">
        <v>0.0070728</v>
      </c>
      <c r="V69" s="23">
        <v>0.0033756</v>
      </c>
      <c r="W69" s="23">
        <v>0.0033756</v>
      </c>
      <c r="X69" s="23">
        <v>0.0036972</v>
      </c>
      <c r="Y69" s="23">
        <v>0.0036972</v>
      </c>
      <c r="Z69" s="24">
        <v>49.958</v>
      </c>
      <c r="AA69" s="24">
        <v>49.958</v>
      </c>
      <c r="AB69" s="24">
        <v>49.958</v>
      </c>
      <c r="AC69" s="79">
        <v>0.06029</v>
      </c>
      <c r="AD69" s="40">
        <v>0</v>
      </c>
      <c r="AE69" s="77"/>
    </row>
    <row r="70" spans="1:31" ht="15">
      <c r="A70" s="22">
        <v>10158</v>
      </c>
      <c r="B70" s="22" t="s">
        <v>56</v>
      </c>
      <c r="C70" s="33">
        <f t="shared" si="7"/>
        <v>1355.08</v>
      </c>
      <c r="D70" s="33">
        <f t="shared" si="7"/>
        <v>1728.1730000000002</v>
      </c>
      <c r="E70" s="33">
        <f t="shared" si="7"/>
        <v>1865.041</v>
      </c>
      <c r="F70" s="33">
        <f aca="true" t="shared" si="8" ref="D70:N93">ROUND(F$3*$V70,3)+ROUND(F$4*$V70,3)</f>
        <v>1938.066</v>
      </c>
      <c r="G70" s="33">
        <f t="shared" si="8"/>
        <v>1666.996</v>
      </c>
      <c r="H70" s="33">
        <f t="shared" si="8"/>
        <v>1820.029</v>
      </c>
      <c r="I70" s="33">
        <f t="shared" si="8"/>
        <v>1436.606</v>
      </c>
      <c r="J70" s="33">
        <f t="shared" si="8"/>
        <v>1782.3029999999999</v>
      </c>
      <c r="K70" s="33">
        <f t="shared" si="8"/>
        <v>1820.974</v>
      </c>
      <c r="L70" s="33">
        <f t="shared" si="8"/>
        <v>1580.868</v>
      </c>
      <c r="M70" s="33">
        <f t="shared" si="8"/>
        <v>1528.279</v>
      </c>
      <c r="N70" s="33">
        <f t="shared" si="8"/>
        <v>1406.312</v>
      </c>
      <c r="O70" s="34">
        <f t="shared" si="6"/>
        <v>19928.727</v>
      </c>
      <c r="R70" s="22">
        <v>10158</v>
      </c>
      <c r="S70" s="22" t="s">
        <v>56</v>
      </c>
      <c r="T70" s="23">
        <v>0.0003212</v>
      </c>
      <c r="U70" s="23">
        <v>0.0003211</v>
      </c>
      <c r="V70" s="23">
        <v>0.0003212</v>
      </c>
      <c r="W70" s="23">
        <v>0.0003211</v>
      </c>
      <c r="X70" s="23">
        <v>0</v>
      </c>
      <c r="Y70" s="23">
        <v>0</v>
      </c>
      <c r="Z70" s="24">
        <v>2.791</v>
      </c>
      <c r="AA70" s="24">
        <v>2.269</v>
      </c>
      <c r="AB70" s="24">
        <v>2.268</v>
      </c>
      <c r="AC70" s="75">
        <v>0</v>
      </c>
      <c r="AD70" s="40">
        <v>0</v>
      </c>
      <c r="AE70" s="77"/>
    </row>
    <row r="71" spans="1:31" ht="15">
      <c r="A71" s="22">
        <v>10170</v>
      </c>
      <c r="B71" s="22" t="s">
        <v>57</v>
      </c>
      <c r="C71" s="33">
        <f aca="true" t="shared" si="9" ref="C71:C134">ROUND(C$3*$V71,3)+ROUND(C$4*$V71,3)</f>
        <v>63075.335</v>
      </c>
      <c r="D71" s="33">
        <f t="shared" si="8"/>
        <v>80441.851</v>
      </c>
      <c r="E71" s="33">
        <f t="shared" si="8"/>
        <v>86812.674</v>
      </c>
      <c r="F71" s="33">
        <f t="shared" si="8"/>
        <v>90211.78899999999</v>
      </c>
      <c r="G71" s="33">
        <f t="shared" si="8"/>
        <v>77594.162</v>
      </c>
      <c r="H71" s="33">
        <f t="shared" si="8"/>
        <v>84717.463</v>
      </c>
      <c r="I71" s="33">
        <f t="shared" si="8"/>
        <v>66870.16</v>
      </c>
      <c r="J71" s="33">
        <f t="shared" si="8"/>
        <v>82961.395</v>
      </c>
      <c r="K71" s="33">
        <f t="shared" si="8"/>
        <v>84761.45</v>
      </c>
      <c r="L71" s="33">
        <f t="shared" si="8"/>
        <v>73585.15</v>
      </c>
      <c r="M71" s="33">
        <f t="shared" si="8"/>
        <v>71137.28</v>
      </c>
      <c r="N71" s="33">
        <f t="shared" si="8"/>
        <v>65460.073000000004</v>
      </c>
      <c r="O71" s="34">
        <f t="shared" si="6"/>
        <v>927628.782</v>
      </c>
      <c r="R71" s="22">
        <v>10170</v>
      </c>
      <c r="S71" s="22" t="s">
        <v>57</v>
      </c>
      <c r="T71" s="23">
        <v>0.0328808</v>
      </c>
      <c r="U71" s="23">
        <v>0.0330627</v>
      </c>
      <c r="V71" s="23">
        <v>0.014951000000000002</v>
      </c>
      <c r="W71" s="23">
        <v>0.015132900000000001</v>
      </c>
      <c r="X71" s="23">
        <v>0.0179298</v>
      </c>
      <c r="Y71" s="23">
        <v>0.0179298</v>
      </c>
      <c r="Z71" s="24">
        <v>251.097</v>
      </c>
      <c r="AA71" s="24">
        <v>232.249</v>
      </c>
      <c r="AB71" s="24">
        <v>233.534</v>
      </c>
      <c r="AC71" s="75">
        <v>0</v>
      </c>
      <c r="AD71" s="40">
        <v>0</v>
      </c>
      <c r="AE71" s="77"/>
    </row>
    <row r="72" spans="1:31" ht="15">
      <c r="A72" s="22">
        <v>10172</v>
      </c>
      <c r="B72" s="22" t="s">
        <v>58</v>
      </c>
      <c r="C72" s="33">
        <f t="shared" si="9"/>
        <v>3149.337</v>
      </c>
      <c r="D72" s="33">
        <f t="shared" si="8"/>
        <v>4016.443</v>
      </c>
      <c r="E72" s="33">
        <f t="shared" si="8"/>
        <v>4334.537</v>
      </c>
      <c r="F72" s="33">
        <f t="shared" si="8"/>
        <v>4504.254</v>
      </c>
      <c r="G72" s="33">
        <f t="shared" si="8"/>
        <v>3874.259</v>
      </c>
      <c r="H72" s="33">
        <f t="shared" si="8"/>
        <v>4229.924</v>
      </c>
      <c r="I72" s="33">
        <f t="shared" si="8"/>
        <v>3338.811</v>
      </c>
      <c r="J72" s="33">
        <f t="shared" si="8"/>
        <v>4142.243</v>
      </c>
      <c r="K72" s="33">
        <f t="shared" si="8"/>
        <v>4232.12</v>
      </c>
      <c r="L72" s="33">
        <f t="shared" si="8"/>
        <v>3674.089</v>
      </c>
      <c r="M72" s="33">
        <f t="shared" si="8"/>
        <v>3551.868</v>
      </c>
      <c r="N72" s="33">
        <f t="shared" si="8"/>
        <v>3268.406</v>
      </c>
      <c r="O72" s="34">
        <f t="shared" si="6"/>
        <v>46316.29100000001</v>
      </c>
      <c r="R72" s="22">
        <v>10172</v>
      </c>
      <c r="S72" s="22" t="s">
        <v>58</v>
      </c>
      <c r="T72" s="23">
        <v>0.0007465</v>
      </c>
      <c r="U72" s="23">
        <v>0.0007506</v>
      </c>
      <c r="V72" s="23">
        <v>0.0007465</v>
      </c>
      <c r="W72" s="23">
        <v>0.0007506</v>
      </c>
      <c r="X72" s="23">
        <v>0</v>
      </c>
      <c r="Y72" s="23">
        <v>0</v>
      </c>
      <c r="Z72" s="24">
        <v>6.102</v>
      </c>
      <c r="AA72" s="24">
        <v>5.273</v>
      </c>
      <c r="AB72" s="24">
        <v>5.302</v>
      </c>
      <c r="AC72" s="75">
        <v>0</v>
      </c>
      <c r="AD72" s="40">
        <v>0</v>
      </c>
      <c r="AE72" s="77"/>
    </row>
    <row r="73" spans="1:31" ht="15">
      <c r="A73" s="22">
        <v>10173</v>
      </c>
      <c r="B73" s="22" t="s">
        <v>59</v>
      </c>
      <c r="C73" s="33">
        <f t="shared" si="9"/>
        <v>19787.878</v>
      </c>
      <c r="D73" s="33">
        <f t="shared" si="8"/>
        <v>25236.068</v>
      </c>
      <c r="E73" s="33">
        <f t="shared" si="8"/>
        <v>27234.711000000003</v>
      </c>
      <c r="F73" s="33">
        <f t="shared" si="8"/>
        <v>28301.074999999997</v>
      </c>
      <c r="G73" s="33">
        <f t="shared" si="8"/>
        <v>24342.697</v>
      </c>
      <c r="H73" s="33">
        <f t="shared" si="8"/>
        <v>26577.406000000003</v>
      </c>
      <c r="I73" s="33">
        <f t="shared" si="8"/>
        <v>20978.381999999998</v>
      </c>
      <c r="J73" s="33">
        <f t="shared" si="8"/>
        <v>26026.495000000003</v>
      </c>
      <c r="K73" s="33">
        <f t="shared" si="8"/>
        <v>26591.205</v>
      </c>
      <c r="L73" s="33">
        <f t="shared" si="8"/>
        <v>23084.997</v>
      </c>
      <c r="M73" s="33">
        <f t="shared" si="8"/>
        <v>22317.055</v>
      </c>
      <c r="N73" s="33">
        <f t="shared" si="8"/>
        <v>20536.012000000002</v>
      </c>
      <c r="O73" s="34">
        <f t="shared" si="6"/>
        <v>291013.981</v>
      </c>
      <c r="R73" s="22">
        <v>10173</v>
      </c>
      <c r="S73" s="22" t="s">
        <v>59</v>
      </c>
      <c r="T73" s="23">
        <v>0.0046904</v>
      </c>
      <c r="U73" s="23">
        <v>0.0046904</v>
      </c>
      <c r="V73" s="23">
        <v>0.0046904</v>
      </c>
      <c r="W73" s="23">
        <v>0.0046904</v>
      </c>
      <c r="X73" s="23">
        <v>0</v>
      </c>
      <c r="Y73" s="23">
        <v>0</v>
      </c>
      <c r="Z73" s="24">
        <v>33.13</v>
      </c>
      <c r="AA73" s="24">
        <v>33.13</v>
      </c>
      <c r="AB73" s="24">
        <v>33.13</v>
      </c>
      <c r="AC73" s="79">
        <v>0.08478</v>
      </c>
      <c r="AD73" s="40">
        <v>1</v>
      </c>
      <c r="AE73" s="77"/>
    </row>
    <row r="74" spans="1:31" ht="15">
      <c r="A74" s="22">
        <v>10174</v>
      </c>
      <c r="B74" s="22" t="s">
        <v>60</v>
      </c>
      <c r="C74" s="33">
        <f t="shared" si="9"/>
        <v>296.15999999999997</v>
      </c>
      <c r="D74" s="33">
        <f t="shared" si="8"/>
        <v>377.702</v>
      </c>
      <c r="E74" s="33">
        <f t="shared" si="8"/>
        <v>407.615</v>
      </c>
      <c r="F74" s="33">
        <f t="shared" si="8"/>
        <v>423.575</v>
      </c>
      <c r="G74" s="33">
        <f t="shared" si="8"/>
        <v>364.331</v>
      </c>
      <c r="H74" s="33">
        <f t="shared" si="8"/>
        <v>397.777</v>
      </c>
      <c r="I74" s="33">
        <f t="shared" si="8"/>
        <v>313.978</v>
      </c>
      <c r="J74" s="33">
        <f t="shared" si="8"/>
        <v>389.53200000000004</v>
      </c>
      <c r="K74" s="33">
        <f t="shared" si="8"/>
        <v>397.98400000000004</v>
      </c>
      <c r="L74" s="33">
        <f t="shared" si="8"/>
        <v>345.50800000000004</v>
      </c>
      <c r="M74" s="33">
        <f t="shared" si="8"/>
        <v>334.014</v>
      </c>
      <c r="N74" s="33">
        <f t="shared" si="8"/>
        <v>307.358</v>
      </c>
      <c r="O74" s="34">
        <f t="shared" si="6"/>
        <v>4355.534000000001</v>
      </c>
      <c r="R74" s="22">
        <v>10174</v>
      </c>
      <c r="S74" s="22" t="s">
        <v>60</v>
      </c>
      <c r="T74" s="23">
        <v>7.02E-05</v>
      </c>
      <c r="U74" s="23">
        <v>7.02E-05</v>
      </c>
      <c r="V74" s="23">
        <v>7.02E-05</v>
      </c>
      <c r="W74" s="23">
        <v>7.02E-05</v>
      </c>
      <c r="X74" s="23">
        <v>0</v>
      </c>
      <c r="Y74" s="23">
        <v>0</v>
      </c>
      <c r="Z74" s="24">
        <v>0.507</v>
      </c>
      <c r="AA74" s="24">
        <v>0.496</v>
      </c>
      <c r="AB74" s="24">
        <v>0.496</v>
      </c>
      <c r="AC74" s="75">
        <v>0</v>
      </c>
      <c r="AD74" s="40">
        <v>0</v>
      </c>
      <c r="AE74" s="77"/>
    </row>
    <row r="75" spans="1:31" ht="15">
      <c r="A75" s="22">
        <v>10177</v>
      </c>
      <c r="B75" s="22" t="s">
        <v>61</v>
      </c>
      <c r="C75" s="33">
        <f t="shared" si="9"/>
        <v>5170.5650000000005</v>
      </c>
      <c r="D75" s="33">
        <f t="shared" si="8"/>
        <v>6594.177</v>
      </c>
      <c r="E75" s="33">
        <f t="shared" si="8"/>
        <v>7116.421</v>
      </c>
      <c r="F75" s="33">
        <f t="shared" si="8"/>
        <v>7395.062</v>
      </c>
      <c r="G75" s="33">
        <f t="shared" si="8"/>
        <v>6360.739</v>
      </c>
      <c r="H75" s="33">
        <f t="shared" si="8"/>
        <v>6944.668</v>
      </c>
      <c r="I75" s="33">
        <f t="shared" si="8"/>
        <v>5481.645</v>
      </c>
      <c r="J75" s="33">
        <f t="shared" si="8"/>
        <v>6800.715</v>
      </c>
      <c r="K75" s="33">
        <f t="shared" si="8"/>
        <v>6948.273999999999</v>
      </c>
      <c r="L75" s="33">
        <f t="shared" si="8"/>
        <v>6032.102000000001</v>
      </c>
      <c r="M75" s="33">
        <f t="shared" si="8"/>
        <v>5831.439</v>
      </c>
      <c r="N75" s="33">
        <f t="shared" si="8"/>
        <v>5366.053</v>
      </c>
      <c r="O75" s="34">
        <f t="shared" si="6"/>
        <v>76041.86</v>
      </c>
      <c r="R75" s="22">
        <v>10177</v>
      </c>
      <c r="S75" s="22" t="s">
        <v>61</v>
      </c>
      <c r="T75" s="23">
        <v>0.0012256</v>
      </c>
      <c r="U75" s="23">
        <v>0.0014275</v>
      </c>
      <c r="V75" s="23">
        <v>0.0012256</v>
      </c>
      <c r="W75" s="23">
        <v>0.0014275</v>
      </c>
      <c r="X75" s="23">
        <v>0</v>
      </c>
      <c r="Y75" s="23">
        <v>0</v>
      </c>
      <c r="Z75" s="24">
        <v>11.665</v>
      </c>
      <c r="AA75" s="24">
        <v>8.657</v>
      </c>
      <c r="AB75" s="24">
        <v>10.083</v>
      </c>
      <c r="AC75" s="79">
        <v>0.07</v>
      </c>
      <c r="AD75" s="40">
        <v>0</v>
      </c>
      <c r="AE75" s="77"/>
    </row>
    <row r="76" spans="1:31" ht="15">
      <c r="A76" s="22">
        <v>10179</v>
      </c>
      <c r="B76" s="22" t="s">
        <v>62</v>
      </c>
      <c r="C76" s="33">
        <f t="shared" si="9"/>
        <v>99639.285</v>
      </c>
      <c r="D76" s="33">
        <f t="shared" si="8"/>
        <v>127072.945</v>
      </c>
      <c r="E76" s="33">
        <f t="shared" si="8"/>
        <v>137136.851</v>
      </c>
      <c r="F76" s="33">
        <f t="shared" si="8"/>
        <v>142506.387</v>
      </c>
      <c r="G76" s="33">
        <f t="shared" si="8"/>
        <v>122574.488</v>
      </c>
      <c r="H76" s="33">
        <f t="shared" si="8"/>
        <v>133827.073</v>
      </c>
      <c r="I76" s="33">
        <f t="shared" si="8"/>
        <v>105633.92199999999</v>
      </c>
      <c r="J76" s="33">
        <f t="shared" si="8"/>
        <v>131053.035</v>
      </c>
      <c r="K76" s="33">
        <f t="shared" si="8"/>
        <v>133896.558</v>
      </c>
      <c r="L76" s="33">
        <f t="shared" si="8"/>
        <v>116241.503</v>
      </c>
      <c r="M76" s="33">
        <f t="shared" si="8"/>
        <v>112374.63500000001</v>
      </c>
      <c r="N76" s="33">
        <f t="shared" si="8"/>
        <v>103406.426</v>
      </c>
      <c r="O76" s="34">
        <f t="shared" si="6"/>
        <v>1465363.108</v>
      </c>
      <c r="R76" s="22">
        <v>10179</v>
      </c>
      <c r="S76" s="22" t="s">
        <v>62</v>
      </c>
      <c r="T76" s="23">
        <v>0.0236179</v>
      </c>
      <c r="U76" s="23">
        <v>0.0236179</v>
      </c>
      <c r="V76" s="23">
        <v>0.0236179</v>
      </c>
      <c r="W76" s="23">
        <v>0.0236179</v>
      </c>
      <c r="X76" s="23">
        <v>0</v>
      </c>
      <c r="Y76" s="23">
        <v>0</v>
      </c>
      <c r="Z76" s="24">
        <v>166.822</v>
      </c>
      <c r="AA76" s="24">
        <v>166.822</v>
      </c>
      <c r="AB76" s="24">
        <v>166.822</v>
      </c>
      <c r="AC76" s="75">
        <v>0</v>
      </c>
      <c r="AD76" s="40">
        <v>1</v>
      </c>
      <c r="AE76" s="77"/>
    </row>
    <row r="77" spans="1:31" ht="15">
      <c r="A77" s="22">
        <v>10183</v>
      </c>
      <c r="B77" s="22" t="s">
        <v>63</v>
      </c>
      <c r="C77" s="33">
        <f t="shared" si="9"/>
        <v>37235.584</v>
      </c>
      <c r="D77" s="33">
        <f t="shared" si="8"/>
        <v>47487.648</v>
      </c>
      <c r="E77" s="33">
        <f t="shared" si="8"/>
        <v>51248.568</v>
      </c>
      <c r="F77" s="33">
        <f t="shared" si="8"/>
        <v>53255.185</v>
      </c>
      <c r="G77" s="33">
        <f t="shared" si="8"/>
        <v>45806.558000000005</v>
      </c>
      <c r="H77" s="33">
        <f t="shared" si="8"/>
        <v>50011.691</v>
      </c>
      <c r="I77" s="33">
        <f t="shared" si="8"/>
        <v>39475.801999999996</v>
      </c>
      <c r="J77" s="33">
        <f t="shared" si="8"/>
        <v>48975.023</v>
      </c>
      <c r="K77" s="33">
        <f t="shared" si="8"/>
        <v>50037.659</v>
      </c>
      <c r="L77" s="33">
        <f t="shared" si="8"/>
        <v>43439.896</v>
      </c>
      <c r="M77" s="33">
        <f t="shared" si="8"/>
        <v>41994.833</v>
      </c>
      <c r="N77" s="33">
        <f t="shared" si="8"/>
        <v>38643.379</v>
      </c>
      <c r="O77" s="34">
        <f t="shared" si="6"/>
        <v>547611.8259999999</v>
      </c>
      <c r="R77" s="22">
        <v>10183</v>
      </c>
      <c r="S77" s="22" t="s">
        <v>63</v>
      </c>
      <c r="T77" s="23">
        <v>0.016614</v>
      </c>
      <c r="U77" s="23">
        <v>0.016614</v>
      </c>
      <c r="V77" s="23">
        <v>0.0088261</v>
      </c>
      <c r="W77" s="23">
        <v>0.0088261</v>
      </c>
      <c r="X77" s="23">
        <v>0.0077879</v>
      </c>
      <c r="Y77" s="23">
        <v>0.0077879</v>
      </c>
      <c r="Z77" s="24">
        <v>117.351</v>
      </c>
      <c r="AA77" s="24">
        <v>117.351</v>
      </c>
      <c r="AB77" s="24">
        <v>117.351</v>
      </c>
      <c r="AC77" s="75">
        <v>0</v>
      </c>
      <c r="AD77" s="40">
        <v>0</v>
      </c>
      <c r="AE77" s="77"/>
    </row>
    <row r="78" spans="1:31" ht="15">
      <c r="A78" s="22">
        <v>10186</v>
      </c>
      <c r="B78" s="22" t="s">
        <v>64</v>
      </c>
      <c r="C78" s="33">
        <f t="shared" si="9"/>
        <v>10540.259</v>
      </c>
      <c r="D78" s="33">
        <f t="shared" si="8"/>
        <v>13442.306</v>
      </c>
      <c r="E78" s="33">
        <f t="shared" si="8"/>
        <v>14506.909</v>
      </c>
      <c r="F78" s="33">
        <f t="shared" si="8"/>
        <v>15074.92</v>
      </c>
      <c r="G78" s="33">
        <f t="shared" si="8"/>
        <v>12966.440999999999</v>
      </c>
      <c r="H78" s="33">
        <f t="shared" si="8"/>
        <v>14156.786</v>
      </c>
      <c r="I78" s="33">
        <f t="shared" si="8"/>
        <v>11174.397</v>
      </c>
      <c r="J78" s="33">
        <f t="shared" si="8"/>
        <v>13863.337</v>
      </c>
      <c r="K78" s="33">
        <f t="shared" si="8"/>
        <v>14164.137</v>
      </c>
      <c r="L78" s="33">
        <f t="shared" si="8"/>
        <v>12296.510999999999</v>
      </c>
      <c r="M78" s="33">
        <f t="shared" si="8"/>
        <v>11887.457999999999</v>
      </c>
      <c r="N78" s="33">
        <f t="shared" si="8"/>
        <v>10938.762999999999</v>
      </c>
      <c r="O78" s="34">
        <f t="shared" si="6"/>
        <v>155012.22399999996</v>
      </c>
      <c r="R78" s="22">
        <v>10186</v>
      </c>
      <c r="S78" s="22" t="s">
        <v>64</v>
      </c>
      <c r="T78" s="23">
        <v>0.0024984</v>
      </c>
      <c r="U78" s="23">
        <v>0.002505</v>
      </c>
      <c r="V78" s="23">
        <v>0.0024984</v>
      </c>
      <c r="W78" s="23">
        <v>0.002505</v>
      </c>
      <c r="X78" s="23">
        <v>0</v>
      </c>
      <c r="Y78" s="23">
        <v>0</v>
      </c>
      <c r="Z78" s="24">
        <v>21.317</v>
      </c>
      <c r="AA78" s="24">
        <v>17.647</v>
      </c>
      <c r="AB78" s="24">
        <v>17.694</v>
      </c>
      <c r="AC78" s="79">
        <v>0.07</v>
      </c>
      <c r="AD78" s="40">
        <v>0</v>
      </c>
      <c r="AE78" s="77"/>
    </row>
    <row r="79" spans="1:31" ht="15">
      <c r="A79" s="22">
        <v>10190</v>
      </c>
      <c r="B79" s="22" t="s">
        <v>65</v>
      </c>
      <c r="C79" s="33">
        <f t="shared" si="9"/>
        <v>3101.243</v>
      </c>
      <c r="D79" s="33">
        <f t="shared" si="8"/>
        <v>3955.107</v>
      </c>
      <c r="E79" s="33">
        <f t="shared" si="8"/>
        <v>4268.343</v>
      </c>
      <c r="F79" s="33">
        <f t="shared" si="8"/>
        <v>4435.468</v>
      </c>
      <c r="G79" s="33">
        <f t="shared" si="8"/>
        <v>3815.094</v>
      </c>
      <c r="H79" s="33">
        <f t="shared" si="8"/>
        <v>4165.3279999999995</v>
      </c>
      <c r="I79" s="33">
        <f t="shared" si="8"/>
        <v>3287.824</v>
      </c>
      <c r="J79" s="33">
        <f t="shared" si="8"/>
        <v>4078.987</v>
      </c>
      <c r="K79" s="33">
        <f t="shared" si="8"/>
        <v>4167.49</v>
      </c>
      <c r="L79" s="33">
        <f t="shared" si="8"/>
        <v>3617.982</v>
      </c>
      <c r="M79" s="33">
        <f t="shared" si="8"/>
        <v>3497.626</v>
      </c>
      <c r="N79" s="33">
        <f t="shared" si="8"/>
        <v>3218.4939999999997</v>
      </c>
      <c r="O79" s="34">
        <f t="shared" si="6"/>
        <v>45608.986</v>
      </c>
      <c r="R79" s="22">
        <v>10190</v>
      </c>
      <c r="S79" s="22" t="s">
        <v>65</v>
      </c>
      <c r="T79" s="23">
        <v>0.0007351</v>
      </c>
      <c r="U79" s="23">
        <v>0.0007351</v>
      </c>
      <c r="V79" s="23">
        <v>0.0007351</v>
      </c>
      <c r="W79" s="23">
        <v>0.0007351</v>
      </c>
      <c r="X79" s="23">
        <v>0</v>
      </c>
      <c r="Y79" s="23">
        <v>0</v>
      </c>
      <c r="Z79" s="24">
        <v>5.192</v>
      </c>
      <c r="AA79" s="24">
        <v>5.192</v>
      </c>
      <c r="AB79" s="24">
        <v>5.192</v>
      </c>
      <c r="AC79" s="75">
        <v>0</v>
      </c>
      <c r="AD79" s="40">
        <v>0</v>
      </c>
      <c r="AE79" s="77"/>
    </row>
    <row r="80" spans="1:34" s="48" customFormat="1" ht="15">
      <c r="A80" s="45">
        <v>10191</v>
      </c>
      <c r="B80" s="45" t="s">
        <v>66</v>
      </c>
      <c r="C80" s="46">
        <f t="shared" si="9"/>
        <v>71952.542</v>
      </c>
      <c r="D80" s="46">
        <f t="shared" si="8"/>
        <v>91763.217</v>
      </c>
      <c r="E80" s="46">
        <f t="shared" si="8"/>
        <v>99030.668</v>
      </c>
      <c r="F80" s="46">
        <f t="shared" si="8"/>
        <v>102908.173</v>
      </c>
      <c r="G80" s="46">
        <f t="shared" si="8"/>
        <v>88514.746</v>
      </c>
      <c r="H80" s="46">
        <f t="shared" si="8"/>
        <v>96640.57699999999</v>
      </c>
      <c r="I80" s="46">
        <f t="shared" si="8"/>
        <v>76281.45000000001</v>
      </c>
      <c r="J80" s="46">
        <f t="shared" si="8"/>
        <v>94637.361</v>
      </c>
      <c r="K80" s="46">
        <f t="shared" si="8"/>
        <v>96690.755</v>
      </c>
      <c r="L80" s="46">
        <f t="shared" si="8"/>
        <v>83941.505</v>
      </c>
      <c r="M80" s="46">
        <f t="shared" si="8"/>
        <v>81149.124</v>
      </c>
      <c r="N80" s="46">
        <f t="shared" si="8"/>
        <v>74672.908</v>
      </c>
      <c r="O80" s="47">
        <f t="shared" si="6"/>
        <v>1058183.0259999998</v>
      </c>
      <c r="Q80" s="49"/>
      <c r="R80" s="45">
        <v>10191</v>
      </c>
      <c r="S80" s="45" t="s">
        <v>66</v>
      </c>
      <c r="T80" s="50">
        <v>0.0170552</v>
      </c>
      <c r="U80" s="50">
        <v>0.0170407</v>
      </c>
      <c r="V80" s="50">
        <v>0.0170552</v>
      </c>
      <c r="W80" s="50">
        <v>0.0170407</v>
      </c>
      <c r="X80" s="50">
        <v>0</v>
      </c>
      <c r="Y80" s="50">
        <v>0</v>
      </c>
      <c r="Z80" s="51">
        <v>131.217</v>
      </c>
      <c r="AA80" s="51">
        <v>120.467</v>
      </c>
      <c r="AB80" s="51">
        <v>120.365</v>
      </c>
      <c r="AC80" s="76">
        <v>0</v>
      </c>
      <c r="AD80" s="52">
        <v>0</v>
      </c>
      <c r="AE80" s="53"/>
      <c r="AF80" s="54"/>
      <c r="AG80" s="54"/>
      <c r="AH80" s="54"/>
    </row>
    <row r="81" spans="1:31" ht="15">
      <c r="A81" s="22">
        <v>10197</v>
      </c>
      <c r="B81" s="22" t="s">
        <v>67</v>
      </c>
      <c r="C81" s="33">
        <f t="shared" si="9"/>
        <v>13590.033</v>
      </c>
      <c r="D81" s="33">
        <f t="shared" si="8"/>
        <v>17331.773</v>
      </c>
      <c r="E81" s="33">
        <f t="shared" si="8"/>
        <v>18704.412</v>
      </c>
      <c r="F81" s="33">
        <f t="shared" si="8"/>
        <v>19436.775999999998</v>
      </c>
      <c r="G81" s="33">
        <f t="shared" si="8"/>
        <v>16718.218</v>
      </c>
      <c r="H81" s="33">
        <f t="shared" si="8"/>
        <v>18252.983</v>
      </c>
      <c r="I81" s="33">
        <f t="shared" si="8"/>
        <v>14407.654999999999</v>
      </c>
      <c r="J81" s="33">
        <f t="shared" si="8"/>
        <v>17874.627</v>
      </c>
      <c r="K81" s="33">
        <f t="shared" si="8"/>
        <v>18262.462</v>
      </c>
      <c r="L81" s="33">
        <f t="shared" si="8"/>
        <v>15854.447</v>
      </c>
      <c r="M81" s="33">
        <f t="shared" si="8"/>
        <v>15327.036</v>
      </c>
      <c r="N81" s="33">
        <f t="shared" si="8"/>
        <v>14103.842</v>
      </c>
      <c r="O81" s="34">
        <f aca="true" t="shared" si="10" ref="O81:O144">SUM(C81:N81)</f>
        <v>199864.264</v>
      </c>
      <c r="R81" s="22">
        <v>10197</v>
      </c>
      <c r="S81" s="22" t="s">
        <v>67</v>
      </c>
      <c r="T81" s="23">
        <v>0.0032213</v>
      </c>
      <c r="U81" s="23">
        <v>0.0032213</v>
      </c>
      <c r="V81" s="23">
        <v>0.0032213</v>
      </c>
      <c r="W81" s="23">
        <v>0.0032213</v>
      </c>
      <c r="X81" s="23">
        <v>0</v>
      </c>
      <c r="Y81" s="23">
        <v>0</v>
      </c>
      <c r="Z81" s="24">
        <v>22.753</v>
      </c>
      <c r="AA81" s="24">
        <v>22.753</v>
      </c>
      <c r="AB81" s="24">
        <v>22.753</v>
      </c>
      <c r="AC81" s="79">
        <v>0.08686</v>
      </c>
      <c r="AD81" s="40">
        <v>0</v>
      </c>
      <c r="AE81" s="77"/>
    </row>
    <row r="82" spans="1:31" ht="15">
      <c r="A82" s="22">
        <v>10202</v>
      </c>
      <c r="B82" s="22" t="s">
        <v>68</v>
      </c>
      <c r="C82" s="33">
        <f t="shared" si="9"/>
        <v>7823.771</v>
      </c>
      <c r="D82" s="33">
        <f t="shared" si="8"/>
        <v>9977.889</v>
      </c>
      <c r="E82" s="33">
        <f t="shared" si="8"/>
        <v>10768.116</v>
      </c>
      <c r="F82" s="33">
        <f t="shared" si="8"/>
        <v>11189.737000000001</v>
      </c>
      <c r="G82" s="33">
        <f t="shared" si="8"/>
        <v>9624.664999999999</v>
      </c>
      <c r="H82" s="33">
        <f t="shared" si="8"/>
        <v>10508.229</v>
      </c>
      <c r="I82" s="33">
        <f t="shared" si="8"/>
        <v>8294.476</v>
      </c>
      <c r="J82" s="33">
        <f t="shared" si="8"/>
        <v>10290.409</v>
      </c>
      <c r="K82" s="33">
        <f t="shared" si="8"/>
        <v>10513.686</v>
      </c>
      <c r="L82" s="33">
        <f t="shared" si="8"/>
        <v>9127.393</v>
      </c>
      <c r="M82" s="33">
        <f t="shared" si="8"/>
        <v>8823.762999999999</v>
      </c>
      <c r="N82" s="33">
        <f t="shared" si="8"/>
        <v>8119.571</v>
      </c>
      <c r="O82" s="34">
        <f t="shared" si="10"/>
        <v>115061.70499999999</v>
      </c>
      <c r="R82" s="22">
        <v>10202</v>
      </c>
      <c r="S82" s="22" t="s">
        <v>68</v>
      </c>
      <c r="T82" s="23">
        <v>0.0018545</v>
      </c>
      <c r="U82" s="23">
        <v>0.0018545</v>
      </c>
      <c r="V82" s="23">
        <v>0.0018545</v>
      </c>
      <c r="W82" s="23">
        <v>0.0018545</v>
      </c>
      <c r="X82" s="23">
        <v>0</v>
      </c>
      <c r="Y82" s="23">
        <v>0</v>
      </c>
      <c r="Z82" s="24">
        <v>13.099</v>
      </c>
      <c r="AA82" s="24">
        <v>13.099</v>
      </c>
      <c r="AB82" s="24">
        <v>13.099</v>
      </c>
      <c r="AC82" s="75">
        <v>0</v>
      </c>
      <c r="AD82" s="40">
        <v>0</v>
      </c>
      <c r="AE82" s="77"/>
    </row>
    <row r="83" spans="1:31" ht="15">
      <c r="A83" s="22">
        <v>10203</v>
      </c>
      <c r="B83" s="22" t="s">
        <v>69</v>
      </c>
      <c r="C83" s="33">
        <f t="shared" si="9"/>
        <v>3710.86</v>
      </c>
      <c r="D83" s="33">
        <f t="shared" si="8"/>
        <v>4732.57</v>
      </c>
      <c r="E83" s="33">
        <f t="shared" si="8"/>
        <v>5107.379</v>
      </c>
      <c r="F83" s="33">
        <f t="shared" si="8"/>
        <v>5307.356</v>
      </c>
      <c r="G83" s="33">
        <f t="shared" si="8"/>
        <v>4565.034</v>
      </c>
      <c r="H83" s="33">
        <f t="shared" si="8"/>
        <v>4984.114</v>
      </c>
      <c r="I83" s="33">
        <f t="shared" si="8"/>
        <v>3934.1180000000004</v>
      </c>
      <c r="J83" s="33">
        <f t="shared" si="8"/>
        <v>4880.8</v>
      </c>
      <c r="K83" s="33">
        <f t="shared" si="8"/>
        <v>4986.701</v>
      </c>
      <c r="L83" s="33">
        <f t="shared" si="8"/>
        <v>4329.175</v>
      </c>
      <c r="M83" s="33">
        <f t="shared" si="8"/>
        <v>4185.162</v>
      </c>
      <c r="N83" s="33">
        <f t="shared" si="8"/>
        <v>3851.1589999999997</v>
      </c>
      <c r="O83" s="34">
        <f t="shared" si="10"/>
        <v>54574.428000000014</v>
      </c>
      <c r="R83" s="22">
        <v>10203</v>
      </c>
      <c r="S83" s="22" t="s">
        <v>69</v>
      </c>
      <c r="T83" s="23">
        <v>0.0008796</v>
      </c>
      <c r="U83" s="23">
        <v>0.0008796</v>
      </c>
      <c r="V83" s="23">
        <v>0.0008796</v>
      </c>
      <c r="W83" s="23">
        <v>0.0008796</v>
      </c>
      <c r="X83" s="23">
        <v>0</v>
      </c>
      <c r="Y83" s="23">
        <v>0</v>
      </c>
      <c r="Z83" s="24">
        <v>6.213</v>
      </c>
      <c r="AA83" s="24">
        <v>6.213</v>
      </c>
      <c r="AB83" s="24">
        <v>6.213</v>
      </c>
      <c r="AC83" s="79">
        <v>0.07581</v>
      </c>
      <c r="AD83" s="40">
        <v>0</v>
      </c>
      <c r="AE83" s="77"/>
    </row>
    <row r="84" spans="1:31" ht="15">
      <c r="A84" s="22">
        <v>10204</v>
      </c>
      <c r="B84" s="22" t="s">
        <v>70</v>
      </c>
      <c r="C84" s="33">
        <f t="shared" si="9"/>
        <v>24364.014000000003</v>
      </c>
      <c r="D84" s="33">
        <f t="shared" si="8"/>
        <v>31072.152000000002</v>
      </c>
      <c r="E84" s="33">
        <f t="shared" si="8"/>
        <v>33532.998999999996</v>
      </c>
      <c r="F84" s="33">
        <f t="shared" si="8"/>
        <v>34845.97</v>
      </c>
      <c r="G84" s="33">
        <f t="shared" si="8"/>
        <v>29972.179</v>
      </c>
      <c r="H84" s="33">
        <f t="shared" si="8"/>
        <v>32723.685</v>
      </c>
      <c r="I84" s="33">
        <f t="shared" si="8"/>
        <v>25829.835</v>
      </c>
      <c r="J84" s="33">
        <f t="shared" si="8"/>
        <v>32045.371</v>
      </c>
      <c r="K84" s="33">
        <f t="shared" si="8"/>
        <v>32740.676</v>
      </c>
      <c r="L84" s="33">
        <f t="shared" si="8"/>
        <v>28423.624000000003</v>
      </c>
      <c r="M84" s="33">
        <f t="shared" si="8"/>
        <v>27478.089</v>
      </c>
      <c r="N84" s="33">
        <f t="shared" si="8"/>
        <v>25285.163</v>
      </c>
      <c r="O84" s="34">
        <f t="shared" si="10"/>
        <v>358313.757</v>
      </c>
      <c r="R84" s="22">
        <v>10204</v>
      </c>
      <c r="S84" s="22" t="s">
        <v>70</v>
      </c>
      <c r="T84" s="23">
        <v>0.0112632</v>
      </c>
      <c r="U84" s="23">
        <v>0.0112632</v>
      </c>
      <c r="V84" s="23">
        <v>0.005775099999999999</v>
      </c>
      <c r="W84" s="23">
        <v>0.005775099999999999</v>
      </c>
      <c r="X84" s="23">
        <v>0.0054881</v>
      </c>
      <c r="Y84" s="23">
        <v>0.0054881</v>
      </c>
      <c r="Z84" s="24">
        <v>79.556</v>
      </c>
      <c r="AA84" s="24">
        <v>79.556</v>
      </c>
      <c r="AB84" s="24">
        <v>79.556</v>
      </c>
      <c r="AC84" s="75">
        <v>0</v>
      </c>
      <c r="AD84" s="40">
        <v>0</v>
      </c>
      <c r="AE84" s="77"/>
    </row>
    <row r="85" spans="1:31" ht="15">
      <c r="A85" s="22">
        <v>10209</v>
      </c>
      <c r="B85" s="22" t="s">
        <v>71</v>
      </c>
      <c r="C85" s="33">
        <f t="shared" si="9"/>
        <v>62648.814</v>
      </c>
      <c r="D85" s="33">
        <f t="shared" si="8"/>
        <v>79897.896</v>
      </c>
      <c r="E85" s="33">
        <f t="shared" si="8"/>
        <v>86225.639</v>
      </c>
      <c r="F85" s="33">
        <f t="shared" si="8"/>
        <v>89601.76800000001</v>
      </c>
      <c r="G85" s="33">
        <f t="shared" si="8"/>
        <v>77069.46399999999</v>
      </c>
      <c r="H85" s="33">
        <f t="shared" si="8"/>
        <v>84144.59599999999</v>
      </c>
      <c r="I85" s="33">
        <f t="shared" si="8"/>
        <v>66417.978</v>
      </c>
      <c r="J85" s="33">
        <f t="shared" si="8"/>
        <v>82400.402</v>
      </c>
      <c r="K85" s="33">
        <f t="shared" si="8"/>
        <v>84188.28600000001</v>
      </c>
      <c r="L85" s="33">
        <f t="shared" si="8"/>
        <v>73087.561</v>
      </c>
      <c r="M85" s="33">
        <f t="shared" si="8"/>
        <v>70656.244</v>
      </c>
      <c r="N85" s="33">
        <f t="shared" si="8"/>
        <v>65017.426999999996</v>
      </c>
      <c r="O85" s="34">
        <f t="shared" si="10"/>
        <v>921356.0749999998</v>
      </c>
      <c r="R85" s="22">
        <v>10209</v>
      </c>
      <c r="S85" s="22" t="s">
        <v>71</v>
      </c>
      <c r="T85" s="23">
        <v>0.0148499</v>
      </c>
      <c r="U85" s="23">
        <v>0.0148499</v>
      </c>
      <c r="V85" s="23">
        <v>0.0148499</v>
      </c>
      <c r="W85" s="23">
        <v>0.0148499</v>
      </c>
      <c r="X85" s="23">
        <v>0</v>
      </c>
      <c r="Y85" s="23">
        <v>0</v>
      </c>
      <c r="Z85" s="24">
        <v>104.89</v>
      </c>
      <c r="AA85" s="24">
        <v>104.89</v>
      </c>
      <c r="AB85" s="24">
        <v>104.89</v>
      </c>
      <c r="AC85" s="79">
        <v>0.08535</v>
      </c>
      <c r="AD85" s="40">
        <v>0</v>
      </c>
      <c r="AE85" s="77"/>
    </row>
    <row r="86" spans="1:31" ht="15">
      <c r="A86" s="22">
        <v>10230</v>
      </c>
      <c r="B86" s="22" t="s">
        <v>72</v>
      </c>
      <c r="C86" s="33">
        <f t="shared" si="9"/>
        <v>5794.949</v>
      </c>
      <c r="D86" s="33">
        <f t="shared" si="8"/>
        <v>7390.4710000000005</v>
      </c>
      <c r="E86" s="33">
        <f t="shared" si="8"/>
        <v>7975.78</v>
      </c>
      <c r="F86" s="33">
        <f t="shared" si="8"/>
        <v>8288.068</v>
      </c>
      <c r="G86" s="33">
        <f t="shared" si="8"/>
        <v>7128.843</v>
      </c>
      <c r="H86" s="33">
        <f t="shared" si="8"/>
        <v>7783.286</v>
      </c>
      <c r="I86" s="33">
        <f t="shared" si="8"/>
        <v>6143.592</v>
      </c>
      <c r="J86" s="33">
        <f t="shared" si="8"/>
        <v>7621.950000000001</v>
      </c>
      <c r="K86" s="33">
        <f t="shared" si="8"/>
        <v>7787.327</v>
      </c>
      <c r="L86" s="33">
        <f t="shared" si="8"/>
        <v>6760.522</v>
      </c>
      <c r="M86" s="33">
        <f t="shared" si="8"/>
        <v>6535.627</v>
      </c>
      <c r="N86" s="33">
        <f t="shared" si="8"/>
        <v>6014.043</v>
      </c>
      <c r="O86" s="34">
        <f t="shared" si="10"/>
        <v>85224.45800000001</v>
      </c>
      <c r="R86" s="22">
        <v>10230</v>
      </c>
      <c r="S86" s="22" t="s">
        <v>72</v>
      </c>
      <c r="T86" s="23">
        <v>0.0013736</v>
      </c>
      <c r="U86" s="23">
        <v>0.0013736</v>
      </c>
      <c r="V86" s="23">
        <v>0.0013736</v>
      </c>
      <c r="W86" s="23">
        <v>0.0013736</v>
      </c>
      <c r="X86" s="23">
        <v>0</v>
      </c>
      <c r="Y86" s="23">
        <v>0</v>
      </c>
      <c r="Z86" s="24">
        <v>9.702</v>
      </c>
      <c r="AA86" s="24">
        <v>9.702</v>
      </c>
      <c r="AB86" s="24">
        <v>9.702</v>
      </c>
      <c r="AC86" s="79">
        <v>0.08902</v>
      </c>
      <c r="AD86" s="40">
        <v>0</v>
      </c>
      <c r="AE86" s="77"/>
    </row>
    <row r="87" spans="1:31" ht="15">
      <c r="A87" s="22">
        <v>10231</v>
      </c>
      <c r="B87" s="22" t="s">
        <v>73</v>
      </c>
      <c r="C87" s="33">
        <f t="shared" si="9"/>
        <v>21895.591999999997</v>
      </c>
      <c r="D87" s="33">
        <f t="shared" si="8"/>
        <v>27924.099</v>
      </c>
      <c r="E87" s="33">
        <f t="shared" si="8"/>
        <v>30135.628</v>
      </c>
      <c r="F87" s="33">
        <f t="shared" si="8"/>
        <v>31315.576</v>
      </c>
      <c r="G87" s="33">
        <f t="shared" si="8"/>
        <v>26935.57</v>
      </c>
      <c r="H87" s="33">
        <f t="shared" si="8"/>
        <v>29408.309</v>
      </c>
      <c r="I87" s="33">
        <f t="shared" si="8"/>
        <v>23212.904000000002</v>
      </c>
      <c r="J87" s="33">
        <f t="shared" si="8"/>
        <v>28798.718</v>
      </c>
      <c r="K87" s="33">
        <f t="shared" si="8"/>
        <v>29423.578999999998</v>
      </c>
      <c r="L87" s="33">
        <f t="shared" si="8"/>
        <v>25543.905</v>
      </c>
      <c r="M87" s="33">
        <f t="shared" si="8"/>
        <v>24694.167</v>
      </c>
      <c r="N87" s="33">
        <f t="shared" si="8"/>
        <v>22723.416</v>
      </c>
      <c r="O87" s="34">
        <f t="shared" si="10"/>
        <v>322011.46300000005</v>
      </c>
      <c r="R87" s="22">
        <v>10231</v>
      </c>
      <c r="S87" s="22" t="s">
        <v>73</v>
      </c>
      <c r="T87" s="23">
        <v>0.00519</v>
      </c>
      <c r="U87" s="23">
        <v>0.00519</v>
      </c>
      <c r="V87" s="23">
        <v>0.00519</v>
      </c>
      <c r="W87" s="23">
        <v>0.00519</v>
      </c>
      <c r="X87" s="23">
        <v>0</v>
      </c>
      <c r="Y87" s="23">
        <v>0</v>
      </c>
      <c r="Z87" s="24">
        <v>36.659</v>
      </c>
      <c r="AA87" s="24">
        <v>36.659</v>
      </c>
      <c r="AB87" s="24">
        <v>36.659</v>
      </c>
      <c r="AC87" s="79">
        <v>0.09238</v>
      </c>
      <c r="AD87" s="40">
        <v>0</v>
      </c>
      <c r="AE87" s="77"/>
    </row>
    <row r="88" spans="1:31" ht="15">
      <c r="A88" s="22">
        <v>10234</v>
      </c>
      <c r="B88" s="22" t="s">
        <v>74</v>
      </c>
      <c r="C88" s="33">
        <f t="shared" si="9"/>
        <v>30460.606</v>
      </c>
      <c r="D88" s="33">
        <f t="shared" si="8"/>
        <v>38847.318</v>
      </c>
      <c r="E88" s="33">
        <f t="shared" si="8"/>
        <v>41923.943</v>
      </c>
      <c r="F88" s="33">
        <f t="shared" si="8"/>
        <v>43565.456999999995</v>
      </c>
      <c r="G88" s="33">
        <f t="shared" si="8"/>
        <v>37472.1</v>
      </c>
      <c r="H88" s="33">
        <f t="shared" si="8"/>
        <v>40912.115</v>
      </c>
      <c r="I88" s="33">
        <f t="shared" si="8"/>
        <v>32293.22</v>
      </c>
      <c r="J88" s="33">
        <f t="shared" si="8"/>
        <v>40064.066999999995</v>
      </c>
      <c r="K88" s="33">
        <f t="shared" si="8"/>
        <v>40933.357</v>
      </c>
      <c r="L88" s="33">
        <f t="shared" si="8"/>
        <v>35536.051</v>
      </c>
      <c r="M88" s="33">
        <f t="shared" si="8"/>
        <v>34353.916</v>
      </c>
      <c r="N88" s="33">
        <f t="shared" si="8"/>
        <v>31612.255</v>
      </c>
      <c r="O88" s="34">
        <f t="shared" si="10"/>
        <v>447974.4049999999</v>
      </c>
      <c r="R88" s="22">
        <v>10234</v>
      </c>
      <c r="S88" s="22" t="s">
        <v>74</v>
      </c>
      <c r="T88" s="23">
        <v>0.0072202</v>
      </c>
      <c r="U88" s="23">
        <v>0.0072202</v>
      </c>
      <c r="V88" s="23">
        <v>0.0072202</v>
      </c>
      <c r="W88" s="23">
        <v>0.0072202</v>
      </c>
      <c r="X88" s="23">
        <v>0</v>
      </c>
      <c r="Y88" s="23">
        <v>0</v>
      </c>
      <c r="Z88" s="24">
        <v>50.999</v>
      </c>
      <c r="AA88" s="24">
        <v>50.999</v>
      </c>
      <c r="AB88" s="24">
        <v>50.999</v>
      </c>
      <c r="AC88" s="75">
        <v>0</v>
      </c>
      <c r="AD88" s="40">
        <v>0</v>
      </c>
      <c r="AE88" s="77"/>
    </row>
    <row r="89" spans="1:31" ht="15">
      <c r="A89" s="22">
        <v>10235</v>
      </c>
      <c r="B89" s="22" t="s">
        <v>75</v>
      </c>
      <c r="C89" s="33">
        <f t="shared" si="9"/>
        <v>18059.432999999997</v>
      </c>
      <c r="D89" s="33">
        <f t="shared" si="8"/>
        <v>23031.733</v>
      </c>
      <c r="E89" s="33">
        <f t="shared" si="8"/>
        <v>24855.796000000002</v>
      </c>
      <c r="F89" s="33">
        <f t="shared" si="8"/>
        <v>25829.015</v>
      </c>
      <c r="G89" s="33">
        <f t="shared" si="8"/>
        <v>22216.395</v>
      </c>
      <c r="H89" s="33">
        <f t="shared" si="8"/>
        <v>24255.906</v>
      </c>
      <c r="I89" s="33">
        <f t="shared" si="8"/>
        <v>19145.95</v>
      </c>
      <c r="J89" s="33">
        <f t="shared" si="8"/>
        <v>23753.116</v>
      </c>
      <c r="K89" s="33">
        <f t="shared" si="8"/>
        <v>24268.5</v>
      </c>
      <c r="L89" s="33">
        <f t="shared" si="8"/>
        <v>21068.554</v>
      </c>
      <c r="M89" s="33">
        <f t="shared" si="8"/>
        <v>20367.692</v>
      </c>
      <c r="N89" s="33">
        <f t="shared" si="8"/>
        <v>18742.22</v>
      </c>
      <c r="O89" s="34">
        <f t="shared" si="10"/>
        <v>265594.31000000006</v>
      </c>
      <c r="R89" s="22">
        <v>10235</v>
      </c>
      <c r="S89" s="22" t="s">
        <v>75</v>
      </c>
      <c r="T89" s="23">
        <v>0.0042807</v>
      </c>
      <c r="U89" s="23">
        <v>0.0042862</v>
      </c>
      <c r="V89" s="23">
        <v>0.0042807</v>
      </c>
      <c r="W89" s="23">
        <v>0.0042862</v>
      </c>
      <c r="X89" s="23">
        <v>0</v>
      </c>
      <c r="Y89" s="23">
        <v>0</v>
      </c>
      <c r="Z89" s="24">
        <v>33.113</v>
      </c>
      <c r="AA89" s="24">
        <v>30.236</v>
      </c>
      <c r="AB89" s="24">
        <v>30.275</v>
      </c>
      <c r="AC89" s="75">
        <v>0</v>
      </c>
      <c r="AD89" s="40">
        <v>0</v>
      </c>
      <c r="AE89" s="77"/>
    </row>
    <row r="90" spans="1:31" ht="15">
      <c r="A90" s="22">
        <v>10236</v>
      </c>
      <c r="B90" s="22" t="s">
        <v>76</v>
      </c>
      <c r="C90" s="33">
        <f t="shared" si="9"/>
        <v>16767.636</v>
      </c>
      <c r="D90" s="33">
        <f t="shared" si="8"/>
        <v>21384.265</v>
      </c>
      <c r="E90" s="33">
        <f t="shared" si="8"/>
        <v>23077.853000000003</v>
      </c>
      <c r="F90" s="33">
        <f t="shared" si="8"/>
        <v>23981.457000000002</v>
      </c>
      <c r="G90" s="33">
        <f t="shared" si="8"/>
        <v>20627.249</v>
      </c>
      <c r="H90" s="33">
        <f t="shared" si="8"/>
        <v>22520.872</v>
      </c>
      <c r="I90" s="33">
        <f t="shared" si="8"/>
        <v>17776.432999999997</v>
      </c>
      <c r="J90" s="33">
        <f t="shared" si="8"/>
        <v>22054.047</v>
      </c>
      <c r="K90" s="33">
        <f t="shared" si="8"/>
        <v>22532.566</v>
      </c>
      <c r="L90" s="33">
        <f t="shared" si="8"/>
        <v>19561.513</v>
      </c>
      <c r="M90" s="33">
        <f t="shared" si="8"/>
        <v>18910.783</v>
      </c>
      <c r="N90" s="33">
        <f t="shared" si="8"/>
        <v>17401.583</v>
      </c>
      <c r="O90" s="34">
        <f t="shared" si="10"/>
        <v>246596.25699999998</v>
      </c>
      <c r="R90" s="22">
        <v>10236</v>
      </c>
      <c r="S90" s="22" t="s">
        <v>76</v>
      </c>
      <c r="T90" s="23">
        <v>0.0039745</v>
      </c>
      <c r="U90" s="23">
        <v>0.003972</v>
      </c>
      <c r="V90" s="23">
        <v>0.0039745</v>
      </c>
      <c r="W90" s="23">
        <v>0.003972</v>
      </c>
      <c r="X90" s="23">
        <v>0</v>
      </c>
      <c r="Y90" s="23">
        <v>0</v>
      </c>
      <c r="Z90" s="24">
        <v>29.103</v>
      </c>
      <c r="AA90" s="24">
        <v>28.073</v>
      </c>
      <c r="AB90" s="24">
        <v>28.056</v>
      </c>
      <c r="AC90" s="79">
        <v>0.065</v>
      </c>
      <c r="AD90" s="40">
        <v>1</v>
      </c>
      <c r="AE90" s="77"/>
    </row>
    <row r="91" spans="1:31" ht="15">
      <c r="A91" s="22">
        <v>10237</v>
      </c>
      <c r="B91" s="22" t="s">
        <v>77</v>
      </c>
      <c r="C91" s="33">
        <f t="shared" si="9"/>
        <v>27417.584000000003</v>
      </c>
      <c r="D91" s="33">
        <f t="shared" si="8"/>
        <v>34966.461</v>
      </c>
      <c r="E91" s="33">
        <f t="shared" si="8"/>
        <v>37735.729</v>
      </c>
      <c r="F91" s="33">
        <f t="shared" si="8"/>
        <v>39213.256</v>
      </c>
      <c r="G91" s="33">
        <f t="shared" si="8"/>
        <v>33728.627</v>
      </c>
      <c r="H91" s="33">
        <f t="shared" si="8"/>
        <v>36824.982</v>
      </c>
      <c r="I91" s="33">
        <f t="shared" si="8"/>
        <v>29067.118</v>
      </c>
      <c r="J91" s="33">
        <f t="shared" si="8"/>
        <v>36061.656</v>
      </c>
      <c r="K91" s="33">
        <f t="shared" si="8"/>
        <v>36844.104</v>
      </c>
      <c r="L91" s="33">
        <f t="shared" si="8"/>
        <v>31985.989999999998</v>
      </c>
      <c r="M91" s="33">
        <f t="shared" si="8"/>
        <v>30921.949999999997</v>
      </c>
      <c r="N91" s="33">
        <f t="shared" si="8"/>
        <v>28454.181000000004</v>
      </c>
      <c r="O91" s="34">
        <f t="shared" si="10"/>
        <v>403221.638</v>
      </c>
      <c r="R91" s="22">
        <v>10237</v>
      </c>
      <c r="S91" s="22" t="s">
        <v>77</v>
      </c>
      <c r="T91" s="23">
        <v>0.0161017</v>
      </c>
      <c r="U91" s="23">
        <v>0.0161017</v>
      </c>
      <c r="V91" s="23">
        <v>0.0064989</v>
      </c>
      <c r="W91" s="23">
        <v>0.0064989</v>
      </c>
      <c r="X91" s="23">
        <v>0.0096028</v>
      </c>
      <c r="Y91" s="23">
        <v>0.0096028</v>
      </c>
      <c r="Z91" s="24">
        <v>113.732</v>
      </c>
      <c r="AA91" s="24">
        <v>113.732</v>
      </c>
      <c r="AB91" s="24">
        <v>113.732</v>
      </c>
      <c r="AC91" s="79">
        <v>0.04608</v>
      </c>
      <c r="AD91" s="40">
        <v>0</v>
      </c>
      <c r="AE91" s="77"/>
    </row>
    <row r="92" spans="1:31" ht="15">
      <c r="A92" s="22">
        <v>10239</v>
      </c>
      <c r="B92" s="22" t="s">
        <v>78</v>
      </c>
      <c r="C92" s="33">
        <f t="shared" si="9"/>
        <v>8362.091</v>
      </c>
      <c r="D92" s="33">
        <f t="shared" si="8"/>
        <v>10664.422999999999</v>
      </c>
      <c r="E92" s="33">
        <f t="shared" si="8"/>
        <v>11509.023000000001</v>
      </c>
      <c r="F92" s="33">
        <f t="shared" si="8"/>
        <v>11959.654</v>
      </c>
      <c r="G92" s="33">
        <f t="shared" si="8"/>
        <v>10286.896999999999</v>
      </c>
      <c r="H92" s="33">
        <f t="shared" si="8"/>
        <v>11231.255000000001</v>
      </c>
      <c r="I92" s="33">
        <f t="shared" si="8"/>
        <v>8865.182</v>
      </c>
      <c r="J92" s="33">
        <f t="shared" si="8"/>
        <v>10998.447</v>
      </c>
      <c r="K92" s="33">
        <f t="shared" si="8"/>
        <v>11237.086</v>
      </c>
      <c r="L92" s="33">
        <f t="shared" si="8"/>
        <v>9755.41</v>
      </c>
      <c r="M92" s="33">
        <f t="shared" si="8"/>
        <v>9430.887999999999</v>
      </c>
      <c r="N92" s="33">
        <f t="shared" si="8"/>
        <v>8678.243</v>
      </c>
      <c r="O92" s="34">
        <f t="shared" si="10"/>
        <v>122978.599</v>
      </c>
      <c r="R92" s="22">
        <v>10239</v>
      </c>
      <c r="S92" s="22" t="s">
        <v>78</v>
      </c>
      <c r="T92" s="23">
        <v>0.0019821</v>
      </c>
      <c r="U92" s="23">
        <v>0.0019821</v>
      </c>
      <c r="V92" s="23">
        <v>0.0019821</v>
      </c>
      <c r="W92" s="23">
        <v>0.0019821</v>
      </c>
      <c r="X92" s="23">
        <v>0</v>
      </c>
      <c r="Y92" s="23">
        <v>0</v>
      </c>
      <c r="Z92" s="24">
        <v>14</v>
      </c>
      <c r="AA92" s="24">
        <v>14</v>
      </c>
      <c r="AB92" s="24">
        <v>14</v>
      </c>
      <c r="AC92" s="79">
        <v>0.07545</v>
      </c>
      <c r="AD92" s="40">
        <v>1</v>
      </c>
      <c r="AE92" s="77"/>
    </row>
    <row r="93" spans="1:31" ht="15">
      <c r="A93" s="22">
        <v>10242</v>
      </c>
      <c r="B93" s="22" t="s">
        <v>79</v>
      </c>
      <c r="C93" s="33">
        <f t="shared" si="9"/>
        <v>5689.479</v>
      </c>
      <c r="D93" s="33">
        <f t="shared" si="8"/>
        <v>7255.962</v>
      </c>
      <c r="E93" s="33">
        <f t="shared" si="8"/>
        <v>7830.618</v>
      </c>
      <c r="F93" s="33">
        <f t="shared" si="8"/>
        <v>8137.223</v>
      </c>
      <c r="G93" s="33">
        <f t="shared" si="8"/>
        <v>6999.096</v>
      </c>
      <c r="H93" s="33">
        <f aca="true" t="shared" si="11" ref="D93:N116">ROUND(H$3*$V93,3)+ROUND(H$4*$V93,3)</f>
        <v>7641.6269999999995</v>
      </c>
      <c r="I93" s="33">
        <f t="shared" si="11"/>
        <v>6031.777</v>
      </c>
      <c r="J93" s="33">
        <f t="shared" si="11"/>
        <v>7483.227</v>
      </c>
      <c r="K93" s="33">
        <f t="shared" si="11"/>
        <v>7645.595</v>
      </c>
      <c r="L93" s="33">
        <f t="shared" si="11"/>
        <v>6637.477999999999</v>
      </c>
      <c r="M93" s="33">
        <f t="shared" si="11"/>
        <v>6416.677</v>
      </c>
      <c r="N93" s="33">
        <f t="shared" si="11"/>
        <v>5904.585999999999</v>
      </c>
      <c r="O93" s="34">
        <f t="shared" si="10"/>
        <v>83673.34499999999</v>
      </c>
      <c r="R93" s="22">
        <v>10242</v>
      </c>
      <c r="S93" s="22" t="s">
        <v>79</v>
      </c>
      <c r="T93" s="23">
        <v>0.0013486</v>
      </c>
      <c r="U93" s="23">
        <v>0.0013486</v>
      </c>
      <c r="V93" s="23">
        <v>0.0013486</v>
      </c>
      <c r="W93" s="23">
        <v>0.0013486</v>
      </c>
      <c r="X93" s="23">
        <v>0</v>
      </c>
      <c r="Y93" s="23">
        <v>0</v>
      </c>
      <c r="Z93" s="24">
        <v>9.526</v>
      </c>
      <c r="AA93" s="24">
        <v>9.526</v>
      </c>
      <c r="AB93" s="24">
        <v>9.526</v>
      </c>
      <c r="AC93" s="79">
        <v>0.08306</v>
      </c>
      <c r="AD93" s="40">
        <v>0</v>
      </c>
      <c r="AE93" s="77"/>
    </row>
    <row r="94" spans="1:31" ht="15">
      <c r="A94" s="22">
        <v>10244</v>
      </c>
      <c r="B94" s="22" t="s">
        <v>80</v>
      </c>
      <c r="C94" s="33">
        <f t="shared" si="9"/>
        <v>51388.827</v>
      </c>
      <c r="D94" s="33">
        <f t="shared" si="11"/>
        <v>65537.7</v>
      </c>
      <c r="E94" s="33">
        <f t="shared" si="11"/>
        <v>70728.146</v>
      </c>
      <c r="F94" s="33">
        <f t="shared" si="11"/>
        <v>73497.477</v>
      </c>
      <c r="G94" s="33">
        <f t="shared" si="11"/>
        <v>63217.62699999999</v>
      </c>
      <c r="H94" s="33">
        <f t="shared" si="11"/>
        <v>69021.132</v>
      </c>
      <c r="I94" s="33">
        <f t="shared" si="11"/>
        <v>54480.551999999996</v>
      </c>
      <c r="J94" s="33">
        <f t="shared" si="11"/>
        <v>67590.426</v>
      </c>
      <c r="K94" s="33">
        <f t="shared" si="11"/>
        <v>69056.97</v>
      </c>
      <c r="L94" s="33">
        <f t="shared" si="11"/>
        <v>59951.398</v>
      </c>
      <c r="M94" s="33">
        <f t="shared" si="11"/>
        <v>57957.067</v>
      </c>
      <c r="N94" s="33">
        <f t="shared" si="11"/>
        <v>53331.725</v>
      </c>
      <c r="O94" s="34">
        <f t="shared" si="10"/>
        <v>755759.047</v>
      </c>
      <c r="R94" s="22">
        <v>10244</v>
      </c>
      <c r="S94" s="22" t="s">
        <v>80</v>
      </c>
      <c r="T94" s="23">
        <v>0.0121809</v>
      </c>
      <c r="U94" s="23">
        <v>0.0121809</v>
      </c>
      <c r="V94" s="23">
        <v>0.0121809</v>
      </c>
      <c r="W94" s="23">
        <v>0.0121809</v>
      </c>
      <c r="X94" s="23">
        <v>0</v>
      </c>
      <c r="Y94" s="23">
        <v>0</v>
      </c>
      <c r="Z94" s="24">
        <v>86.038</v>
      </c>
      <c r="AA94" s="24">
        <v>86.038</v>
      </c>
      <c r="AB94" s="24">
        <v>86.038</v>
      </c>
      <c r="AC94" s="79">
        <v>0.06971</v>
      </c>
      <c r="AD94" s="40">
        <v>0</v>
      </c>
      <c r="AE94" s="77"/>
    </row>
    <row r="95" spans="1:31" ht="15">
      <c r="A95" s="22">
        <v>10246</v>
      </c>
      <c r="B95" s="22" t="s">
        <v>81</v>
      </c>
      <c r="C95" s="33">
        <f t="shared" si="9"/>
        <v>5367.584</v>
      </c>
      <c r="D95" s="33">
        <f t="shared" si="11"/>
        <v>6845.439</v>
      </c>
      <c r="E95" s="33">
        <f t="shared" si="11"/>
        <v>7387.583999999999</v>
      </c>
      <c r="F95" s="33">
        <f t="shared" si="11"/>
        <v>7676.842000000001</v>
      </c>
      <c r="G95" s="33">
        <f t="shared" si="11"/>
        <v>6603.107</v>
      </c>
      <c r="H95" s="33">
        <f t="shared" si="11"/>
        <v>7209.285</v>
      </c>
      <c r="I95" s="33">
        <f t="shared" si="11"/>
        <v>5690.516</v>
      </c>
      <c r="J95" s="33">
        <f t="shared" si="11"/>
        <v>7059.848</v>
      </c>
      <c r="K95" s="33">
        <f t="shared" si="11"/>
        <v>7213.029</v>
      </c>
      <c r="L95" s="33">
        <f t="shared" si="11"/>
        <v>6261.9490000000005</v>
      </c>
      <c r="M95" s="33">
        <f t="shared" si="11"/>
        <v>6053.639999999999</v>
      </c>
      <c r="N95" s="33">
        <f t="shared" si="11"/>
        <v>5570.521</v>
      </c>
      <c r="O95" s="34">
        <f t="shared" si="10"/>
        <v>78939.344</v>
      </c>
      <c r="R95" s="22">
        <v>10246</v>
      </c>
      <c r="S95" s="22" t="s">
        <v>81</v>
      </c>
      <c r="T95" s="23">
        <v>0.0012723</v>
      </c>
      <c r="U95" s="23">
        <v>0.0012723</v>
      </c>
      <c r="V95" s="23">
        <v>0.0012723</v>
      </c>
      <c r="W95" s="23">
        <v>0.0012723</v>
      </c>
      <c r="X95" s="23">
        <v>0</v>
      </c>
      <c r="Y95" s="23">
        <v>0</v>
      </c>
      <c r="Z95" s="24">
        <v>8.987</v>
      </c>
      <c r="AA95" s="24">
        <v>8.987</v>
      </c>
      <c r="AB95" s="24">
        <v>8.987</v>
      </c>
      <c r="AC95" s="75">
        <v>0</v>
      </c>
      <c r="AD95" s="40">
        <v>0</v>
      </c>
      <c r="AE95" s="77"/>
    </row>
    <row r="96" spans="1:31" ht="15">
      <c r="A96" s="22">
        <v>10247</v>
      </c>
      <c r="B96" s="22" t="s">
        <v>82</v>
      </c>
      <c r="C96" s="33">
        <f t="shared" si="9"/>
        <v>47739.984</v>
      </c>
      <c r="D96" s="33">
        <f t="shared" si="11"/>
        <v>60884.221999999994</v>
      </c>
      <c r="E96" s="33">
        <f t="shared" si="11"/>
        <v>65706.122</v>
      </c>
      <c r="F96" s="33">
        <f t="shared" si="11"/>
        <v>68278.817</v>
      </c>
      <c r="G96" s="33">
        <f t="shared" si="11"/>
        <v>58728.884</v>
      </c>
      <c r="H96" s="33">
        <f t="shared" si="11"/>
        <v>64120.314</v>
      </c>
      <c r="I96" s="33">
        <f t="shared" si="11"/>
        <v>50612.182</v>
      </c>
      <c r="J96" s="33">
        <f t="shared" si="11"/>
        <v>62791.194</v>
      </c>
      <c r="K96" s="33">
        <f t="shared" si="11"/>
        <v>64153.607</v>
      </c>
      <c r="L96" s="33">
        <f t="shared" si="11"/>
        <v>55694.572</v>
      </c>
      <c r="M96" s="33">
        <f t="shared" si="11"/>
        <v>53841.848</v>
      </c>
      <c r="N96" s="33">
        <f t="shared" si="11"/>
        <v>49544.926999999996</v>
      </c>
      <c r="O96" s="34">
        <f t="shared" si="10"/>
        <v>702096.6730000001</v>
      </c>
      <c r="R96" s="22">
        <v>10247</v>
      </c>
      <c r="S96" s="22" t="s">
        <v>82</v>
      </c>
      <c r="T96" s="23">
        <v>0.011316</v>
      </c>
      <c r="U96" s="23">
        <v>0.011316</v>
      </c>
      <c r="V96" s="23">
        <v>0.011316</v>
      </c>
      <c r="W96" s="23">
        <v>0.011316</v>
      </c>
      <c r="X96" s="23">
        <v>0</v>
      </c>
      <c r="Y96" s="23">
        <v>0</v>
      </c>
      <c r="Z96" s="24">
        <v>79.929</v>
      </c>
      <c r="AA96" s="24">
        <v>79.929</v>
      </c>
      <c r="AB96" s="24">
        <v>79.929</v>
      </c>
      <c r="AC96" s="75">
        <v>0</v>
      </c>
      <c r="AD96" s="40">
        <v>0</v>
      </c>
      <c r="AE96" s="77"/>
    </row>
    <row r="97" spans="1:31" ht="15">
      <c r="A97" s="22">
        <v>10256</v>
      </c>
      <c r="B97" s="22" t="s">
        <v>83</v>
      </c>
      <c r="C97" s="33">
        <f t="shared" si="9"/>
        <v>27920.465000000004</v>
      </c>
      <c r="D97" s="33">
        <f t="shared" si="11"/>
        <v>35607.8</v>
      </c>
      <c r="E97" s="33">
        <f t="shared" si="11"/>
        <v>38427.862</v>
      </c>
      <c r="F97" s="33">
        <f t="shared" si="11"/>
        <v>39932.488</v>
      </c>
      <c r="G97" s="33">
        <f t="shared" si="11"/>
        <v>34347.263</v>
      </c>
      <c r="H97" s="33">
        <f t="shared" si="11"/>
        <v>37500.411</v>
      </c>
      <c r="I97" s="33">
        <f t="shared" si="11"/>
        <v>29600.255</v>
      </c>
      <c r="J97" s="33">
        <f t="shared" si="11"/>
        <v>36723.082</v>
      </c>
      <c r="K97" s="33">
        <f t="shared" si="11"/>
        <v>37519.881</v>
      </c>
      <c r="L97" s="33">
        <f t="shared" si="11"/>
        <v>32572.663</v>
      </c>
      <c r="M97" s="33">
        <f t="shared" si="11"/>
        <v>31489.107000000004</v>
      </c>
      <c r="N97" s="33">
        <f t="shared" si="11"/>
        <v>28976.076</v>
      </c>
      <c r="O97" s="34">
        <f t="shared" si="10"/>
        <v>410617.353</v>
      </c>
      <c r="R97" s="22">
        <v>10256</v>
      </c>
      <c r="S97" s="22" t="s">
        <v>83</v>
      </c>
      <c r="T97" s="23">
        <v>0.0066181</v>
      </c>
      <c r="U97" s="23">
        <v>0.0066181</v>
      </c>
      <c r="V97" s="23">
        <v>0.0066181</v>
      </c>
      <c r="W97" s="23">
        <v>0.0066181</v>
      </c>
      <c r="X97" s="23">
        <v>0</v>
      </c>
      <c r="Y97" s="23">
        <v>0</v>
      </c>
      <c r="Z97" s="24">
        <v>46.746</v>
      </c>
      <c r="AA97" s="24">
        <v>46.746</v>
      </c>
      <c r="AB97" s="24">
        <v>46.746</v>
      </c>
      <c r="AC97" s="79">
        <v>0.08009</v>
      </c>
      <c r="AD97" s="40">
        <v>0</v>
      </c>
      <c r="AE97" s="77"/>
    </row>
    <row r="98" spans="1:31" ht="15">
      <c r="A98" s="22">
        <v>10258</v>
      </c>
      <c r="B98" s="22" t="s">
        <v>84</v>
      </c>
      <c r="C98" s="33">
        <f t="shared" si="9"/>
        <v>22668.054</v>
      </c>
      <c r="D98" s="33">
        <f t="shared" si="11"/>
        <v>28909.244</v>
      </c>
      <c r="E98" s="33">
        <f t="shared" si="11"/>
        <v>31198.795</v>
      </c>
      <c r="F98" s="33">
        <f t="shared" si="11"/>
        <v>32420.37</v>
      </c>
      <c r="G98" s="33">
        <f t="shared" si="11"/>
        <v>27885.839999999997</v>
      </c>
      <c r="H98" s="33">
        <f t="shared" si="11"/>
        <v>30445.816</v>
      </c>
      <c r="I98" s="33">
        <f t="shared" si="11"/>
        <v>24031.841</v>
      </c>
      <c r="J98" s="33">
        <f t="shared" si="11"/>
        <v>29814.719</v>
      </c>
      <c r="K98" s="33">
        <f t="shared" si="11"/>
        <v>30461.625</v>
      </c>
      <c r="L98" s="33">
        <f t="shared" si="11"/>
        <v>26445.078</v>
      </c>
      <c r="M98" s="33">
        <f t="shared" si="11"/>
        <v>25565.362</v>
      </c>
      <c r="N98" s="33">
        <f t="shared" si="11"/>
        <v>23525.084000000003</v>
      </c>
      <c r="O98" s="34">
        <f t="shared" si="10"/>
        <v>333371.828</v>
      </c>
      <c r="R98" s="22">
        <v>10258</v>
      </c>
      <c r="S98" s="22" t="s">
        <v>84</v>
      </c>
      <c r="T98" s="23">
        <v>0.0053731</v>
      </c>
      <c r="U98" s="23">
        <v>0.0053731</v>
      </c>
      <c r="V98" s="23">
        <v>0.0053731</v>
      </c>
      <c r="W98" s="23">
        <v>0.0053731</v>
      </c>
      <c r="X98" s="23">
        <v>0</v>
      </c>
      <c r="Y98" s="23">
        <v>0</v>
      </c>
      <c r="Z98" s="24">
        <v>37.952</v>
      </c>
      <c r="AA98" s="24">
        <v>37.952</v>
      </c>
      <c r="AB98" s="24">
        <v>37.952</v>
      </c>
      <c r="AC98" s="79">
        <v>0.05429</v>
      </c>
      <c r="AD98" s="40">
        <v>0</v>
      </c>
      <c r="AE98" s="77"/>
    </row>
    <row r="99" spans="1:31" ht="15">
      <c r="A99" s="22">
        <v>10259</v>
      </c>
      <c r="B99" s="22" t="s">
        <v>85</v>
      </c>
      <c r="C99" s="33">
        <f t="shared" si="9"/>
        <v>16117.518</v>
      </c>
      <c r="D99" s="33">
        <f t="shared" si="11"/>
        <v>20555.15</v>
      </c>
      <c r="E99" s="33">
        <f t="shared" si="11"/>
        <v>22183.074</v>
      </c>
      <c r="F99" s="33">
        <f t="shared" si="11"/>
        <v>23051.644</v>
      </c>
      <c r="G99" s="33">
        <f t="shared" si="11"/>
        <v>19827.485</v>
      </c>
      <c r="H99" s="33">
        <f t="shared" si="11"/>
        <v>21647.689</v>
      </c>
      <c r="I99" s="33">
        <f t="shared" si="11"/>
        <v>17087.203</v>
      </c>
      <c r="J99" s="33">
        <f t="shared" si="11"/>
        <v>21198.964</v>
      </c>
      <c r="K99" s="33">
        <f t="shared" si="11"/>
        <v>21658.928</v>
      </c>
      <c r="L99" s="33">
        <f t="shared" si="11"/>
        <v>18803.07</v>
      </c>
      <c r="M99" s="33">
        <f t="shared" si="11"/>
        <v>18177.571</v>
      </c>
      <c r="N99" s="33">
        <f t="shared" si="11"/>
        <v>16726.885000000002</v>
      </c>
      <c r="O99" s="34">
        <f t="shared" si="10"/>
        <v>237035.18100000004</v>
      </c>
      <c r="R99" s="22">
        <v>10259</v>
      </c>
      <c r="S99" s="22" t="s">
        <v>85</v>
      </c>
      <c r="T99" s="23">
        <v>0.0038204</v>
      </c>
      <c r="U99" s="23">
        <v>0.0038204</v>
      </c>
      <c r="V99" s="23">
        <v>0.0038204</v>
      </c>
      <c r="W99" s="23">
        <v>0.0038204</v>
      </c>
      <c r="X99" s="23">
        <v>0</v>
      </c>
      <c r="Y99" s="23">
        <v>0</v>
      </c>
      <c r="Z99" s="24">
        <v>26.985</v>
      </c>
      <c r="AA99" s="24">
        <v>26.985</v>
      </c>
      <c r="AB99" s="24">
        <v>26.985</v>
      </c>
      <c r="AC99" s="79">
        <v>0.08062</v>
      </c>
      <c r="AD99" s="40">
        <v>0</v>
      </c>
      <c r="AE99" s="77"/>
    </row>
    <row r="100" spans="1:31" ht="15">
      <c r="A100" s="22">
        <v>10260</v>
      </c>
      <c r="B100" s="22" t="s">
        <v>86</v>
      </c>
      <c r="C100" s="33">
        <f t="shared" si="9"/>
        <v>15699.434000000001</v>
      </c>
      <c r="D100" s="33">
        <f t="shared" si="11"/>
        <v>20021.956000000002</v>
      </c>
      <c r="E100" s="33">
        <f t="shared" si="11"/>
        <v>21607.652000000002</v>
      </c>
      <c r="F100" s="33">
        <f t="shared" si="11"/>
        <v>22453.691</v>
      </c>
      <c r="G100" s="33">
        <f t="shared" si="11"/>
        <v>19313.167</v>
      </c>
      <c r="H100" s="33">
        <f t="shared" si="11"/>
        <v>21086.154</v>
      </c>
      <c r="I100" s="33">
        <f t="shared" si="11"/>
        <v>16643.965</v>
      </c>
      <c r="J100" s="33">
        <f t="shared" si="11"/>
        <v>20649.069</v>
      </c>
      <c r="K100" s="33">
        <f t="shared" si="11"/>
        <v>21097.102</v>
      </c>
      <c r="L100" s="33">
        <f t="shared" si="11"/>
        <v>18315.324</v>
      </c>
      <c r="M100" s="33">
        <f t="shared" si="11"/>
        <v>17706.05</v>
      </c>
      <c r="N100" s="33">
        <f t="shared" si="11"/>
        <v>16292.994999999999</v>
      </c>
      <c r="O100" s="34">
        <f t="shared" si="10"/>
        <v>230886.55899999998</v>
      </c>
      <c r="R100" s="22">
        <v>10260</v>
      </c>
      <c r="S100" s="22" t="s">
        <v>86</v>
      </c>
      <c r="T100" s="23">
        <v>0.0037213</v>
      </c>
      <c r="U100" s="23">
        <v>0.0037213</v>
      </c>
      <c r="V100" s="23">
        <v>0.0037213</v>
      </c>
      <c r="W100" s="23">
        <v>0.0037213</v>
      </c>
      <c r="X100" s="23">
        <v>0</v>
      </c>
      <c r="Y100" s="23">
        <v>0</v>
      </c>
      <c r="Z100" s="24">
        <v>26.285</v>
      </c>
      <c r="AA100" s="24">
        <v>26.285</v>
      </c>
      <c r="AB100" s="24">
        <v>26.285</v>
      </c>
      <c r="AC100" s="75">
        <v>0</v>
      </c>
      <c r="AD100" s="40">
        <v>0</v>
      </c>
      <c r="AE100" s="77"/>
    </row>
    <row r="101" spans="1:31" ht="15">
      <c r="A101" s="22">
        <v>10273</v>
      </c>
      <c r="B101" s="22" t="s">
        <v>87</v>
      </c>
      <c r="C101" s="33">
        <f t="shared" si="9"/>
        <v>3512.576</v>
      </c>
      <c r="D101" s="33">
        <f t="shared" si="11"/>
        <v>4479.693</v>
      </c>
      <c r="E101" s="33">
        <f t="shared" si="11"/>
        <v>4834.474</v>
      </c>
      <c r="F101" s="33">
        <f t="shared" si="11"/>
        <v>5023.767</v>
      </c>
      <c r="G101" s="33">
        <f t="shared" si="11"/>
        <v>4321.109</v>
      </c>
      <c r="H101" s="33">
        <f t="shared" si="11"/>
        <v>4717.796</v>
      </c>
      <c r="I101" s="33">
        <f t="shared" si="11"/>
        <v>3723.905</v>
      </c>
      <c r="J101" s="33">
        <f t="shared" si="11"/>
        <v>4620.003</v>
      </c>
      <c r="K101" s="33">
        <f t="shared" si="11"/>
        <v>4720.245</v>
      </c>
      <c r="L101" s="33">
        <f t="shared" si="11"/>
        <v>4097.853</v>
      </c>
      <c r="M101" s="33">
        <f t="shared" si="11"/>
        <v>3961.5339999999997</v>
      </c>
      <c r="N101" s="33">
        <f t="shared" si="11"/>
        <v>3645.379</v>
      </c>
      <c r="O101" s="34">
        <f t="shared" si="10"/>
        <v>51658.334</v>
      </c>
      <c r="R101" s="22">
        <v>10273</v>
      </c>
      <c r="S101" s="22" t="s">
        <v>87</v>
      </c>
      <c r="T101" s="23">
        <v>0.0008326</v>
      </c>
      <c r="U101" s="23">
        <v>0.0008326</v>
      </c>
      <c r="V101" s="23">
        <v>0.0008326</v>
      </c>
      <c r="W101" s="23">
        <v>0.0008326</v>
      </c>
      <c r="X101" s="23">
        <v>0</v>
      </c>
      <c r="Y101" s="23">
        <v>0</v>
      </c>
      <c r="Z101" s="24">
        <v>5.881</v>
      </c>
      <c r="AA101" s="24">
        <v>5.881</v>
      </c>
      <c r="AB101" s="24">
        <v>5.881</v>
      </c>
      <c r="AC101" s="79">
        <v>0.09623</v>
      </c>
      <c r="AD101" s="40">
        <v>0</v>
      </c>
      <c r="AE101" s="77"/>
    </row>
    <row r="102" spans="1:31" ht="15">
      <c r="A102" s="22">
        <v>10278</v>
      </c>
      <c r="B102" s="22" t="s">
        <v>88</v>
      </c>
      <c r="C102" s="33">
        <f t="shared" si="9"/>
        <v>21458.946</v>
      </c>
      <c r="D102" s="33">
        <f t="shared" si="11"/>
        <v>27367.231999999996</v>
      </c>
      <c r="E102" s="33">
        <f t="shared" si="11"/>
        <v>29534.658000000003</v>
      </c>
      <c r="F102" s="33">
        <f t="shared" si="11"/>
        <v>30691.075</v>
      </c>
      <c r="G102" s="33">
        <f t="shared" si="11"/>
        <v>26398.415</v>
      </c>
      <c r="H102" s="33">
        <f t="shared" si="11"/>
        <v>28821.843</v>
      </c>
      <c r="I102" s="33">
        <f t="shared" si="11"/>
        <v>22749.987999999998</v>
      </c>
      <c r="J102" s="33">
        <f t="shared" si="11"/>
        <v>28224.408</v>
      </c>
      <c r="K102" s="33">
        <f t="shared" si="11"/>
        <v>28836.807999999997</v>
      </c>
      <c r="L102" s="33">
        <f t="shared" si="11"/>
        <v>25034.504</v>
      </c>
      <c r="M102" s="33">
        <f t="shared" si="11"/>
        <v>24201.711</v>
      </c>
      <c r="N102" s="33">
        <f t="shared" si="11"/>
        <v>22270.261</v>
      </c>
      <c r="O102" s="34">
        <f t="shared" si="10"/>
        <v>315589.849</v>
      </c>
      <c r="R102" s="22">
        <v>10278</v>
      </c>
      <c r="S102" s="22" t="s">
        <v>88</v>
      </c>
      <c r="T102" s="23">
        <v>0.0050865</v>
      </c>
      <c r="U102" s="23">
        <v>0.0050865</v>
      </c>
      <c r="V102" s="23">
        <v>0.0050865</v>
      </c>
      <c r="W102" s="23">
        <v>0.0050865</v>
      </c>
      <c r="X102" s="23">
        <v>0</v>
      </c>
      <c r="Y102" s="23">
        <v>0</v>
      </c>
      <c r="Z102" s="24">
        <v>35.928</v>
      </c>
      <c r="AA102" s="24">
        <v>35.928</v>
      </c>
      <c r="AB102" s="24">
        <v>35.928</v>
      </c>
      <c r="AC102" s="79">
        <v>0.07152</v>
      </c>
      <c r="AD102" s="40">
        <v>1</v>
      </c>
      <c r="AE102" s="77"/>
    </row>
    <row r="103" spans="1:31" ht="15">
      <c r="A103" s="22">
        <v>10279</v>
      </c>
      <c r="B103" s="22" t="s">
        <v>89</v>
      </c>
      <c r="C103" s="33">
        <f t="shared" si="9"/>
        <v>38682.634000000005</v>
      </c>
      <c r="D103" s="33">
        <f t="shared" si="11"/>
        <v>49333.114</v>
      </c>
      <c r="E103" s="33">
        <f t="shared" si="11"/>
        <v>53240.191000000006</v>
      </c>
      <c r="F103" s="33">
        <f t="shared" si="11"/>
        <v>55324.788</v>
      </c>
      <c r="G103" s="33">
        <f t="shared" si="11"/>
        <v>47586.691999999995</v>
      </c>
      <c r="H103" s="33">
        <f t="shared" si="11"/>
        <v>51955.246</v>
      </c>
      <c r="I103" s="33">
        <f t="shared" si="11"/>
        <v>41009.911</v>
      </c>
      <c r="J103" s="33">
        <f t="shared" si="11"/>
        <v>50878.291</v>
      </c>
      <c r="K103" s="33">
        <f t="shared" si="11"/>
        <v>51982.223</v>
      </c>
      <c r="L103" s="33">
        <f t="shared" si="11"/>
        <v>45128.058</v>
      </c>
      <c r="M103" s="33">
        <f t="shared" si="11"/>
        <v>43626.836</v>
      </c>
      <c r="N103" s="33">
        <f t="shared" si="11"/>
        <v>40145.139</v>
      </c>
      <c r="O103" s="34">
        <f t="shared" si="10"/>
        <v>568893.1229999999</v>
      </c>
      <c r="R103" s="22">
        <v>10279</v>
      </c>
      <c r="S103" s="22" t="s">
        <v>89</v>
      </c>
      <c r="T103" s="23">
        <v>0.0091691</v>
      </c>
      <c r="U103" s="23">
        <v>0.0091691</v>
      </c>
      <c r="V103" s="23">
        <v>0.0091691</v>
      </c>
      <c r="W103" s="23">
        <v>0.0091691</v>
      </c>
      <c r="X103" s="23">
        <v>0</v>
      </c>
      <c r="Y103" s="23">
        <v>0</v>
      </c>
      <c r="Z103" s="24">
        <v>64.765</v>
      </c>
      <c r="AA103" s="24">
        <v>64.765</v>
      </c>
      <c r="AB103" s="24">
        <v>64.765</v>
      </c>
      <c r="AC103" s="75">
        <v>0</v>
      </c>
      <c r="AD103" s="40">
        <v>0</v>
      </c>
      <c r="AE103" s="77"/>
    </row>
    <row r="104" spans="1:31" ht="15">
      <c r="A104" s="22">
        <v>10284</v>
      </c>
      <c r="B104" s="22" t="s">
        <v>90</v>
      </c>
      <c r="C104" s="33">
        <f t="shared" si="9"/>
        <v>6067.062</v>
      </c>
      <c r="D104" s="33">
        <f t="shared" si="11"/>
        <v>7737.503999999999</v>
      </c>
      <c r="E104" s="33">
        <f t="shared" si="11"/>
        <v>8350.298999999999</v>
      </c>
      <c r="F104" s="33">
        <f t="shared" si="11"/>
        <v>8677.25</v>
      </c>
      <c r="G104" s="33">
        <f t="shared" si="11"/>
        <v>7463.592000000001</v>
      </c>
      <c r="H104" s="33">
        <f t="shared" si="11"/>
        <v>8148.764999999999</v>
      </c>
      <c r="I104" s="33">
        <f t="shared" si="11"/>
        <v>6432.076999999999</v>
      </c>
      <c r="J104" s="33">
        <f t="shared" si="11"/>
        <v>7979.853</v>
      </c>
      <c r="K104" s="33">
        <f t="shared" si="11"/>
        <v>8152.995</v>
      </c>
      <c r="L104" s="33">
        <f t="shared" si="11"/>
        <v>7077.975</v>
      </c>
      <c r="M104" s="33">
        <f t="shared" si="11"/>
        <v>6842.52</v>
      </c>
      <c r="N104" s="33">
        <f t="shared" si="11"/>
        <v>6296.4439999999995</v>
      </c>
      <c r="O104" s="34">
        <f t="shared" si="10"/>
        <v>89226.33600000001</v>
      </c>
      <c r="R104" s="22">
        <v>10284</v>
      </c>
      <c r="S104" s="22" t="s">
        <v>90</v>
      </c>
      <c r="T104" s="23">
        <v>0.0014381</v>
      </c>
      <c r="U104" s="23">
        <v>0.0014381</v>
      </c>
      <c r="V104" s="23">
        <v>0.0014381</v>
      </c>
      <c r="W104" s="23">
        <v>0.0014381</v>
      </c>
      <c r="X104" s="23">
        <v>0</v>
      </c>
      <c r="Y104" s="23">
        <v>0</v>
      </c>
      <c r="Z104" s="24">
        <v>10.158</v>
      </c>
      <c r="AA104" s="24">
        <v>10.158</v>
      </c>
      <c r="AB104" s="24">
        <v>10.158</v>
      </c>
      <c r="AC104" s="79">
        <v>0.0534</v>
      </c>
      <c r="AD104" s="40">
        <v>0</v>
      </c>
      <c r="AE104" s="77"/>
    </row>
    <row r="105" spans="1:31" ht="15">
      <c r="A105" s="22">
        <v>10285</v>
      </c>
      <c r="B105" s="22" t="s">
        <v>91</v>
      </c>
      <c r="C105" s="33">
        <f t="shared" si="9"/>
        <v>3899.44</v>
      </c>
      <c r="D105" s="33">
        <f t="shared" si="11"/>
        <v>4973.073</v>
      </c>
      <c r="E105" s="33">
        <f t="shared" si="11"/>
        <v>5366.929</v>
      </c>
      <c r="F105" s="33">
        <f t="shared" si="11"/>
        <v>5577.0689999999995</v>
      </c>
      <c r="G105" s="33">
        <f t="shared" si="11"/>
        <v>4797.022</v>
      </c>
      <c r="H105" s="33">
        <f t="shared" si="11"/>
        <v>5237.399</v>
      </c>
      <c r="I105" s="33">
        <f t="shared" si="11"/>
        <v>4134.044</v>
      </c>
      <c r="J105" s="33">
        <f t="shared" si="11"/>
        <v>5128.835</v>
      </c>
      <c r="K105" s="33">
        <f t="shared" si="11"/>
        <v>5240.118</v>
      </c>
      <c r="L105" s="33">
        <f t="shared" si="11"/>
        <v>4549.177</v>
      </c>
      <c r="M105" s="33">
        <f t="shared" si="11"/>
        <v>4397.846</v>
      </c>
      <c r="N105" s="33">
        <f t="shared" si="11"/>
        <v>4046.869</v>
      </c>
      <c r="O105" s="34">
        <f t="shared" si="10"/>
        <v>57347.820999999996</v>
      </c>
      <c r="R105" s="22">
        <v>10285</v>
      </c>
      <c r="S105" s="22" t="s">
        <v>91</v>
      </c>
      <c r="T105" s="23">
        <v>0.0009243</v>
      </c>
      <c r="U105" s="23">
        <v>0.0009243</v>
      </c>
      <c r="V105" s="23">
        <v>0.0009243</v>
      </c>
      <c r="W105" s="23">
        <v>0.0009243</v>
      </c>
      <c r="X105" s="23">
        <v>0</v>
      </c>
      <c r="Y105" s="23">
        <v>0</v>
      </c>
      <c r="Z105" s="24">
        <v>6.529</v>
      </c>
      <c r="AA105" s="24">
        <v>6.529</v>
      </c>
      <c r="AB105" s="24">
        <v>6.529</v>
      </c>
      <c r="AC105" s="79">
        <v>0.07748</v>
      </c>
      <c r="AD105" s="40">
        <v>1</v>
      </c>
      <c r="AE105" s="77"/>
    </row>
    <row r="106" spans="1:31" ht="15">
      <c r="A106" s="22">
        <v>10286</v>
      </c>
      <c r="B106" s="22" t="s">
        <v>92</v>
      </c>
      <c r="C106" s="33">
        <f t="shared" si="9"/>
        <v>27421.803</v>
      </c>
      <c r="D106" s="33">
        <f t="shared" si="11"/>
        <v>34971.841</v>
      </c>
      <c r="E106" s="33">
        <f t="shared" si="11"/>
        <v>37741.535</v>
      </c>
      <c r="F106" s="33">
        <f t="shared" si="11"/>
        <v>39219.29</v>
      </c>
      <c r="G106" s="33">
        <f t="shared" si="11"/>
        <v>33733.817</v>
      </c>
      <c r="H106" s="33">
        <f t="shared" si="11"/>
        <v>36830.649000000005</v>
      </c>
      <c r="I106" s="33">
        <f t="shared" si="11"/>
        <v>29071.59</v>
      </c>
      <c r="J106" s="33">
        <f t="shared" si="11"/>
        <v>36067.204</v>
      </c>
      <c r="K106" s="33">
        <f t="shared" si="11"/>
        <v>36849.773</v>
      </c>
      <c r="L106" s="33">
        <f t="shared" si="11"/>
        <v>31990.912000000004</v>
      </c>
      <c r="M106" s="33">
        <f t="shared" si="11"/>
        <v>30926.708</v>
      </c>
      <c r="N106" s="33">
        <f t="shared" si="11"/>
        <v>28458.559999999998</v>
      </c>
      <c r="O106" s="34">
        <f t="shared" si="10"/>
        <v>403283.68200000003</v>
      </c>
      <c r="R106" s="22">
        <v>10286</v>
      </c>
      <c r="S106" s="22" t="s">
        <v>92</v>
      </c>
      <c r="T106" s="23">
        <v>0.0064999</v>
      </c>
      <c r="U106" s="23">
        <v>0.0064999</v>
      </c>
      <c r="V106" s="23">
        <v>0.0064999</v>
      </c>
      <c r="W106" s="23">
        <v>0.0064999</v>
      </c>
      <c r="X106" s="23">
        <v>0</v>
      </c>
      <c r="Y106" s="23">
        <v>0</v>
      </c>
      <c r="Z106" s="24">
        <v>45.911</v>
      </c>
      <c r="AA106" s="24">
        <v>45.911</v>
      </c>
      <c r="AB106" s="24">
        <v>45.911</v>
      </c>
      <c r="AC106" s="75">
        <v>0</v>
      </c>
      <c r="AD106" s="40">
        <v>0</v>
      </c>
      <c r="AE106" s="77"/>
    </row>
    <row r="107" spans="1:31" ht="15">
      <c r="A107" s="22">
        <v>10288</v>
      </c>
      <c r="B107" s="22" t="s">
        <v>93</v>
      </c>
      <c r="C107" s="33">
        <f t="shared" si="9"/>
        <v>14700.421</v>
      </c>
      <c r="D107" s="33">
        <f t="shared" si="11"/>
        <v>18747.885000000002</v>
      </c>
      <c r="E107" s="33">
        <f t="shared" si="11"/>
        <v>20232.678</v>
      </c>
      <c r="F107" s="33">
        <f t="shared" si="11"/>
        <v>21024.88</v>
      </c>
      <c r="G107" s="33">
        <f t="shared" si="11"/>
        <v>18084.199</v>
      </c>
      <c r="H107" s="33">
        <f t="shared" si="11"/>
        <v>19744.365</v>
      </c>
      <c r="I107" s="33">
        <f t="shared" si="11"/>
        <v>15584.848999999998</v>
      </c>
      <c r="J107" s="33">
        <f t="shared" si="11"/>
        <v>19335.093</v>
      </c>
      <c r="K107" s="33">
        <f t="shared" si="11"/>
        <v>19754.617</v>
      </c>
      <c r="L107" s="33">
        <f t="shared" si="11"/>
        <v>17149.853</v>
      </c>
      <c r="M107" s="33">
        <f t="shared" si="11"/>
        <v>16579.349000000002</v>
      </c>
      <c r="N107" s="33">
        <f t="shared" si="11"/>
        <v>15256.212</v>
      </c>
      <c r="O107" s="34">
        <f t="shared" si="10"/>
        <v>216194.401</v>
      </c>
      <c r="R107" s="22">
        <v>10288</v>
      </c>
      <c r="S107" s="22" t="s">
        <v>93</v>
      </c>
      <c r="T107" s="23">
        <v>0.0034845</v>
      </c>
      <c r="U107" s="23">
        <v>0.0034905</v>
      </c>
      <c r="V107" s="23">
        <v>0.0034845</v>
      </c>
      <c r="W107" s="23">
        <v>0.0034905</v>
      </c>
      <c r="X107" s="23">
        <v>0</v>
      </c>
      <c r="Y107" s="23">
        <v>0</v>
      </c>
      <c r="Z107" s="24">
        <v>24.734</v>
      </c>
      <c r="AA107" s="24">
        <v>24.612</v>
      </c>
      <c r="AB107" s="24">
        <v>24.655</v>
      </c>
      <c r="AC107" s="79">
        <v>0.06</v>
      </c>
      <c r="AD107" s="40">
        <v>1</v>
      </c>
      <c r="AE107" s="77"/>
    </row>
    <row r="108" spans="1:31" ht="15">
      <c r="A108" s="22">
        <v>10291</v>
      </c>
      <c r="B108" s="22" t="s">
        <v>164</v>
      </c>
      <c r="C108" s="33">
        <f t="shared" si="9"/>
        <v>46697.517</v>
      </c>
      <c r="D108" s="33">
        <f t="shared" si="11"/>
        <v>59554.733</v>
      </c>
      <c r="E108" s="33">
        <f t="shared" si="11"/>
        <v>64271.341</v>
      </c>
      <c r="F108" s="33">
        <f t="shared" si="11"/>
        <v>66787.85800000001</v>
      </c>
      <c r="G108" s="33">
        <f t="shared" si="11"/>
        <v>57446.46</v>
      </c>
      <c r="H108" s="33">
        <f t="shared" si="11"/>
        <v>62720.16099999999</v>
      </c>
      <c r="I108" s="33">
        <f t="shared" si="11"/>
        <v>49506.997</v>
      </c>
      <c r="J108" s="33">
        <f t="shared" si="11"/>
        <v>61420.064999999995</v>
      </c>
      <c r="K108" s="33">
        <f t="shared" si="11"/>
        <v>62752.727</v>
      </c>
      <c r="L108" s="33">
        <f t="shared" si="11"/>
        <v>54478.407</v>
      </c>
      <c r="M108" s="33">
        <f t="shared" si="11"/>
        <v>52666.139</v>
      </c>
      <c r="N108" s="33">
        <f t="shared" si="11"/>
        <v>48463.046</v>
      </c>
      <c r="O108" s="34">
        <f t="shared" si="10"/>
        <v>686765.451</v>
      </c>
      <c r="R108" s="22">
        <v>10291</v>
      </c>
      <c r="S108" s="22" t="s">
        <v>164</v>
      </c>
      <c r="T108" s="23">
        <v>0.0110689</v>
      </c>
      <c r="U108" s="23">
        <v>0.0110975</v>
      </c>
      <c r="V108" s="23">
        <v>0.0110689</v>
      </c>
      <c r="W108" s="23">
        <v>0.0110975</v>
      </c>
      <c r="X108" s="23">
        <v>0</v>
      </c>
      <c r="Y108" s="23">
        <v>0</v>
      </c>
      <c r="Z108" s="24">
        <v>79.182</v>
      </c>
      <c r="AA108" s="24">
        <v>78.184</v>
      </c>
      <c r="AB108" s="24">
        <v>78.386</v>
      </c>
      <c r="AC108" s="79">
        <v>0.05</v>
      </c>
      <c r="AD108" s="40">
        <v>0</v>
      </c>
      <c r="AE108" s="77"/>
    </row>
    <row r="109" spans="1:34" s="48" customFormat="1" ht="15">
      <c r="A109" s="45">
        <v>10294</v>
      </c>
      <c r="B109" s="45" t="s">
        <v>94</v>
      </c>
      <c r="C109" s="46">
        <f t="shared" si="9"/>
        <v>21697.307999999997</v>
      </c>
      <c r="D109" s="46">
        <f t="shared" si="11"/>
        <v>27671.222</v>
      </c>
      <c r="E109" s="46">
        <f t="shared" si="11"/>
        <v>29862.724000000002</v>
      </c>
      <c r="F109" s="46">
        <f t="shared" si="11"/>
        <v>31031.986</v>
      </c>
      <c r="G109" s="46">
        <f t="shared" si="11"/>
        <v>26691.645</v>
      </c>
      <c r="H109" s="46">
        <f t="shared" si="11"/>
        <v>29141.991</v>
      </c>
      <c r="I109" s="46">
        <f t="shared" si="11"/>
        <v>23002.691</v>
      </c>
      <c r="J109" s="46">
        <f t="shared" si="11"/>
        <v>28537.921000000002</v>
      </c>
      <c r="K109" s="46">
        <f t="shared" si="11"/>
        <v>29157.123</v>
      </c>
      <c r="L109" s="46">
        <f t="shared" si="11"/>
        <v>25312.582000000002</v>
      </c>
      <c r="M109" s="46">
        <f t="shared" si="11"/>
        <v>24470.539</v>
      </c>
      <c r="N109" s="46">
        <f t="shared" si="11"/>
        <v>22517.635000000002</v>
      </c>
      <c r="O109" s="47">
        <f t="shared" si="10"/>
        <v>319095.367</v>
      </c>
      <c r="Q109" s="49"/>
      <c r="R109" s="45">
        <v>10294</v>
      </c>
      <c r="S109" s="45" t="s">
        <v>94</v>
      </c>
      <c r="T109" s="50">
        <v>0.005143</v>
      </c>
      <c r="U109" s="50">
        <v>0.005143</v>
      </c>
      <c r="V109" s="50">
        <v>0.005143</v>
      </c>
      <c r="W109" s="50">
        <v>0.005143</v>
      </c>
      <c r="X109" s="50">
        <v>0</v>
      </c>
      <c r="Y109" s="50">
        <v>0</v>
      </c>
      <c r="Z109" s="51">
        <v>36.327</v>
      </c>
      <c r="AA109" s="51">
        <v>36.327</v>
      </c>
      <c r="AB109" s="51">
        <v>36.327</v>
      </c>
      <c r="AC109" s="76">
        <v>0</v>
      </c>
      <c r="AD109" s="52">
        <v>0</v>
      </c>
      <c r="AE109" s="53"/>
      <c r="AF109" s="54"/>
      <c r="AG109" s="54"/>
      <c r="AH109" s="54"/>
    </row>
    <row r="110" spans="1:31" ht="15">
      <c r="A110" s="22">
        <v>10304</v>
      </c>
      <c r="B110" s="22" t="s">
        <v>95</v>
      </c>
      <c r="C110" s="33">
        <f t="shared" si="9"/>
        <v>8011.929999999999</v>
      </c>
      <c r="D110" s="33">
        <f t="shared" si="11"/>
        <v>10217.853</v>
      </c>
      <c r="E110" s="33">
        <f t="shared" si="11"/>
        <v>11027.085</v>
      </c>
      <c r="F110" s="33">
        <f t="shared" si="11"/>
        <v>11458.846000000001</v>
      </c>
      <c r="G110" s="33">
        <f t="shared" si="11"/>
        <v>9856.135</v>
      </c>
      <c r="H110" s="33">
        <f t="shared" si="11"/>
        <v>10760.948</v>
      </c>
      <c r="I110" s="33">
        <f t="shared" si="11"/>
        <v>8493.955</v>
      </c>
      <c r="J110" s="33">
        <f t="shared" si="11"/>
        <v>10537.889</v>
      </c>
      <c r="K110" s="33">
        <f t="shared" si="11"/>
        <v>10766.535</v>
      </c>
      <c r="L110" s="33">
        <f t="shared" si="11"/>
        <v>9346.904</v>
      </c>
      <c r="M110" s="33">
        <f t="shared" si="11"/>
        <v>9035.972</v>
      </c>
      <c r="N110" s="33">
        <f t="shared" si="11"/>
        <v>8314.843</v>
      </c>
      <c r="O110" s="34">
        <f t="shared" si="10"/>
        <v>117828.89499999999</v>
      </c>
      <c r="R110" s="22">
        <v>10304</v>
      </c>
      <c r="S110" s="22" t="s">
        <v>95</v>
      </c>
      <c r="T110" s="23">
        <v>0.0018991</v>
      </c>
      <c r="U110" s="23">
        <v>0.0019035</v>
      </c>
      <c r="V110" s="23">
        <v>0.0018991</v>
      </c>
      <c r="W110" s="23">
        <v>0.0019035</v>
      </c>
      <c r="X110" s="23">
        <v>0</v>
      </c>
      <c r="Y110" s="23">
        <v>0</v>
      </c>
      <c r="Z110" s="24">
        <v>14.068</v>
      </c>
      <c r="AA110" s="24">
        <v>13.414</v>
      </c>
      <c r="AB110" s="24">
        <v>13.445</v>
      </c>
      <c r="AC110" s="75">
        <v>0</v>
      </c>
      <c r="AD110" s="40">
        <v>0</v>
      </c>
      <c r="AE110" s="77"/>
    </row>
    <row r="111" spans="1:31" ht="15">
      <c r="A111" s="22">
        <v>10306</v>
      </c>
      <c r="B111" s="22" t="s">
        <v>96</v>
      </c>
      <c r="C111" s="33">
        <f t="shared" si="9"/>
        <v>6878.76</v>
      </c>
      <c r="D111" s="33">
        <f t="shared" si="11"/>
        <v>8772.687</v>
      </c>
      <c r="E111" s="33">
        <f t="shared" si="11"/>
        <v>9467.465</v>
      </c>
      <c r="F111" s="33">
        <f t="shared" si="11"/>
        <v>9838.159</v>
      </c>
      <c r="G111" s="33">
        <f t="shared" si="11"/>
        <v>8462.128</v>
      </c>
      <c r="H111" s="33">
        <f t="shared" si="11"/>
        <v>9238.969000000001</v>
      </c>
      <c r="I111" s="33">
        <f t="shared" si="11"/>
        <v>7292.609</v>
      </c>
      <c r="J111" s="33">
        <f t="shared" si="11"/>
        <v>9047.458</v>
      </c>
      <c r="K111" s="33">
        <f t="shared" si="11"/>
        <v>9243.766</v>
      </c>
      <c r="L111" s="33">
        <f t="shared" si="11"/>
        <v>8024.92</v>
      </c>
      <c r="M111" s="33">
        <f t="shared" si="11"/>
        <v>7757.965</v>
      </c>
      <c r="N111" s="33">
        <f t="shared" si="11"/>
        <v>7138.83</v>
      </c>
      <c r="O111" s="34">
        <f t="shared" si="10"/>
        <v>101163.71599999999</v>
      </c>
      <c r="R111" s="22">
        <v>10306</v>
      </c>
      <c r="S111" s="22" t="s">
        <v>96</v>
      </c>
      <c r="T111" s="23">
        <v>0.0016305</v>
      </c>
      <c r="U111" s="23">
        <v>0.0036483</v>
      </c>
      <c r="V111" s="23">
        <v>0.0016305</v>
      </c>
      <c r="W111" s="23">
        <v>0.0036483</v>
      </c>
      <c r="X111" s="23">
        <v>0</v>
      </c>
      <c r="Y111" s="23">
        <v>0</v>
      </c>
      <c r="Z111" s="24">
        <v>25.769</v>
      </c>
      <c r="AA111" s="24">
        <v>11.517</v>
      </c>
      <c r="AB111" s="24">
        <v>25.769</v>
      </c>
      <c r="AC111" s="75">
        <v>0</v>
      </c>
      <c r="AD111" s="40">
        <v>0</v>
      </c>
      <c r="AE111" s="77"/>
    </row>
    <row r="112" spans="1:31" ht="15">
      <c r="A112" s="22">
        <v>10307</v>
      </c>
      <c r="B112" s="22" t="s">
        <v>97</v>
      </c>
      <c r="C112" s="33">
        <f t="shared" si="9"/>
        <v>41012.257</v>
      </c>
      <c r="D112" s="33">
        <f t="shared" si="11"/>
        <v>52304.152</v>
      </c>
      <c r="E112" s="33">
        <f t="shared" si="11"/>
        <v>56446.528999999995</v>
      </c>
      <c r="F112" s="33">
        <f t="shared" si="11"/>
        <v>58656.668999999994</v>
      </c>
      <c r="G112" s="33">
        <f t="shared" si="11"/>
        <v>50452.554000000004</v>
      </c>
      <c r="H112" s="33">
        <f t="shared" si="11"/>
        <v>55084.2</v>
      </c>
      <c r="I112" s="33">
        <f t="shared" si="11"/>
        <v>43479.693</v>
      </c>
      <c r="J112" s="33">
        <f t="shared" si="11"/>
        <v>53942.384999999995</v>
      </c>
      <c r="K112" s="33">
        <f t="shared" si="11"/>
        <v>55112.801</v>
      </c>
      <c r="L112" s="33">
        <f t="shared" si="11"/>
        <v>47845.850999999995</v>
      </c>
      <c r="M112" s="33">
        <f t="shared" si="11"/>
        <v>46254.22</v>
      </c>
      <c r="N112" s="33">
        <f t="shared" si="11"/>
        <v>42562.839</v>
      </c>
      <c r="O112" s="34">
        <f t="shared" si="10"/>
        <v>603154.15</v>
      </c>
      <c r="R112" s="22">
        <v>10307</v>
      </c>
      <c r="S112" s="22" t="s">
        <v>97</v>
      </c>
      <c r="T112" s="23">
        <v>0.0097213</v>
      </c>
      <c r="U112" s="23">
        <v>0.0097264</v>
      </c>
      <c r="V112" s="23">
        <v>0.0097213</v>
      </c>
      <c r="W112" s="23">
        <v>0.0097264</v>
      </c>
      <c r="X112" s="23">
        <v>0</v>
      </c>
      <c r="Y112" s="23">
        <v>0</v>
      </c>
      <c r="Z112" s="24">
        <v>71.985</v>
      </c>
      <c r="AA112" s="24">
        <v>68.665</v>
      </c>
      <c r="AB112" s="24">
        <v>68.701</v>
      </c>
      <c r="AC112" s="75">
        <v>0</v>
      </c>
      <c r="AD112" s="40">
        <v>0</v>
      </c>
      <c r="AE112" s="77"/>
    </row>
    <row r="113" spans="1:31" ht="15">
      <c r="A113" s="22">
        <v>10326</v>
      </c>
      <c r="B113" s="22" t="s">
        <v>98</v>
      </c>
      <c r="C113" s="33">
        <f t="shared" si="9"/>
        <v>18193.17</v>
      </c>
      <c r="D113" s="33">
        <f t="shared" si="11"/>
        <v>23202.29</v>
      </c>
      <c r="E113" s="33">
        <f t="shared" si="11"/>
        <v>25039.862</v>
      </c>
      <c r="F113" s="33">
        <f t="shared" si="11"/>
        <v>26020.287</v>
      </c>
      <c r="G113" s="33">
        <f t="shared" si="11"/>
        <v>22380.915</v>
      </c>
      <c r="H113" s="33">
        <f t="shared" si="11"/>
        <v>24435.528</v>
      </c>
      <c r="I113" s="33">
        <f t="shared" si="11"/>
        <v>19287.732</v>
      </c>
      <c r="J113" s="33">
        <f t="shared" si="11"/>
        <v>23929.016</v>
      </c>
      <c r="K113" s="33">
        <f t="shared" si="11"/>
        <v>24448.216</v>
      </c>
      <c r="L113" s="33">
        <f t="shared" si="11"/>
        <v>21224.574</v>
      </c>
      <c r="M113" s="33">
        <f t="shared" si="11"/>
        <v>20518.521</v>
      </c>
      <c r="N113" s="33">
        <f t="shared" si="11"/>
        <v>18881.013</v>
      </c>
      <c r="O113" s="34">
        <f t="shared" si="10"/>
        <v>267561.124</v>
      </c>
      <c r="R113" s="22">
        <v>10326</v>
      </c>
      <c r="S113" s="22" t="s">
        <v>98</v>
      </c>
      <c r="T113" s="23">
        <v>0.0043124</v>
      </c>
      <c r="U113" s="23">
        <v>0.0043124</v>
      </c>
      <c r="V113" s="23">
        <v>0.0043124</v>
      </c>
      <c r="W113" s="23">
        <v>0.0043124</v>
      </c>
      <c r="X113" s="23">
        <v>0</v>
      </c>
      <c r="Y113" s="23">
        <v>0</v>
      </c>
      <c r="Z113" s="24">
        <v>30.46</v>
      </c>
      <c r="AA113" s="24">
        <v>30.46</v>
      </c>
      <c r="AB113" s="24">
        <v>30.46</v>
      </c>
      <c r="AC113" s="75">
        <v>0</v>
      </c>
      <c r="AD113" s="40">
        <v>0</v>
      </c>
      <c r="AE113" s="77"/>
    </row>
    <row r="114" spans="1:31" ht="15">
      <c r="A114" s="22">
        <v>10331</v>
      </c>
      <c r="B114" s="22" t="s">
        <v>99</v>
      </c>
      <c r="C114" s="33">
        <f t="shared" si="9"/>
        <v>21119.753</v>
      </c>
      <c r="D114" s="33">
        <f t="shared" si="11"/>
        <v>26934.65</v>
      </c>
      <c r="E114" s="33">
        <f t="shared" si="11"/>
        <v>29067.817</v>
      </c>
      <c r="F114" s="33">
        <f t="shared" si="11"/>
        <v>30205.955</v>
      </c>
      <c r="G114" s="33">
        <f t="shared" si="11"/>
        <v>25981.147</v>
      </c>
      <c r="H114" s="33">
        <f t="shared" si="11"/>
        <v>28366.269</v>
      </c>
      <c r="I114" s="33">
        <f t="shared" si="11"/>
        <v>22390.39</v>
      </c>
      <c r="J114" s="33">
        <f t="shared" si="11"/>
        <v>27778.278</v>
      </c>
      <c r="K114" s="33">
        <f t="shared" si="11"/>
        <v>28380.998</v>
      </c>
      <c r="L114" s="33">
        <f t="shared" si="11"/>
        <v>24638.795</v>
      </c>
      <c r="M114" s="33">
        <f t="shared" si="11"/>
        <v>23819.165</v>
      </c>
      <c r="N114" s="33">
        <f t="shared" si="11"/>
        <v>21918.244</v>
      </c>
      <c r="O114" s="34">
        <f t="shared" si="10"/>
        <v>310601.461</v>
      </c>
      <c r="R114" s="22">
        <v>10331</v>
      </c>
      <c r="S114" s="22" t="s">
        <v>99</v>
      </c>
      <c r="T114" s="23">
        <v>0.0050061</v>
      </c>
      <c r="U114" s="23">
        <v>0.0050129</v>
      </c>
      <c r="V114" s="23">
        <v>0.0050061</v>
      </c>
      <c r="W114" s="23">
        <v>0.0050129</v>
      </c>
      <c r="X114" s="23">
        <v>0</v>
      </c>
      <c r="Y114" s="23">
        <v>0</v>
      </c>
      <c r="Z114" s="24">
        <v>36.602</v>
      </c>
      <c r="AA114" s="24">
        <v>35.36</v>
      </c>
      <c r="AB114" s="24">
        <v>35.408</v>
      </c>
      <c r="AC114" s="79">
        <v>0.07</v>
      </c>
      <c r="AD114" s="40">
        <v>1</v>
      </c>
      <c r="AE114" s="77"/>
    </row>
    <row r="115" spans="1:31" ht="15">
      <c r="A115" s="22">
        <v>10333</v>
      </c>
      <c r="B115" s="22" t="s">
        <v>100</v>
      </c>
      <c r="C115" s="33">
        <f t="shared" si="9"/>
        <v>11058.751</v>
      </c>
      <c r="D115" s="33">
        <f t="shared" si="11"/>
        <v>14103.554</v>
      </c>
      <c r="E115" s="33">
        <f t="shared" si="11"/>
        <v>15220.524</v>
      </c>
      <c r="F115" s="33">
        <f t="shared" si="11"/>
        <v>15816.478000000001</v>
      </c>
      <c r="G115" s="33">
        <f t="shared" si="11"/>
        <v>13604.279</v>
      </c>
      <c r="H115" s="33">
        <f t="shared" si="11"/>
        <v>14853.179</v>
      </c>
      <c r="I115" s="33">
        <f t="shared" si="11"/>
        <v>11724.082999999999</v>
      </c>
      <c r="J115" s="33">
        <f t="shared" si="11"/>
        <v>14545.295</v>
      </c>
      <c r="K115" s="33">
        <f t="shared" si="11"/>
        <v>14860.892</v>
      </c>
      <c r="L115" s="33">
        <f t="shared" si="11"/>
        <v>12901.394</v>
      </c>
      <c r="M115" s="33">
        <f t="shared" si="11"/>
        <v>12472.219000000001</v>
      </c>
      <c r="N115" s="33">
        <f t="shared" si="11"/>
        <v>11476.857</v>
      </c>
      <c r="O115" s="34">
        <f t="shared" si="10"/>
        <v>162637.505</v>
      </c>
      <c r="R115" s="22">
        <v>10333</v>
      </c>
      <c r="S115" s="22" t="s">
        <v>100</v>
      </c>
      <c r="T115" s="23">
        <v>0.0026213</v>
      </c>
      <c r="U115" s="23">
        <v>0.0026213</v>
      </c>
      <c r="V115" s="23">
        <v>0.0026213</v>
      </c>
      <c r="W115" s="23">
        <v>0.0026213</v>
      </c>
      <c r="X115" s="23">
        <v>0</v>
      </c>
      <c r="Y115" s="23">
        <v>0</v>
      </c>
      <c r="Z115" s="24">
        <v>18.515</v>
      </c>
      <c r="AA115" s="24">
        <v>18.515</v>
      </c>
      <c r="AB115" s="24">
        <v>18.515</v>
      </c>
      <c r="AC115" s="79">
        <v>0.07065</v>
      </c>
      <c r="AD115" s="40">
        <v>1</v>
      </c>
      <c r="AE115" s="77"/>
    </row>
    <row r="116" spans="1:31" ht="15">
      <c r="A116" s="22">
        <v>10338</v>
      </c>
      <c r="B116" s="22" t="s">
        <v>101</v>
      </c>
      <c r="C116" s="33">
        <f t="shared" si="9"/>
        <v>1417.518</v>
      </c>
      <c r="D116" s="33">
        <f t="shared" si="11"/>
        <v>1807.8029999999999</v>
      </c>
      <c r="E116" s="33">
        <f t="shared" si="11"/>
        <v>1950.977</v>
      </c>
      <c r="F116" s="33">
        <f t="shared" si="11"/>
        <v>2027.366</v>
      </c>
      <c r="G116" s="33">
        <f t="shared" si="11"/>
        <v>1743.806</v>
      </c>
      <c r="H116" s="33">
        <f t="shared" si="11"/>
        <v>1903.891</v>
      </c>
      <c r="I116" s="33">
        <f t="shared" si="11"/>
        <v>1502.801</v>
      </c>
      <c r="J116" s="33">
        <f aca="true" t="shared" si="12" ref="D116:N139">ROUND(J$3*$V116,3)+ROUND(J$4*$V116,3)</f>
        <v>1864.4250000000002</v>
      </c>
      <c r="K116" s="33">
        <f t="shared" si="12"/>
        <v>1904.879</v>
      </c>
      <c r="L116" s="33">
        <f t="shared" si="12"/>
        <v>1653.71</v>
      </c>
      <c r="M116" s="33">
        <f t="shared" si="12"/>
        <v>1598.6970000000001</v>
      </c>
      <c r="N116" s="33">
        <f t="shared" si="12"/>
        <v>1471.1109999999999</v>
      </c>
      <c r="O116" s="34">
        <f t="shared" si="10"/>
        <v>20846.984</v>
      </c>
      <c r="R116" s="22">
        <v>10338</v>
      </c>
      <c r="S116" s="22" t="s">
        <v>101</v>
      </c>
      <c r="T116" s="23">
        <v>0.000336</v>
      </c>
      <c r="U116" s="23">
        <v>0.000336</v>
      </c>
      <c r="V116" s="23">
        <v>0.000336</v>
      </c>
      <c r="W116" s="23">
        <v>0.000336</v>
      </c>
      <c r="X116" s="23">
        <v>0</v>
      </c>
      <c r="Y116" s="23">
        <v>0</v>
      </c>
      <c r="Z116" s="24">
        <v>2.373</v>
      </c>
      <c r="AA116" s="24">
        <v>2.373</v>
      </c>
      <c r="AB116" s="24">
        <v>2.373</v>
      </c>
      <c r="AC116" s="79">
        <v>0.03483</v>
      </c>
      <c r="AD116" s="40">
        <v>0</v>
      </c>
      <c r="AE116" s="77"/>
    </row>
    <row r="117" spans="1:31" ht="15">
      <c r="A117" s="22">
        <v>10342</v>
      </c>
      <c r="B117" s="22" t="s">
        <v>102</v>
      </c>
      <c r="C117" s="33">
        <f t="shared" si="9"/>
        <v>22826.260000000002</v>
      </c>
      <c r="D117" s="33">
        <f t="shared" si="12"/>
        <v>29111.008</v>
      </c>
      <c r="E117" s="33">
        <f t="shared" si="12"/>
        <v>31416.536999999997</v>
      </c>
      <c r="F117" s="33">
        <f t="shared" si="12"/>
        <v>32646.64</v>
      </c>
      <c r="G117" s="33">
        <f t="shared" si="12"/>
        <v>28080.462</v>
      </c>
      <c r="H117" s="33">
        <f t="shared" si="12"/>
        <v>30658.304000000004</v>
      </c>
      <c r="I117" s="33">
        <f t="shared" si="12"/>
        <v>24199.565000000002</v>
      </c>
      <c r="J117" s="33">
        <f t="shared" si="12"/>
        <v>30022.802</v>
      </c>
      <c r="K117" s="33">
        <f t="shared" si="12"/>
        <v>30674.222999999998</v>
      </c>
      <c r="L117" s="33">
        <f t="shared" si="12"/>
        <v>26629.644</v>
      </c>
      <c r="M117" s="33">
        <f t="shared" si="12"/>
        <v>25743.788</v>
      </c>
      <c r="N117" s="33">
        <f t="shared" si="12"/>
        <v>23689.27</v>
      </c>
      <c r="O117" s="34">
        <f t="shared" si="10"/>
        <v>335698.503</v>
      </c>
      <c r="R117" s="22">
        <v>10342</v>
      </c>
      <c r="S117" s="22" t="s">
        <v>102</v>
      </c>
      <c r="T117" s="23">
        <v>0.0054106</v>
      </c>
      <c r="U117" s="23">
        <v>0.0054269</v>
      </c>
      <c r="V117" s="23">
        <v>0.0054106</v>
      </c>
      <c r="W117" s="23">
        <v>0.0054269</v>
      </c>
      <c r="X117" s="23">
        <v>0</v>
      </c>
      <c r="Y117" s="23">
        <v>0</v>
      </c>
      <c r="Z117" s="24">
        <v>38.691</v>
      </c>
      <c r="AA117" s="24">
        <v>38.217</v>
      </c>
      <c r="AB117" s="24">
        <v>38.332</v>
      </c>
      <c r="AC117" s="75">
        <v>0</v>
      </c>
      <c r="AD117" s="40">
        <v>0</v>
      </c>
      <c r="AE117" s="77"/>
    </row>
    <row r="118" spans="1:31" ht="15">
      <c r="A118" s="22">
        <v>10343</v>
      </c>
      <c r="B118" s="22" t="s">
        <v>103</v>
      </c>
      <c r="C118" s="33">
        <f t="shared" si="9"/>
        <v>7142.857</v>
      </c>
      <c r="D118" s="33">
        <f t="shared" si="12"/>
        <v>9109.497</v>
      </c>
      <c r="E118" s="33">
        <f t="shared" si="12"/>
        <v>9830.95</v>
      </c>
      <c r="F118" s="33">
        <f t="shared" si="12"/>
        <v>10215.877</v>
      </c>
      <c r="G118" s="33">
        <f t="shared" si="12"/>
        <v>8787.016</v>
      </c>
      <c r="H118" s="33">
        <f t="shared" si="12"/>
        <v>9593.682</v>
      </c>
      <c r="I118" s="33">
        <f t="shared" si="12"/>
        <v>7572.595</v>
      </c>
      <c r="J118" s="33">
        <f t="shared" si="12"/>
        <v>9394.819</v>
      </c>
      <c r="K118" s="33">
        <f t="shared" si="12"/>
        <v>9598.663</v>
      </c>
      <c r="L118" s="33">
        <f t="shared" si="12"/>
        <v>8333.022</v>
      </c>
      <c r="M118" s="33">
        <f t="shared" si="12"/>
        <v>8055.817999999999</v>
      </c>
      <c r="N118" s="33">
        <f t="shared" si="12"/>
        <v>7412.912</v>
      </c>
      <c r="O118" s="34">
        <f t="shared" si="10"/>
        <v>105047.708</v>
      </c>
      <c r="R118" s="22">
        <v>10343</v>
      </c>
      <c r="S118" s="22" t="s">
        <v>103</v>
      </c>
      <c r="T118" s="23">
        <v>0.0016931</v>
      </c>
      <c r="U118" s="23">
        <v>0.0021423</v>
      </c>
      <c r="V118" s="23">
        <v>0.0016931</v>
      </c>
      <c r="W118" s="23">
        <v>0.0021423</v>
      </c>
      <c r="X118" s="23">
        <v>0</v>
      </c>
      <c r="Y118" s="23">
        <v>0</v>
      </c>
      <c r="Z118" s="24">
        <v>31.389</v>
      </c>
      <c r="AA118" s="24">
        <v>11.959</v>
      </c>
      <c r="AB118" s="24">
        <v>15.132</v>
      </c>
      <c r="AC118" s="79">
        <v>0.07</v>
      </c>
      <c r="AD118" s="40">
        <v>0</v>
      </c>
      <c r="AE118" s="77"/>
    </row>
    <row r="119" spans="1:31" ht="15">
      <c r="A119" s="22">
        <v>10349</v>
      </c>
      <c r="B119" s="22" t="s">
        <v>104</v>
      </c>
      <c r="C119" s="33">
        <f t="shared" si="9"/>
        <v>293660.804</v>
      </c>
      <c r="D119" s="33">
        <f t="shared" si="12"/>
        <v>374514.36100000003</v>
      </c>
      <c r="E119" s="33">
        <f t="shared" si="12"/>
        <v>404175.098</v>
      </c>
      <c r="F119" s="33">
        <f t="shared" si="12"/>
        <v>420000.408</v>
      </c>
      <c r="G119" s="33">
        <f t="shared" si="12"/>
        <v>361256.333</v>
      </c>
      <c r="H119" s="33">
        <f t="shared" si="12"/>
        <v>394420.391</v>
      </c>
      <c r="I119" s="33">
        <f t="shared" si="12"/>
        <v>311328.431</v>
      </c>
      <c r="J119" s="33">
        <f t="shared" si="12"/>
        <v>386244.637</v>
      </c>
      <c r="K119" s="33">
        <f t="shared" si="12"/>
        <v>394625.18200000003</v>
      </c>
      <c r="L119" s="33">
        <f t="shared" si="12"/>
        <v>342591.511</v>
      </c>
      <c r="M119" s="33">
        <f t="shared" si="12"/>
        <v>331194.927</v>
      </c>
      <c r="N119" s="33">
        <f t="shared" si="12"/>
        <v>304763.468</v>
      </c>
      <c r="O119" s="34">
        <f t="shared" si="10"/>
        <v>4318775.551</v>
      </c>
      <c r="R119" s="22">
        <v>10349</v>
      </c>
      <c r="S119" s="22" t="s">
        <v>104</v>
      </c>
      <c r="T119" s="23">
        <v>0.0696076</v>
      </c>
      <c r="U119" s="23">
        <v>0.0649894</v>
      </c>
      <c r="V119" s="23">
        <v>0.0696076</v>
      </c>
      <c r="W119" s="23">
        <v>0.0649894</v>
      </c>
      <c r="X119" s="23">
        <v>0</v>
      </c>
      <c r="Y119" s="23">
        <v>0</v>
      </c>
      <c r="Z119" s="24">
        <v>523.911</v>
      </c>
      <c r="AA119" s="24">
        <v>491.664</v>
      </c>
      <c r="AB119" s="24">
        <v>459.044</v>
      </c>
      <c r="AC119" s="75">
        <v>0</v>
      </c>
      <c r="AD119" s="40">
        <v>0</v>
      </c>
      <c r="AE119" s="77"/>
    </row>
    <row r="120" spans="1:31" ht="15">
      <c r="A120" s="22">
        <v>10352</v>
      </c>
      <c r="B120" s="22" t="s">
        <v>105</v>
      </c>
      <c r="C120" s="33">
        <f t="shared" si="9"/>
        <v>9487.667</v>
      </c>
      <c r="D120" s="33">
        <f t="shared" si="12"/>
        <v>12099.905</v>
      </c>
      <c r="E120" s="33">
        <f t="shared" si="12"/>
        <v>13058.190999999999</v>
      </c>
      <c r="F120" s="33">
        <f t="shared" si="12"/>
        <v>13569.48</v>
      </c>
      <c r="G120" s="33">
        <f t="shared" si="12"/>
        <v>11671.562</v>
      </c>
      <c r="H120" s="33">
        <f t="shared" si="12"/>
        <v>12743.034</v>
      </c>
      <c r="I120" s="33">
        <f t="shared" si="12"/>
        <v>10058.478</v>
      </c>
      <c r="J120" s="33">
        <f t="shared" si="12"/>
        <v>12478.89</v>
      </c>
      <c r="K120" s="33">
        <f t="shared" si="12"/>
        <v>12749.651</v>
      </c>
      <c r="L120" s="33">
        <f t="shared" si="12"/>
        <v>11068.534</v>
      </c>
      <c r="M120" s="33">
        <f t="shared" si="12"/>
        <v>10700.33</v>
      </c>
      <c r="N120" s="33">
        <f t="shared" si="12"/>
        <v>9846.376</v>
      </c>
      <c r="O120" s="34">
        <f t="shared" si="10"/>
        <v>139532.098</v>
      </c>
      <c r="R120" s="22">
        <v>10352</v>
      </c>
      <c r="S120" s="22" t="s">
        <v>105</v>
      </c>
      <c r="T120" s="23">
        <v>0.0022489</v>
      </c>
      <c r="U120" s="23">
        <v>0.002252</v>
      </c>
      <c r="V120" s="23">
        <v>0.0022489</v>
      </c>
      <c r="W120" s="23">
        <v>0.002252</v>
      </c>
      <c r="X120" s="23">
        <v>0</v>
      </c>
      <c r="Y120" s="23">
        <v>0</v>
      </c>
      <c r="Z120" s="24">
        <v>15.907</v>
      </c>
      <c r="AA120" s="24">
        <v>15.885</v>
      </c>
      <c r="AB120" s="24">
        <v>15.907</v>
      </c>
      <c r="AC120" s="79">
        <v>0.05</v>
      </c>
      <c r="AD120" s="40">
        <v>0</v>
      </c>
      <c r="AE120" s="77"/>
    </row>
    <row r="121" spans="1:31" ht="15">
      <c r="A121" s="22">
        <v>10354</v>
      </c>
      <c r="B121" s="22" t="s">
        <v>106</v>
      </c>
      <c r="C121" s="33">
        <f t="shared" si="9"/>
        <v>222463.007</v>
      </c>
      <c r="D121" s="33">
        <f t="shared" si="12"/>
        <v>283713.692</v>
      </c>
      <c r="E121" s="33">
        <f t="shared" si="12"/>
        <v>306183.20900000003</v>
      </c>
      <c r="F121" s="33">
        <f t="shared" si="12"/>
        <v>318171.687</v>
      </c>
      <c r="G121" s="33">
        <f t="shared" si="12"/>
        <v>273670.06</v>
      </c>
      <c r="H121" s="33">
        <f t="shared" si="12"/>
        <v>298793.522</v>
      </c>
      <c r="I121" s="33">
        <f t="shared" si="12"/>
        <v>235847.13199999998</v>
      </c>
      <c r="J121" s="33">
        <f t="shared" si="12"/>
        <v>292599.973</v>
      </c>
      <c r="K121" s="33">
        <f t="shared" si="12"/>
        <v>298948.662</v>
      </c>
      <c r="L121" s="33">
        <f t="shared" si="12"/>
        <v>259530.50699999998</v>
      </c>
      <c r="M121" s="33">
        <f t="shared" si="12"/>
        <v>250897.016</v>
      </c>
      <c r="N121" s="33">
        <f t="shared" si="12"/>
        <v>230873.84</v>
      </c>
      <c r="O121" s="34">
        <f t="shared" si="10"/>
        <v>3271692.307</v>
      </c>
      <c r="R121" s="22">
        <v>10354</v>
      </c>
      <c r="S121" s="22" t="s">
        <v>106</v>
      </c>
      <c r="T121" s="23">
        <v>0.1070835</v>
      </c>
      <c r="U121" s="23">
        <v>0.1046635</v>
      </c>
      <c r="V121" s="23">
        <v>0.052731299999999995</v>
      </c>
      <c r="W121" s="23">
        <v>0.0503113</v>
      </c>
      <c r="X121" s="23">
        <v>0.0543522</v>
      </c>
      <c r="Y121" s="23">
        <v>0.0543522</v>
      </c>
      <c r="Z121" s="24">
        <v>799.07</v>
      </c>
      <c r="AA121" s="24">
        <v>756.37</v>
      </c>
      <c r="AB121" s="24">
        <v>739.277</v>
      </c>
      <c r="AC121" s="75">
        <v>0</v>
      </c>
      <c r="AD121" s="40">
        <v>0</v>
      </c>
      <c r="AE121" s="77"/>
    </row>
    <row r="122" spans="1:31" ht="15">
      <c r="A122" s="22">
        <v>10360</v>
      </c>
      <c r="B122" s="22" t="s">
        <v>165</v>
      </c>
      <c r="C122" s="33">
        <f t="shared" si="9"/>
        <v>4040.7700000000004</v>
      </c>
      <c r="D122" s="33">
        <f t="shared" si="12"/>
        <v>5153.3150000000005</v>
      </c>
      <c r="E122" s="33">
        <f t="shared" si="12"/>
        <v>5561.446</v>
      </c>
      <c r="F122" s="33">
        <f t="shared" si="12"/>
        <v>5779.2029999999995</v>
      </c>
      <c r="G122" s="33">
        <f t="shared" si="12"/>
        <v>4970.884</v>
      </c>
      <c r="H122" s="33">
        <f t="shared" si="12"/>
        <v>5427.222</v>
      </c>
      <c r="I122" s="33">
        <f t="shared" si="12"/>
        <v>4283.876</v>
      </c>
      <c r="J122" s="33">
        <f t="shared" si="12"/>
        <v>5314.723</v>
      </c>
      <c r="K122" s="33">
        <f t="shared" si="12"/>
        <v>5430.04</v>
      </c>
      <c r="L122" s="33">
        <f t="shared" si="12"/>
        <v>4714.0560000000005</v>
      </c>
      <c r="M122" s="33">
        <f t="shared" si="12"/>
        <v>4557.239</v>
      </c>
      <c r="N122" s="33">
        <f t="shared" si="12"/>
        <v>4193.543</v>
      </c>
      <c r="O122" s="34">
        <f t="shared" si="10"/>
        <v>59426.317</v>
      </c>
      <c r="R122" s="22">
        <v>10360</v>
      </c>
      <c r="S122" s="22" t="s">
        <v>165</v>
      </c>
      <c r="T122" s="23">
        <v>0.0009578</v>
      </c>
      <c r="U122" s="23">
        <v>0.0009578</v>
      </c>
      <c r="V122" s="23">
        <v>0.0009578</v>
      </c>
      <c r="W122" s="23">
        <v>0.0009578</v>
      </c>
      <c r="X122" s="23">
        <v>0</v>
      </c>
      <c r="Y122" s="23">
        <v>0</v>
      </c>
      <c r="Z122" s="24">
        <v>6.765</v>
      </c>
      <c r="AA122" s="24">
        <v>6.765</v>
      </c>
      <c r="AB122" s="24">
        <v>6.765</v>
      </c>
      <c r="AC122" s="79">
        <v>0.05664</v>
      </c>
      <c r="AD122" s="40">
        <v>0</v>
      </c>
      <c r="AE122" s="77"/>
    </row>
    <row r="123" spans="1:31" ht="15">
      <c r="A123" s="22">
        <v>10363</v>
      </c>
      <c r="B123" s="22" t="s">
        <v>107</v>
      </c>
      <c r="C123" s="33">
        <f t="shared" si="9"/>
        <v>54382.49</v>
      </c>
      <c r="D123" s="33">
        <f t="shared" si="12"/>
        <v>69355.607</v>
      </c>
      <c r="E123" s="33">
        <f t="shared" si="12"/>
        <v>74848.42300000001</v>
      </c>
      <c r="F123" s="33">
        <f t="shared" si="12"/>
        <v>77779.082</v>
      </c>
      <c r="G123" s="33">
        <f t="shared" si="12"/>
        <v>66900.378</v>
      </c>
      <c r="H123" s="33">
        <f t="shared" si="12"/>
        <v>73041.967</v>
      </c>
      <c r="I123" s="33">
        <f t="shared" si="12"/>
        <v>57654.324</v>
      </c>
      <c r="J123" s="33">
        <f t="shared" si="12"/>
        <v>71527.915</v>
      </c>
      <c r="K123" s="33">
        <f t="shared" si="12"/>
        <v>73079.89199999999</v>
      </c>
      <c r="L123" s="33">
        <f t="shared" si="12"/>
        <v>63443.875</v>
      </c>
      <c r="M123" s="33">
        <f t="shared" si="12"/>
        <v>61333.363</v>
      </c>
      <c r="N123" s="33">
        <f t="shared" si="12"/>
        <v>56438.570999999996</v>
      </c>
      <c r="O123" s="34">
        <f t="shared" si="10"/>
        <v>799785.887</v>
      </c>
      <c r="R123" s="22">
        <v>10363</v>
      </c>
      <c r="S123" s="22" t="s">
        <v>107</v>
      </c>
      <c r="T123" s="23">
        <v>0.0128905</v>
      </c>
      <c r="U123" s="23">
        <v>0.0129166</v>
      </c>
      <c r="V123" s="23">
        <v>0.0128905</v>
      </c>
      <c r="W123" s="23">
        <v>0.0129166</v>
      </c>
      <c r="X123" s="23">
        <v>0</v>
      </c>
      <c r="Y123" s="23">
        <v>0</v>
      </c>
      <c r="Z123" s="24">
        <v>100.706</v>
      </c>
      <c r="AA123" s="24">
        <v>91.05</v>
      </c>
      <c r="AB123" s="24">
        <v>91.235</v>
      </c>
      <c r="AC123" s="75">
        <v>0</v>
      </c>
      <c r="AD123" s="40">
        <v>0</v>
      </c>
      <c r="AE123" s="77"/>
    </row>
    <row r="124" spans="1:31" ht="15">
      <c r="A124" s="22">
        <v>10369</v>
      </c>
      <c r="B124" s="22" t="s">
        <v>108</v>
      </c>
      <c r="C124" s="33">
        <f t="shared" si="9"/>
        <v>9814.625</v>
      </c>
      <c r="D124" s="33">
        <f t="shared" si="12"/>
        <v>12516.883</v>
      </c>
      <c r="E124" s="33">
        <f t="shared" si="12"/>
        <v>13508.194</v>
      </c>
      <c r="F124" s="33">
        <f t="shared" si="12"/>
        <v>14037.100999999999</v>
      </c>
      <c r="G124" s="33">
        <f t="shared" si="12"/>
        <v>12073.777999999998</v>
      </c>
      <c r="H124" s="33">
        <f t="shared" si="12"/>
        <v>13182.176</v>
      </c>
      <c r="I124" s="33">
        <f t="shared" si="12"/>
        <v>10405.106</v>
      </c>
      <c r="J124" s="33">
        <f t="shared" si="12"/>
        <v>12908.929</v>
      </c>
      <c r="K124" s="33">
        <f t="shared" si="12"/>
        <v>13189.019</v>
      </c>
      <c r="L124" s="33">
        <f t="shared" si="12"/>
        <v>11449.970000000001</v>
      </c>
      <c r="M124" s="33">
        <f t="shared" si="12"/>
        <v>11069.077000000001</v>
      </c>
      <c r="N124" s="33">
        <f t="shared" si="12"/>
        <v>10185.694</v>
      </c>
      <c r="O124" s="34">
        <f t="shared" si="10"/>
        <v>144340.552</v>
      </c>
      <c r="R124" s="22">
        <v>10369</v>
      </c>
      <c r="S124" s="22" t="s">
        <v>108</v>
      </c>
      <c r="T124" s="23">
        <v>0.0023264</v>
      </c>
      <c r="U124" s="23">
        <v>0.0023264</v>
      </c>
      <c r="V124" s="23">
        <v>0.0023264</v>
      </c>
      <c r="W124" s="23">
        <v>0.0023264</v>
      </c>
      <c r="X124" s="23">
        <v>0</v>
      </c>
      <c r="Y124" s="23">
        <v>0</v>
      </c>
      <c r="Z124" s="24">
        <v>16.432</v>
      </c>
      <c r="AA124" s="24">
        <v>16.432</v>
      </c>
      <c r="AB124" s="24">
        <v>16.432</v>
      </c>
      <c r="AC124" s="79">
        <v>0.07829</v>
      </c>
      <c r="AD124" s="40">
        <v>0</v>
      </c>
      <c r="AE124" s="77"/>
    </row>
    <row r="125" spans="1:31" ht="15">
      <c r="A125" s="22">
        <v>10370</v>
      </c>
      <c r="B125" s="22" t="s">
        <v>109</v>
      </c>
      <c r="C125" s="33">
        <f t="shared" si="9"/>
        <v>82792.336</v>
      </c>
      <c r="D125" s="33">
        <f t="shared" si="12"/>
        <v>105587.53</v>
      </c>
      <c r="E125" s="33">
        <f t="shared" si="12"/>
        <v>113949.836</v>
      </c>
      <c r="F125" s="33">
        <f t="shared" si="12"/>
        <v>118411.49600000001</v>
      </c>
      <c r="G125" s="33">
        <f t="shared" si="12"/>
        <v>101849.669</v>
      </c>
      <c r="H125" s="33">
        <f t="shared" si="12"/>
        <v>111199.674</v>
      </c>
      <c r="I125" s="33">
        <f t="shared" si="12"/>
        <v>87773.40299999999</v>
      </c>
      <c r="J125" s="33">
        <f t="shared" si="12"/>
        <v>108894.668</v>
      </c>
      <c r="K125" s="33">
        <f t="shared" si="12"/>
        <v>111257.411</v>
      </c>
      <c r="L125" s="33">
        <f t="shared" si="12"/>
        <v>96587.462</v>
      </c>
      <c r="M125" s="33">
        <f t="shared" si="12"/>
        <v>93374.401</v>
      </c>
      <c r="N125" s="33">
        <f t="shared" si="12"/>
        <v>85922.531</v>
      </c>
      <c r="O125" s="34">
        <f t="shared" si="10"/>
        <v>1217600.417</v>
      </c>
      <c r="R125" s="22">
        <v>10370</v>
      </c>
      <c r="S125" s="22" t="s">
        <v>109</v>
      </c>
      <c r="T125" s="23">
        <v>0.0492294</v>
      </c>
      <c r="U125" s="23">
        <v>0.0519901</v>
      </c>
      <c r="V125" s="23">
        <v>0.0196246</v>
      </c>
      <c r="W125" s="23">
        <v>0.022385299999999997</v>
      </c>
      <c r="X125" s="23">
        <v>0.0296048</v>
      </c>
      <c r="Y125" s="23">
        <v>0.0296048</v>
      </c>
      <c r="Z125" s="24">
        <v>402.39</v>
      </c>
      <c r="AA125" s="24">
        <v>347.725</v>
      </c>
      <c r="AB125" s="24">
        <v>367.225</v>
      </c>
      <c r="AC125" s="75">
        <v>0</v>
      </c>
      <c r="AD125" s="40">
        <v>0</v>
      </c>
      <c r="AE125" s="77"/>
    </row>
    <row r="126" spans="1:31" ht="15">
      <c r="A126" s="22">
        <v>10371</v>
      </c>
      <c r="B126" s="22" t="s">
        <v>110</v>
      </c>
      <c r="C126" s="33">
        <f t="shared" si="9"/>
        <v>6589.349</v>
      </c>
      <c r="D126" s="33">
        <f t="shared" si="12"/>
        <v>8403.594000000001</v>
      </c>
      <c r="E126" s="33">
        <f t="shared" si="12"/>
        <v>9069.141</v>
      </c>
      <c r="F126" s="33">
        <f t="shared" si="12"/>
        <v>9424.239</v>
      </c>
      <c r="G126" s="33">
        <f t="shared" si="12"/>
        <v>8106.102000000001</v>
      </c>
      <c r="H126" s="33">
        <f t="shared" si="12"/>
        <v>8850.258</v>
      </c>
      <c r="I126" s="33">
        <f t="shared" si="12"/>
        <v>6985.787</v>
      </c>
      <c r="J126" s="33">
        <f t="shared" si="12"/>
        <v>8666.805</v>
      </c>
      <c r="K126" s="33">
        <f t="shared" si="12"/>
        <v>8854.853</v>
      </c>
      <c r="L126" s="33">
        <f t="shared" si="12"/>
        <v>7687.2880000000005</v>
      </c>
      <c r="M126" s="33">
        <f t="shared" si="12"/>
        <v>7431.564</v>
      </c>
      <c r="N126" s="33">
        <f t="shared" si="12"/>
        <v>6838.478</v>
      </c>
      <c r="O126" s="34">
        <f t="shared" si="10"/>
        <v>96907.458</v>
      </c>
      <c r="R126" s="22">
        <v>10371</v>
      </c>
      <c r="S126" s="22" t="s">
        <v>110</v>
      </c>
      <c r="T126" s="23">
        <v>0.0015619</v>
      </c>
      <c r="U126" s="23">
        <v>0.0015619</v>
      </c>
      <c r="V126" s="23">
        <v>0.0015619</v>
      </c>
      <c r="W126" s="23">
        <v>0.0015619</v>
      </c>
      <c r="X126" s="23">
        <v>0</v>
      </c>
      <c r="Y126" s="23">
        <v>0</v>
      </c>
      <c r="Z126" s="24">
        <v>11.032</v>
      </c>
      <c r="AA126" s="24">
        <v>11.032</v>
      </c>
      <c r="AB126" s="24">
        <v>11.032</v>
      </c>
      <c r="AC126" s="75">
        <v>0</v>
      </c>
      <c r="AD126" s="40">
        <v>0</v>
      </c>
      <c r="AE126" s="77"/>
    </row>
    <row r="127" spans="1:31" ht="15">
      <c r="A127" s="22">
        <v>10376</v>
      </c>
      <c r="B127" s="22" t="s">
        <v>111</v>
      </c>
      <c r="C127" s="33">
        <f t="shared" si="9"/>
        <v>33464.817</v>
      </c>
      <c r="D127" s="33">
        <f t="shared" si="12"/>
        <v>42678.676999999996</v>
      </c>
      <c r="E127" s="33">
        <f t="shared" si="12"/>
        <v>46058.736999999994</v>
      </c>
      <c r="F127" s="33">
        <f t="shared" si="12"/>
        <v>47862.147</v>
      </c>
      <c r="G127" s="33">
        <f t="shared" si="12"/>
        <v>41167.826</v>
      </c>
      <c r="H127" s="33">
        <f t="shared" si="12"/>
        <v>44947.115000000005</v>
      </c>
      <c r="I127" s="33">
        <f t="shared" si="12"/>
        <v>35478.173</v>
      </c>
      <c r="J127" s="33">
        <f t="shared" si="12"/>
        <v>44015.429000000004</v>
      </c>
      <c r="K127" s="33">
        <f t="shared" si="12"/>
        <v>44970.454</v>
      </c>
      <c r="L127" s="33">
        <f t="shared" si="12"/>
        <v>39040.832</v>
      </c>
      <c r="M127" s="33">
        <f t="shared" si="12"/>
        <v>37742.107</v>
      </c>
      <c r="N127" s="33">
        <f t="shared" si="12"/>
        <v>34730.047999999995</v>
      </c>
      <c r="O127" s="34">
        <f t="shared" si="10"/>
        <v>492156.362</v>
      </c>
      <c r="R127" s="22">
        <v>10376</v>
      </c>
      <c r="S127" s="22" t="s">
        <v>111</v>
      </c>
      <c r="T127" s="23">
        <v>0.0079323</v>
      </c>
      <c r="U127" s="23">
        <v>0.0079323</v>
      </c>
      <c r="V127" s="23">
        <v>0.0079323</v>
      </c>
      <c r="W127" s="23">
        <v>0.0079323</v>
      </c>
      <c r="X127" s="23">
        <v>0</v>
      </c>
      <c r="Y127" s="23">
        <v>0</v>
      </c>
      <c r="Z127" s="24">
        <v>56.029</v>
      </c>
      <c r="AA127" s="24">
        <v>56.029</v>
      </c>
      <c r="AB127" s="24">
        <v>56.029</v>
      </c>
      <c r="AC127" s="75">
        <v>0</v>
      </c>
      <c r="AD127" s="40">
        <v>0</v>
      </c>
      <c r="AE127" s="77"/>
    </row>
    <row r="128" spans="1:31" ht="15">
      <c r="A128" s="22">
        <v>10378</v>
      </c>
      <c r="B128" s="22" t="s">
        <v>112</v>
      </c>
      <c r="C128" s="33">
        <f t="shared" si="9"/>
        <v>1207</v>
      </c>
      <c r="D128" s="33">
        <f t="shared" si="12"/>
        <v>1539.3229999999999</v>
      </c>
      <c r="E128" s="33">
        <f t="shared" si="12"/>
        <v>1661.234</v>
      </c>
      <c r="F128" s="33">
        <f t="shared" si="12"/>
        <v>1726.2779999999998</v>
      </c>
      <c r="G128" s="33">
        <f t="shared" si="12"/>
        <v>1484.83</v>
      </c>
      <c r="H128" s="33">
        <f t="shared" si="12"/>
        <v>1621.14</v>
      </c>
      <c r="I128" s="33">
        <f t="shared" si="12"/>
        <v>1279.617</v>
      </c>
      <c r="J128" s="33">
        <f t="shared" si="12"/>
        <v>1587.536</v>
      </c>
      <c r="K128" s="33">
        <f t="shared" si="12"/>
        <v>1621.982</v>
      </c>
      <c r="L128" s="33">
        <f t="shared" si="12"/>
        <v>1408.114</v>
      </c>
      <c r="M128" s="33">
        <f t="shared" si="12"/>
        <v>1361.272</v>
      </c>
      <c r="N128" s="33">
        <f t="shared" si="12"/>
        <v>1252.634</v>
      </c>
      <c r="O128" s="34">
        <f t="shared" si="10"/>
        <v>17750.96</v>
      </c>
      <c r="R128" s="22">
        <v>10378</v>
      </c>
      <c r="S128" s="22" t="s">
        <v>112</v>
      </c>
      <c r="T128" s="23">
        <v>0.0002861</v>
      </c>
      <c r="U128" s="23">
        <v>0.0002861</v>
      </c>
      <c r="V128" s="23">
        <v>0.0002861</v>
      </c>
      <c r="W128" s="23">
        <v>0.0002861</v>
      </c>
      <c r="X128" s="23">
        <v>0</v>
      </c>
      <c r="Y128" s="23">
        <v>0</v>
      </c>
      <c r="Z128" s="24">
        <v>2.021</v>
      </c>
      <c r="AA128" s="24">
        <v>2.021</v>
      </c>
      <c r="AB128" s="24">
        <v>2.021</v>
      </c>
      <c r="AC128" s="75">
        <v>0</v>
      </c>
      <c r="AD128" s="40">
        <v>0</v>
      </c>
      <c r="AE128" s="77"/>
    </row>
    <row r="129" spans="1:31" ht="15">
      <c r="A129" s="22">
        <v>10379</v>
      </c>
      <c r="B129" s="22" t="s">
        <v>113</v>
      </c>
      <c r="C129" s="33">
        <f t="shared" si="9"/>
        <v>2741.379</v>
      </c>
      <c r="D129" s="33">
        <f t="shared" si="12"/>
        <v>3496.1620000000003</v>
      </c>
      <c r="E129" s="33">
        <f t="shared" si="12"/>
        <v>3773.0510000000004</v>
      </c>
      <c r="F129" s="33">
        <f t="shared" si="12"/>
        <v>3920.782</v>
      </c>
      <c r="G129" s="33">
        <f t="shared" si="12"/>
        <v>3372.395</v>
      </c>
      <c r="H129" s="33">
        <f t="shared" si="12"/>
        <v>3681.9880000000003</v>
      </c>
      <c r="I129" s="33">
        <f t="shared" si="12"/>
        <v>2906.31</v>
      </c>
      <c r="J129" s="33">
        <f t="shared" si="12"/>
        <v>3605.6670000000004</v>
      </c>
      <c r="K129" s="33">
        <f t="shared" si="12"/>
        <v>3683.9</v>
      </c>
      <c r="L129" s="33">
        <f t="shared" si="12"/>
        <v>3198.156</v>
      </c>
      <c r="M129" s="33">
        <f t="shared" si="12"/>
        <v>3091.767</v>
      </c>
      <c r="N129" s="33">
        <f t="shared" si="12"/>
        <v>2845.024</v>
      </c>
      <c r="O129" s="34">
        <f t="shared" si="10"/>
        <v>40316.581000000006</v>
      </c>
      <c r="R129" s="22">
        <v>10379</v>
      </c>
      <c r="S129" s="22" t="s">
        <v>113</v>
      </c>
      <c r="T129" s="23">
        <v>0.0006498</v>
      </c>
      <c r="U129" s="23">
        <v>0.0006528</v>
      </c>
      <c r="V129" s="23">
        <v>0.0006498</v>
      </c>
      <c r="W129" s="23">
        <v>0.0006528</v>
      </c>
      <c r="X129" s="23">
        <v>0</v>
      </c>
      <c r="Y129" s="23">
        <v>0</v>
      </c>
      <c r="Z129" s="24">
        <v>4.808</v>
      </c>
      <c r="AA129" s="24">
        <v>4.59</v>
      </c>
      <c r="AB129" s="24">
        <v>4.611</v>
      </c>
      <c r="AC129" s="75">
        <v>0</v>
      </c>
      <c r="AD129" s="40">
        <v>0</v>
      </c>
      <c r="AE129" s="77"/>
    </row>
    <row r="130" spans="1:31" ht="15">
      <c r="A130" s="22">
        <v>10388</v>
      </c>
      <c r="B130" s="22" t="s">
        <v>114</v>
      </c>
      <c r="C130" s="33">
        <f t="shared" si="9"/>
        <v>67625.737</v>
      </c>
      <c r="D130" s="33">
        <f t="shared" si="12"/>
        <v>86245.114</v>
      </c>
      <c r="E130" s="33">
        <f t="shared" si="12"/>
        <v>93075.543</v>
      </c>
      <c r="F130" s="33">
        <f t="shared" si="12"/>
        <v>96719.87700000001</v>
      </c>
      <c r="G130" s="33">
        <f t="shared" si="12"/>
        <v>83191.986</v>
      </c>
      <c r="H130" s="33">
        <f t="shared" si="12"/>
        <v>90829.178</v>
      </c>
      <c r="I130" s="33">
        <f t="shared" si="12"/>
        <v>71694.33</v>
      </c>
      <c r="J130" s="33">
        <f t="shared" si="12"/>
        <v>88946.42300000001</v>
      </c>
      <c r="K130" s="33">
        <f t="shared" si="12"/>
        <v>90876.33799999999</v>
      </c>
      <c r="L130" s="33">
        <f t="shared" si="12"/>
        <v>78893.754</v>
      </c>
      <c r="M130" s="33">
        <f t="shared" si="12"/>
        <v>76269.29</v>
      </c>
      <c r="N130" s="33">
        <f t="shared" si="12"/>
        <v>70182.516</v>
      </c>
      <c r="O130" s="34">
        <f t="shared" si="10"/>
        <v>994550.0860000001</v>
      </c>
      <c r="R130" s="22">
        <v>10388</v>
      </c>
      <c r="S130" s="22" t="s">
        <v>114</v>
      </c>
      <c r="T130" s="23">
        <v>0.0160296</v>
      </c>
      <c r="U130" s="23">
        <v>0.0160296</v>
      </c>
      <c r="V130" s="23">
        <v>0.0160296</v>
      </c>
      <c r="W130" s="23">
        <v>0.0160296</v>
      </c>
      <c r="X130" s="23">
        <v>0</v>
      </c>
      <c r="Y130" s="23">
        <v>0</v>
      </c>
      <c r="Z130" s="24">
        <v>113.223</v>
      </c>
      <c r="AA130" s="24">
        <v>113.223</v>
      </c>
      <c r="AB130" s="24">
        <v>113.223</v>
      </c>
      <c r="AC130" s="79">
        <v>0.06857</v>
      </c>
      <c r="AD130" s="40">
        <v>0</v>
      </c>
      <c r="AE130" s="77"/>
    </row>
    <row r="131" spans="1:31" ht="15">
      <c r="A131" s="22">
        <v>10391</v>
      </c>
      <c r="B131" s="22" t="s">
        <v>115</v>
      </c>
      <c r="C131" s="33">
        <f t="shared" si="9"/>
        <v>17904.603</v>
      </c>
      <c r="D131" s="33">
        <f t="shared" si="12"/>
        <v>22834.273</v>
      </c>
      <c r="E131" s="33">
        <f t="shared" si="12"/>
        <v>24642.698</v>
      </c>
      <c r="F131" s="33">
        <f t="shared" si="12"/>
        <v>25607.574</v>
      </c>
      <c r="G131" s="33">
        <f t="shared" si="12"/>
        <v>22025.927</v>
      </c>
      <c r="H131" s="33">
        <f t="shared" si="12"/>
        <v>24047.951</v>
      </c>
      <c r="I131" s="33">
        <f t="shared" si="12"/>
        <v>18981.805</v>
      </c>
      <c r="J131" s="33">
        <f t="shared" si="12"/>
        <v>23549.472999999998</v>
      </c>
      <c r="K131" s="33">
        <f t="shared" si="12"/>
        <v>24060.437</v>
      </c>
      <c r="L131" s="33">
        <f t="shared" si="12"/>
        <v>20887.926</v>
      </c>
      <c r="M131" s="33">
        <f t="shared" si="12"/>
        <v>20193.071</v>
      </c>
      <c r="N131" s="33">
        <f t="shared" si="12"/>
        <v>18581.536</v>
      </c>
      <c r="O131" s="34">
        <f t="shared" si="10"/>
        <v>263317.27400000003</v>
      </c>
      <c r="R131" s="22">
        <v>10391</v>
      </c>
      <c r="S131" s="22" t="s">
        <v>115</v>
      </c>
      <c r="T131" s="23">
        <v>0.004244</v>
      </c>
      <c r="U131" s="23">
        <v>0.004244</v>
      </c>
      <c r="V131" s="23">
        <v>0.004244</v>
      </c>
      <c r="W131" s="23">
        <v>0.004244</v>
      </c>
      <c r="X131" s="23">
        <v>0</v>
      </c>
      <c r="Y131" s="23">
        <v>0</v>
      </c>
      <c r="Z131" s="24">
        <v>29.977</v>
      </c>
      <c r="AA131" s="24">
        <v>29.977</v>
      </c>
      <c r="AB131" s="24">
        <v>29.977</v>
      </c>
      <c r="AC131" s="79">
        <v>0.03808</v>
      </c>
      <c r="AD131" s="40">
        <v>0</v>
      </c>
      <c r="AE131" s="77"/>
    </row>
    <row r="132" spans="1:31" ht="15">
      <c r="A132" s="22">
        <v>10406</v>
      </c>
      <c r="B132" s="22" t="s">
        <v>116</v>
      </c>
      <c r="C132" s="33">
        <f t="shared" si="9"/>
        <v>273.378</v>
      </c>
      <c r="D132" s="33">
        <f t="shared" si="12"/>
        <v>348.648</v>
      </c>
      <c r="E132" s="33">
        <f t="shared" si="12"/>
        <v>376.259</v>
      </c>
      <c r="F132" s="33">
        <f t="shared" si="12"/>
        <v>390.992</v>
      </c>
      <c r="G132" s="33">
        <f t="shared" si="12"/>
        <v>336.306</v>
      </c>
      <c r="H132" s="33">
        <f t="shared" si="12"/>
        <v>367.179</v>
      </c>
      <c r="I132" s="33">
        <f t="shared" si="12"/>
        <v>289.826</v>
      </c>
      <c r="J132" s="33">
        <f t="shared" si="12"/>
        <v>359.568</v>
      </c>
      <c r="K132" s="33">
        <f t="shared" si="12"/>
        <v>367.37</v>
      </c>
      <c r="L132" s="33">
        <f t="shared" si="12"/>
        <v>318.93</v>
      </c>
      <c r="M132" s="33">
        <f t="shared" si="12"/>
        <v>308.32</v>
      </c>
      <c r="N132" s="33">
        <f t="shared" si="12"/>
        <v>283.714</v>
      </c>
      <c r="O132" s="34">
        <f t="shared" si="10"/>
        <v>4020.49</v>
      </c>
      <c r="R132" s="22">
        <v>10406</v>
      </c>
      <c r="S132" s="22" t="s">
        <v>116</v>
      </c>
      <c r="T132" s="23">
        <v>6.48E-05</v>
      </c>
      <c r="U132" s="23">
        <v>6.48E-05</v>
      </c>
      <c r="V132" s="23">
        <v>6.48E-05</v>
      </c>
      <c r="W132" s="23">
        <v>6.48E-05</v>
      </c>
      <c r="X132" s="23">
        <v>0</v>
      </c>
      <c r="Y132" s="23">
        <v>0</v>
      </c>
      <c r="Z132" s="24">
        <v>0.458</v>
      </c>
      <c r="AA132" s="24">
        <v>0.458</v>
      </c>
      <c r="AB132" s="24">
        <v>0.458</v>
      </c>
      <c r="AC132" s="75">
        <v>0</v>
      </c>
      <c r="AD132" s="40">
        <v>0</v>
      </c>
      <c r="AE132" s="77"/>
    </row>
    <row r="133" spans="1:31" ht="15">
      <c r="A133" s="22">
        <v>10408</v>
      </c>
      <c r="B133" s="22" t="s">
        <v>117</v>
      </c>
      <c r="C133" s="33">
        <f t="shared" si="9"/>
        <v>912.105</v>
      </c>
      <c r="D133" s="33">
        <f t="shared" si="12"/>
        <v>1163.2350000000001</v>
      </c>
      <c r="E133" s="33">
        <f t="shared" si="12"/>
        <v>1255.361</v>
      </c>
      <c r="F133" s="33">
        <f t="shared" si="12"/>
        <v>1304.5140000000001</v>
      </c>
      <c r="G133" s="33">
        <f t="shared" si="12"/>
        <v>1122.056</v>
      </c>
      <c r="H133" s="33">
        <f t="shared" si="12"/>
        <v>1225.063</v>
      </c>
      <c r="I133" s="33">
        <f t="shared" si="12"/>
        <v>966.981</v>
      </c>
      <c r="J133" s="33">
        <f t="shared" si="12"/>
        <v>1199.6689999999999</v>
      </c>
      <c r="K133" s="33">
        <f t="shared" si="12"/>
        <v>1225.699</v>
      </c>
      <c r="L133" s="33">
        <f t="shared" si="12"/>
        <v>1064.083</v>
      </c>
      <c r="M133" s="33">
        <f t="shared" si="12"/>
        <v>1028.685</v>
      </c>
      <c r="N133" s="33">
        <f t="shared" si="12"/>
        <v>946.59</v>
      </c>
      <c r="O133" s="34">
        <f t="shared" si="10"/>
        <v>13414.041000000001</v>
      </c>
      <c r="R133" s="22">
        <v>10408</v>
      </c>
      <c r="S133" s="22" t="s">
        <v>117</v>
      </c>
      <c r="T133" s="23">
        <v>0.0002162</v>
      </c>
      <c r="U133" s="23">
        <v>0.0002162</v>
      </c>
      <c r="V133" s="23">
        <v>0.0002162</v>
      </c>
      <c r="W133" s="23">
        <v>0.0002162</v>
      </c>
      <c r="X133" s="23">
        <v>0</v>
      </c>
      <c r="Y133" s="23">
        <v>0</v>
      </c>
      <c r="Z133" s="24">
        <v>1.527</v>
      </c>
      <c r="AA133" s="24">
        <v>1.527</v>
      </c>
      <c r="AB133" s="24">
        <v>1.527</v>
      </c>
      <c r="AC133" s="75">
        <v>0</v>
      </c>
      <c r="AD133" s="40">
        <v>0</v>
      </c>
      <c r="AE133" s="77"/>
    </row>
    <row r="134" spans="1:31" ht="15">
      <c r="A134" s="22">
        <v>10409</v>
      </c>
      <c r="B134" s="22" t="s">
        <v>118</v>
      </c>
      <c r="C134" s="33">
        <f t="shared" si="9"/>
        <v>12196.984</v>
      </c>
      <c r="D134" s="33">
        <f t="shared" si="12"/>
        <v>15555.176</v>
      </c>
      <c r="E134" s="33">
        <f t="shared" si="12"/>
        <v>16787.112</v>
      </c>
      <c r="F134" s="33">
        <f t="shared" si="12"/>
        <v>17444.405</v>
      </c>
      <c r="G134" s="33">
        <f t="shared" si="12"/>
        <v>15004.514</v>
      </c>
      <c r="H134" s="33">
        <f t="shared" si="12"/>
        <v>16381.957999999999</v>
      </c>
      <c r="I134" s="33">
        <f t="shared" si="12"/>
        <v>12930.795</v>
      </c>
      <c r="J134" s="33">
        <f t="shared" si="12"/>
        <v>16042.385</v>
      </c>
      <c r="K134" s="33">
        <f t="shared" si="12"/>
        <v>16390.464</v>
      </c>
      <c r="L134" s="33">
        <f t="shared" si="12"/>
        <v>14229.285</v>
      </c>
      <c r="M134" s="33">
        <f t="shared" si="12"/>
        <v>13755.936</v>
      </c>
      <c r="N134" s="33">
        <f t="shared" si="12"/>
        <v>12658.124</v>
      </c>
      <c r="O134" s="34">
        <f t="shared" si="10"/>
        <v>179377.13799999998</v>
      </c>
      <c r="R134" s="22">
        <v>10409</v>
      </c>
      <c r="S134" s="22" t="s">
        <v>118</v>
      </c>
      <c r="T134" s="23">
        <v>0.0028911</v>
      </c>
      <c r="U134" s="23">
        <v>0.0028911</v>
      </c>
      <c r="V134" s="23">
        <v>0.0028911</v>
      </c>
      <c r="W134" s="23">
        <v>0.0028911</v>
      </c>
      <c r="X134" s="23">
        <v>0</v>
      </c>
      <c r="Y134" s="23">
        <v>0</v>
      </c>
      <c r="Z134" s="24">
        <v>20.421</v>
      </c>
      <c r="AA134" s="24">
        <v>20.421</v>
      </c>
      <c r="AB134" s="24">
        <v>20.421</v>
      </c>
      <c r="AC134" s="75">
        <v>0</v>
      </c>
      <c r="AD134" s="40">
        <v>0</v>
      </c>
      <c r="AE134" s="77"/>
    </row>
    <row r="135" spans="1:31" ht="15">
      <c r="A135" s="22">
        <v>10426</v>
      </c>
      <c r="B135" s="22" t="s">
        <v>119</v>
      </c>
      <c r="C135" s="33">
        <f aca="true" t="shared" si="13" ref="C135:C149">ROUND(C$3*$V135,3)+ROUND(C$4*$V135,3)</f>
        <v>18931.46</v>
      </c>
      <c r="D135" s="33">
        <f t="shared" si="12"/>
        <v>24143.854</v>
      </c>
      <c r="E135" s="33">
        <f t="shared" si="12"/>
        <v>26055.996</v>
      </c>
      <c r="F135" s="33">
        <f t="shared" si="12"/>
        <v>27076.208000000002</v>
      </c>
      <c r="G135" s="33">
        <f t="shared" si="12"/>
        <v>23289.148</v>
      </c>
      <c r="H135" s="33">
        <f t="shared" si="12"/>
        <v>25427.138</v>
      </c>
      <c r="I135" s="33">
        <f t="shared" si="12"/>
        <v>20070.441</v>
      </c>
      <c r="J135" s="33">
        <f t="shared" si="12"/>
        <v>24900.071</v>
      </c>
      <c r="K135" s="33">
        <f t="shared" si="12"/>
        <v>25440.341</v>
      </c>
      <c r="L135" s="33">
        <f t="shared" si="12"/>
        <v>22085.879999999997</v>
      </c>
      <c r="M135" s="33">
        <f t="shared" si="12"/>
        <v>21351.176</v>
      </c>
      <c r="N135" s="33">
        <f t="shared" si="12"/>
        <v>19647.217</v>
      </c>
      <c r="O135" s="34">
        <f t="shared" si="10"/>
        <v>278418.93</v>
      </c>
      <c r="R135" s="22">
        <v>10426</v>
      </c>
      <c r="S135" s="22" t="s">
        <v>119</v>
      </c>
      <c r="T135" s="23">
        <v>0.0044874</v>
      </c>
      <c r="U135" s="23">
        <v>0.005173</v>
      </c>
      <c r="V135" s="23">
        <v>0.0044874</v>
      </c>
      <c r="W135" s="23">
        <v>0.005173</v>
      </c>
      <c r="X135" s="23">
        <v>0</v>
      </c>
      <c r="Y135" s="23">
        <v>0</v>
      </c>
      <c r="Z135" s="24">
        <v>36.539</v>
      </c>
      <c r="AA135" s="24">
        <v>31.696</v>
      </c>
      <c r="AB135" s="24">
        <v>36.539</v>
      </c>
      <c r="AC135" s="75">
        <v>0</v>
      </c>
      <c r="AD135" s="40">
        <v>0</v>
      </c>
      <c r="AE135" s="77"/>
    </row>
    <row r="136" spans="1:31" ht="15">
      <c r="A136" s="22">
        <v>10434</v>
      </c>
      <c r="B136" s="22" t="s">
        <v>120</v>
      </c>
      <c r="C136" s="33">
        <f t="shared" si="13"/>
        <v>16220.457</v>
      </c>
      <c r="D136" s="33">
        <f t="shared" si="12"/>
        <v>20686.431</v>
      </c>
      <c r="E136" s="33">
        <f t="shared" si="12"/>
        <v>22324.753</v>
      </c>
      <c r="F136" s="33">
        <f t="shared" si="12"/>
        <v>23198.869</v>
      </c>
      <c r="G136" s="33">
        <f t="shared" si="12"/>
        <v>19954.119</v>
      </c>
      <c r="H136" s="33">
        <f t="shared" si="12"/>
        <v>21785.947</v>
      </c>
      <c r="I136" s="33">
        <f t="shared" si="12"/>
        <v>17196.334</v>
      </c>
      <c r="J136" s="33">
        <f t="shared" si="12"/>
        <v>21334.357</v>
      </c>
      <c r="K136" s="33">
        <f t="shared" si="12"/>
        <v>21797.259</v>
      </c>
      <c r="L136" s="33">
        <f t="shared" si="12"/>
        <v>18923.162</v>
      </c>
      <c r="M136" s="33">
        <f t="shared" si="12"/>
        <v>18293.667</v>
      </c>
      <c r="N136" s="33">
        <f t="shared" si="12"/>
        <v>16833.717</v>
      </c>
      <c r="O136" s="34">
        <f t="shared" si="10"/>
        <v>238549.072</v>
      </c>
      <c r="R136" s="22">
        <v>10434</v>
      </c>
      <c r="S136" s="22" t="s">
        <v>120</v>
      </c>
      <c r="T136" s="23">
        <v>0.0038448</v>
      </c>
      <c r="U136" s="23">
        <v>0.0038448</v>
      </c>
      <c r="V136" s="23">
        <v>0.0038448</v>
      </c>
      <c r="W136" s="23">
        <v>0.0038448</v>
      </c>
      <c r="X136" s="23">
        <v>0</v>
      </c>
      <c r="Y136" s="23">
        <v>0</v>
      </c>
      <c r="Z136" s="24">
        <v>27.157</v>
      </c>
      <c r="AA136" s="24">
        <v>27.157</v>
      </c>
      <c r="AB136" s="24">
        <v>27.157</v>
      </c>
      <c r="AC136" s="75">
        <v>0</v>
      </c>
      <c r="AD136" s="40">
        <v>0</v>
      </c>
      <c r="AE136" s="77"/>
    </row>
    <row r="137" spans="1:31" ht="15">
      <c r="A137" s="22">
        <v>10436</v>
      </c>
      <c r="B137" s="22" t="s">
        <v>121</v>
      </c>
      <c r="C137" s="33">
        <f t="shared" si="13"/>
        <v>11439.286</v>
      </c>
      <c r="D137" s="33">
        <f t="shared" si="12"/>
        <v>14588.862</v>
      </c>
      <c r="E137" s="33">
        <f t="shared" si="12"/>
        <v>15744.269</v>
      </c>
      <c r="F137" s="33">
        <f t="shared" si="12"/>
        <v>16360.729</v>
      </c>
      <c r="G137" s="33">
        <f t="shared" si="12"/>
        <v>14072.408</v>
      </c>
      <c r="H137" s="33">
        <f t="shared" si="12"/>
        <v>15364.284</v>
      </c>
      <c r="I137" s="33">
        <f t="shared" si="12"/>
        <v>12127.512999999999</v>
      </c>
      <c r="J137" s="33">
        <f t="shared" si="12"/>
        <v>15045.804</v>
      </c>
      <c r="K137" s="33">
        <f t="shared" si="12"/>
        <v>15372.259999999998</v>
      </c>
      <c r="L137" s="33">
        <f t="shared" si="12"/>
        <v>13345.337</v>
      </c>
      <c r="M137" s="33">
        <f t="shared" si="12"/>
        <v>12901.394</v>
      </c>
      <c r="N137" s="33">
        <f t="shared" si="12"/>
        <v>11871.779999999999</v>
      </c>
      <c r="O137" s="34">
        <f t="shared" si="10"/>
        <v>168233.92599999998</v>
      </c>
      <c r="R137" s="22">
        <v>10436</v>
      </c>
      <c r="S137" s="22" t="s">
        <v>121</v>
      </c>
      <c r="T137" s="23">
        <v>0.0027115</v>
      </c>
      <c r="U137" s="23">
        <v>0.0027115</v>
      </c>
      <c r="V137" s="23">
        <v>0.0027115</v>
      </c>
      <c r="W137" s="23">
        <v>0.0027115</v>
      </c>
      <c r="X137" s="23">
        <v>0</v>
      </c>
      <c r="Y137" s="23">
        <v>0</v>
      </c>
      <c r="Z137" s="24">
        <v>19.152</v>
      </c>
      <c r="AA137" s="24">
        <v>19.152</v>
      </c>
      <c r="AB137" s="24">
        <v>19.152</v>
      </c>
      <c r="AC137" s="79">
        <v>0.091</v>
      </c>
      <c r="AD137" s="40">
        <v>0</v>
      </c>
      <c r="AE137" s="77"/>
    </row>
    <row r="138" spans="1:31" ht="15">
      <c r="A138" s="22">
        <v>10440</v>
      </c>
      <c r="B138" s="22" t="s">
        <v>122</v>
      </c>
      <c r="C138" s="33">
        <f t="shared" si="13"/>
        <v>2989.4449999999997</v>
      </c>
      <c r="D138" s="33">
        <f t="shared" si="12"/>
        <v>3812.528</v>
      </c>
      <c r="E138" s="33">
        <f t="shared" si="12"/>
        <v>4114.471</v>
      </c>
      <c r="F138" s="33">
        <f t="shared" si="12"/>
        <v>4275.572</v>
      </c>
      <c r="G138" s="33">
        <f t="shared" si="12"/>
        <v>3677.562</v>
      </c>
      <c r="H138" s="33">
        <f t="shared" si="12"/>
        <v>4015.169</v>
      </c>
      <c r="I138" s="33">
        <f t="shared" si="12"/>
        <v>3169.299</v>
      </c>
      <c r="J138" s="33">
        <f t="shared" si="12"/>
        <v>3931.9399999999996</v>
      </c>
      <c r="K138" s="33">
        <f t="shared" si="12"/>
        <v>4017.254</v>
      </c>
      <c r="L138" s="33">
        <f t="shared" si="12"/>
        <v>3487.5550000000003</v>
      </c>
      <c r="M138" s="33">
        <f t="shared" si="12"/>
        <v>3371.5380000000005</v>
      </c>
      <c r="N138" s="33">
        <f t="shared" si="12"/>
        <v>3102.468</v>
      </c>
      <c r="O138" s="34">
        <f t="shared" si="10"/>
        <v>43964.801</v>
      </c>
      <c r="R138" s="22">
        <v>10440</v>
      </c>
      <c r="S138" s="22" t="s">
        <v>122</v>
      </c>
      <c r="T138" s="23">
        <v>0.0007086</v>
      </c>
      <c r="U138" s="23">
        <v>0.0007086</v>
      </c>
      <c r="V138" s="23">
        <v>0.0007086</v>
      </c>
      <c r="W138" s="23">
        <v>0.0007086</v>
      </c>
      <c r="X138" s="23">
        <v>0</v>
      </c>
      <c r="Y138" s="23">
        <v>0</v>
      </c>
      <c r="Z138" s="24">
        <v>5.005</v>
      </c>
      <c r="AA138" s="24">
        <v>5.005</v>
      </c>
      <c r="AB138" s="24">
        <v>5.005</v>
      </c>
      <c r="AC138" s="79">
        <v>0.05771</v>
      </c>
      <c r="AD138" s="40">
        <v>0</v>
      </c>
      <c r="AE138" s="77"/>
    </row>
    <row r="139" spans="1:31" ht="15">
      <c r="A139" s="22">
        <v>10442</v>
      </c>
      <c r="B139" s="22" t="s">
        <v>123</v>
      </c>
      <c r="C139" s="33">
        <f t="shared" si="13"/>
        <v>7516.643</v>
      </c>
      <c r="D139" s="33">
        <f t="shared" si="12"/>
        <v>9586.198</v>
      </c>
      <c r="E139" s="33">
        <f t="shared" si="12"/>
        <v>10345.403999999999</v>
      </c>
      <c r="F139" s="33">
        <f t="shared" si="12"/>
        <v>10750.474999999999</v>
      </c>
      <c r="G139" s="33">
        <f t="shared" si="12"/>
        <v>9246.841</v>
      </c>
      <c r="H139" s="33">
        <f t="shared" si="12"/>
        <v>10095.72</v>
      </c>
      <c r="I139" s="33">
        <f t="shared" si="12"/>
        <v>7968.869000000001</v>
      </c>
      <c r="J139" s="33">
        <f t="shared" si="12"/>
        <v>9886.45</v>
      </c>
      <c r="K139" s="33">
        <f t="shared" si="12"/>
        <v>10100.961</v>
      </c>
      <c r="L139" s="33">
        <f aca="true" t="shared" si="14" ref="D139:N149">ROUND(L$3*$V139,3)+ROUND(L$4*$V139,3)</f>
        <v>8769.089</v>
      </c>
      <c r="M139" s="33">
        <f t="shared" si="14"/>
        <v>8477.379</v>
      </c>
      <c r="N139" s="33">
        <f t="shared" si="14"/>
        <v>7800.831</v>
      </c>
      <c r="O139" s="34">
        <f t="shared" si="10"/>
        <v>110544.86</v>
      </c>
      <c r="R139" s="22">
        <v>10442</v>
      </c>
      <c r="S139" s="22" t="s">
        <v>123</v>
      </c>
      <c r="T139" s="23">
        <v>0.0017817</v>
      </c>
      <c r="U139" s="23">
        <v>0.0017888</v>
      </c>
      <c r="V139" s="23">
        <v>0.0017817</v>
      </c>
      <c r="W139" s="23">
        <v>0.0017888</v>
      </c>
      <c r="X139" s="23">
        <v>0</v>
      </c>
      <c r="Y139" s="23">
        <v>0</v>
      </c>
      <c r="Z139" s="24">
        <v>13.396</v>
      </c>
      <c r="AA139" s="24">
        <v>12.585</v>
      </c>
      <c r="AB139" s="24">
        <v>12.635</v>
      </c>
      <c r="AC139" s="79">
        <v>0.07</v>
      </c>
      <c r="AD139" s="40">
        <v>0</v>
      </c>
      <c r="AE139" s="77"/>
    </row>
    <row r="140" spans="1:31" ht="15">
      <c r="A140" s="22">
        <v>10446</v>
      </c>
      <c r="B140" s="22" t="s">
        <v>124</v>
      </c>
      <c r="C140" s="33">
        <f t="shared" si="13"/>
        <v>57201.916</v>
      </c>
      <c r="D140" s="33">
        <f t="shared" si="14"/>
        <v>72951.30600000001</v>
      </c>
      <c r="E140" s="33">
        <f t="shared" si="14"/>
        <v>78728.893</v>
      </c>
      <c r="F140" s="33">
        <f t="shared" si="14"/>
        <v>81811.49100000001</v>
      </c>
      <c r="G140" s="33">
        <f t="shared" si="14"/>
        <v>70368.787</v>
      </c>
      <c r="H140" s="33">
        <f t="shared" si="14"/>
        <v>76828.783</v>
      </c>
      <c r="I140" s="33">
        <f t="shared" si="14"/>
        <v>60643.377</v>
      </c>
      <c r="J140" s="33">
        <f t="shared" si="14"/>
        <v>75236.235</v>
      </c>
      <c r="K140" s="33">
        <f t="shared" si="14"/>
        <v>76868.674</v>
      </c>
      <c r="L140" s="33">
        <f t="shared" si="14"/>
        <v>66733.083</v>
      </c>
      <c r="M140" s="33">
        <f t="shared" si="14"/>
        <v>64513.153999999995</v>
      </c>
      <c r="N140" s="33">
        <f t="shared" si="14"/>
        <v>59364.594000000005</v>
      </c>
      <c r="O140" s="34">
        <f t="shared" si="10"/>
        <v>841250.2930000001</v>
      </c>
      <c r="R140" s="22">
        <v>10446</v>
      </c>
      <c r="S140" s="22" t="s">
        <v>124</v>
      </c>
      <c r="T140" s="23">
        <v>0.0135588</v>
      </c>
      <c r="U140" s="23">
        <v>0.0135588</v>
      </c>
      <c r="V140" s="23">
        <v>0.0135588</v>
      </c>
      <c r="W140" s="23">
        <v>0.0135588</v>
      </c>
      <c r="X140" s="23">
        <v>0</v>
      </c>
      <c r="Y140" s="23">
        <v>0</v>
      </c>
      <c r="Z140" s="24">
        <v>95.771</v>
      </c>
      <c r="AA140" s="24">
        <v>95.771</v>
      </c>
      <c r="AB140" s="24">
        <v>95.771</v>
      </c>
      <c r="AC140" s="79">
        <v>0.06584</v>
      </c>
      <c r="AD140" s="40">
        <v>0</v>
      </c>
      <c r="AE140" s="77"/>
    </row>
    <row r="141" spans="1:31" ht="15">
      <c r="A141" s="22">
        <v>10448</v>
      </c>
      <c r="B141" s="22" t="s">
        <v>125</v>
      </c>
      <c r="C141" s="33">
        <f t="shared" si="13"/>
        <v>4922.078</v>
      </c>
      <c r="D141" s="33">
        <f t="shared" si="14"/>
        <v>6277.273</v>
      </c>
      <c r="E141" s="33">
        <f t="shared" si="14"/>
        <v>6774.42</v>
      </c>
      <c r="F141" s="33">
        <f t="shared" si="14"/>
        <v>7039.67</v>
      </c>
      <c r="G141" s="33">
        <f t="shared" si="14"/>
        <v>6055.054</v>
      </c>
      <c r="H141" s="33">
        <f t="shared" si="14"/>
        <v>6610.92</v>
      </c>
      <c r="I141" s="33">
        <f t="shared" si="14"/>
        <v>5218.207</v>
      </c>
      <c r="J141" s="33">
        <f t="shared" si="14"/>
        <v>6473.886</v>
      </c>
      <c r="K141" s="33">
        <f t="shared" si="14"/>
        <v>6614.352000000001</v>
      </c>
      <c r="L141" s="33">
        <f t="shared" si="14"/>
        <v>5742.211</v>
      </c>
      <c r="M141" s="33">
        <f t="shared" si="14"/>
        <v>5551.191</v>
      </c>
      <c r="N141" s="33">
        <f t="shared" si="14"/>
        <v>5108.171</v>
      </c>
      <c r="O141" s="34">
        <f t="shared" si="10"/>
        <v>72387.433</v>
      </c>
      <c r="R141" s="22">
        <v>10448</v>
      </c>
      <c r="S141" s="22" t="s">
        <v>125</v>
      </c>
      <c r="T141" s="23">
        <v>0.0011667</v>
      </c>
      <c r="U141" s="23">
        <v>0.001166</v>
      </c>
      <c r="V141" s="23">
        <v>0.0011667</v>
      </c>
      <c r="W141" s="23">
        <v>0.001166</v>
      </c>
      <c r="X141" s="23">
        <v>0</v>
      </c>
      <c r="Y141" s="23">
        <v>0</v>
      </c>
      <c r="Z141" s="24">
        <v>8.481</v>
      </c>
      <c r="AA141" s="24">
        <v>8.241</v>
      </c>
      <c r="AB141" s="24">
        <v>8.236</v>
      </c>
      <c r="AC141" s="79">
        <v>0.07</v>
      </c>
      <c r="AD141" s="40">
        <v>1</v>
      </c>
      <c r="AE141" s="77"/>
    </row>
    <row r="142" spans="1:31" ht="15">
      <c r="A142" s="22">
        <v>10451</v>
      </c>
      <c r="B142" s="22" t="s">
        <v>126</v>
      </c>
      <c r="C142" s="33">
        <f t="shared" si="13"/>
        <v>15673.7</v>
      </c>
      <c r="D142" s="33">
        <f t="shared" si="14"/>
        <v>19989.135000000002</v>
      </c>
      <c r="E142" s="33">
        <f t="shared" si="14"/>
        <v>21572.233</v>
      </c>
      <c r="F142" s="33">
        <f t="shared" si="14"/>
        <v>22416.884</v>
      </c>
      <c r="G142" s="33">
        <f t="shared" si="14"/>
        <v>19281.509</v>
      </c>
      <c r="H142" s="33">
        <f t="shared" si="14"/>
        <v>21051.589</v>
      </c>
      <c r="I142" s="33">
        <f t="shared" si="14"/>
        <v>16616.682</v>
      </c>
      <c r="J142" s="33">
        <f t="shared" si="14"/>
        <v>20615.221</v>
      </c>
      <c r="K142" s="33">
        <f t="shared" si="14"/>
        <v>21062.52</v>
      </c>
      <c r="L142" s="33">
        <f t="shared" si="14"/>
        <v>18285.302</v>
      </c>
      <c r="M142" s="33">
        <f t="shared" si="14"/>
        <v>17677.027000000002</v>
      </c>
      <c r="N142" s="33">
        <f t="shared" si="14"/>
        <v>16266.288</v>
      </c>
      <c r="O142" s="34">
        <f t="shared" si="10"/>
        <v>230508.09</v>
      </c>
      <c r="R142" s="22">
        <v>10451</v>
      </c>
      <c r="S142" s="22" t="s">
        <v>126</v>
      </c>
      <c r="T142" s="23">
        <v>0.0037152</v>
      </c>
      <c r="U142" s="23">
        <v>0.0037951</v>
      </c>
      <c r="V142" s="23">
        <v>0.0037152</v>
      </c>
      <c r="W142" s="23">
        <v>0.0037951</v>
      </c>
      <c r="X142" s="23">
        <v>0</v>
      </c>
      <c r="Y142" s="23">
        <v>0</v>
      </c>
      <c r="Z142" s="24">
        <v>26.833</v>
      </c>
      <c r="AA142" s="24">
        <v>26.242</v>
      </c>
      <c r="AB142" s="24">
        <v>26.806</v>
      </c>
      <c r="AC142" s="75">
        <v>0</v>
      </c>
      <c r="AD142" s="40">
        <v>0</v>
      </c>
      <c r="AE142" s="77"/>
    </row>
    <row r="143" spans="1:31" ht="15">
      <c r="A143" s="22">
        <v>10482</v>
      </c>
      <c r="B143" s="22" t="s">
        <v>127</v>
      </c>
      <c r="C143" s="33">
        <f t="shared" si="13"/>
        <v>1657.568</v>
      </c>
      <c r="D143" s="33">
        <f t="shared" si="14"/>
        <v>2113.946</v>
      </c>
      <c r="E143" s="33">
        <f t="shared" si="14"/>
        <v>2281.366</v>
      </c>
      <c r="F143" s="33">
        <f t="shared" si="14"/>
        <v>2370.691</v>
      </c>
      <c r="G143" s="33">
        <f t="shared" si="14"/>
        <v>2039.1100000000001</v>
      </c>
      <c r="H143" s="33">
        <f t="shared" si="14"/>
        <v>2226.305</v>
      </c>
      <c r="I143" s="33">
        <f t="shared" si="14"/>
        <v>1757.2930000000001</v>
      </c>
      <c r="J143" s="33">
        <f t="shared" si="14"/>
        <v>2180.157</v>
      </c>
      <c r="K143" s="33">
        <f t="shared" si="14"/>
        <v>2227.4610000000002</v>
      </c>
      <c r="L143" s="33">
        <f t="shared" si="14"/>
        <v>1933.758</v>
      </c>
      <c r="M143" s="33">
        <f t="shared" si="14"/>
        <v>1869.429</v>
      </c>
      <c r="N143" s="33">
        <f t="shared" si="14"/>
        <v>1720.237</v>
      </c>
      <c r="O143" s="34">
        <f t="shared" si="10"/>
        <v>24377.321000000004</v>
      </c>
      <c r="R143" s="22">
        <v>10482</v>
      </c>
      <c r="S143" s="22" t="s">
        <v>127</v>
      </c>
      <c r="T143" s="23">
        <v>0.0003929</v>
      </c>
      <c r="U143" s="23">
        <v>0.0003977</v>
      </c>
      <c r="V143" s="23">
        <v>0.0003929</v>
      </c>
      <c r="W143" s="23">
        <v>0.0003977</v>
      </c>
      <c r="X143" s="23">
        <v>0</v>
      </c>
      <c r="Y143" s="23">
        <v>0</v>
      </c>
      <c r="Z143" s="24">
        <v>4.114</v>
      </c>
      <c r="AA143" s="24">
        <v>2.775</v>
      </c>
      <c r="AB143" s="24">
        <v>2.809</v>
      </c>
      <c r="AC143" s="75">
        <v>0</v>
      </c>
      <c r="AD143" s="40">
        <v>0</v>
      </c>
      <c r="AE143" s="77"/>
    </row>
    <row r="144" spans="1:31" ht="15">
      <c r="A144" s="22">
        <v>10502</v>
      </c>
      <c r="B144" s="22" t="s">
        <v>128</v>
      </c>
      <c r="C144" s="33">
        <f t="shared" si="13"/>
        <v>11118.235</v>
      </c>
      <c r="D144" s="33">
        <f t="shared" si="14"/>
        <v>14179.417</v>
      </c>
      <c r="E144" s="33">
        <f t="shared" si="14"/>
        <v>15302.396</v>
      </c>
      <c r="F144" s="33">
        <f t="shared" si="14"/>
        <v>15901.555</v>
      </c>
      <c r="G144" s="33">
        <f t="shared" si="14"/>
        <v>13677.456999999999</v>
      </c>
      <c r="H144" s="33">
        <f t="shared" si="14"/>
        <v>14933.075</v>
      </c>
      <c r="I144" s="33">
        <f t="shared" si="14"/>
        <v>11787.146</v>
      </c>
      <c r="J144" s="33">
        <f t="shared" si="14"/>
        <v>14623.534</v>
      </c>
      <c r="K144" s="33">
        <f t="shared" si="14"/>
        <v>14940.828000000001</v>
      </c>
      <c r="L144" s="33">
        <f t="shared" si="14"/>
        <v>12970.792</v>
      </c>
      <c r="M144" s="33">
        <f t="shared" si="14"/>
        <v>12539.308</v>
      </c>
      <c r="N144" s="33">
        <f t="shared" si="14"/>
        <v>11538.591</v>
      </c>
      <c r="O144" s="34">
        <f t="shared" si="10"/>
        <v>163512.33399999997</v>
      </c>
      <c r="R144" s="22">
        <v>10502</v>
      </c>
      <c r="S144" s="22" t="s">
        <v>128</v>
      </c>
      <c r="T144" s="23">
        <v>0.0026354</v>
      </c>
      <c r="U144" s="23">
        <v>0.0026485</v>
      </c>
      <c r="V144" s="23">
        <v>0.0026354</v>
      </c>
      <c r="W144" s="23">
        <v>0.0026485</v>
      </c>
      <c r="X144" s="23">
        <v>0</v>
      </c>
      <c r="Y144" s="23">
        <v>0</v>
      </c>
      <c r="Z144" s="24">
        <v>18.707</v>
      </c>
      <c r="AA144" s="24">
        <v>18.615</v>
      </c>
      <c r="AB144" s="24">
        <v>18.707</v>
      </c>
      <c r="AC144" s="79">
        <v>0.07</v>
      </c>
      <c r="AD144" s="40">
        <v>0</v>
      </c>
      <c r="AE144" s="77"/>
    </row>
    <row r="145" spans="1:31" ht="15">
      <c r="A145" s="22">
        <v>13927</v>
      </c>
      <c r="B145" s="22" t="s">
        <v>129</v>
      </c>
      <c r="C145" s="33">
        <f t="shared" si="13"/>
        <v>2130.074</v>
      </c>
      <c r="D145" s="33">
        <f t="shared" si="14"/>
        <v>2716.547</v>
      </c>
      <c r="E145" s="33">
        <f t="shared" si="14"/>
        <v>2931.691</v>
      </c>
      <c r="F145" s="33">
        <f t="shared" si="14"/>
        <v>3046.4809999999998</v>
      </c>
      <c r="G145" s="33">
        <f t="shared" si="14"/>
        <v>2620.379</v>
      </c>
      <c r="H145" s="33">
        <f t="shared" si="14"/>
        <v>2860.935</v>
      </c>
      <c r="I145" s="33">
        <f t="shared" si="14"/>
        <v>2258.227</v>
      </c>
      <c r="J145" s="33">
        <f t="shared" si="14"/>
        <v>2801.632</v>
      </c>
      <c r="K145" s="33">
        <f t="shared" si="14"/>
        <v>2862.4210000000003</v>
      </c>
      <c r="L145" s="33">
        <f t="shared" si="14"/>
        <v>2484.993</v>
      </c>
      <c r="M145" s="33">
        <f t="shared" si="14"/>
        <v>2402.3289999999997</v>
      </c>
      <c r="N145" s="33">
        <f t="shared" si="14"/>
        <v>2210.607</v>
      </c>
      <c r="O145" s="34">
        <f aca="true" t="shared" si="15" ref="O145:O149">SUM(C145:N145)</f>
        <v>31326.316000000003</v>
      </c>
      <c r="R145" s="22">
        <v>13927</v>
      </c>
      <c r="S145" s="22" t="s">
        <v>129</v>
      </c>
      <c r="T145" s="23">
        <v>0.0005049</v>
      </c>
      <c r="U145" s="23">
        <v>0.0005759</v>
      </c>
      <c r="V145" s="23">
        <v>0.0005049</v>
      </c>
      <c r="W145" s="23">
        <v>0.0005759</v>
      </c>
      <c r="X145" s="23">
        <v>0</v>
      </c>
      <c r="Y145" s="23">
        <v>0</v>
      </c>
      <c r="Z145" s="24">
        <v>4.073</v>
      </c>
      <c r="AA145" s="24">
        <v>3.566</v>
      </c>
      <c r="AB145" s="24">
        <v>4.068</v>
      </c>
      <c r="AC145" s="75">
        <v>0</v>
      </c>
      <c r="AD145" s="40">
        <v>0</v>
      </c>
      <c r="AE145" s="77"/>
    </row>
    <row r="146" spans="1:31" ht="15">
      <c r="A146" s="22">
        <v>10597</v>
      </c>
      <c r="B146" s="22" t="s">
        <v>130</v>
      </c>
      <c r="C146" s="33">
        <f t="shared" si="13"/>
        <v>7355.4839999999995</v>
      </c>
      <c r="D146" s="33">
        <f t="shared" si="14"/>
        <v>9380.668</v>
      </c>
      <c r="E146" s="33">
        <f t="shared" si="14"/>
        <v>10123.597</v>
      </c>
      <c r="F146" s="33">
        <f t="shared" si="14"/>
        <v>10519.983</v>
      </c>
      <c r="G146" s="33">
        <f t="shared" si="14"/>
        <v>9048.587</v>
      </c>
      <c r="H146" s="33">
        <f t="shared" si="14"/>
        <v>9879.265</v>
      </c>
      <c r="I146" s="33">
        <f t="shared" si="14"/>
        <v>7798.014999999999</v>
      </c>
      <c r="J146" s="33">
        <f t="shared" si="14"/>
        <v>9674.483</v>
      </c>
      <c r="K146" s="33">
        <f t="shared" si="14"/>
        <v>9884.395</v>
      </c>
      <c r="L146" s="33">
        <f t="shared" si="14"/>
        <v>8581.079</v>
      </c>
      <c r="M146" s="33">
        <f t="shared" si="14"/>
        <v>8295.622</v>
      </c>
      <c r="N146" s="33">
        <f t="shared" si="14"/>
        <v>7633.579000000001</v>
      </c>
      <c r="O146" s="34">
        <f t="shared" si="15"/>
        <v>108174.757</v>
      </c>
      <c r="R146" s="22">
        <v>10597</v>
      </c>
      <c r="S146" s="22" t="s">
        <v>130</v>
      </c>
      <c r="T146" s="23">
        <v>0.0017435</v>
      </c>
      <c r="U146" s="23">
        <v>0.0017442</v>
      </c>
      <c r="V146" s="23">
        <v>0.0017435</v>
      </c>
      <c r="W146" s="23">
        <v>0.0017442</v>
      </c>
      <c r="X146" s="23">
        <v>0</v>
      </c>
      <c r="Y146" s="23">
        <v>0</v>
      </c>
      <c r="Z146" s="24">
        <v>12.937</v>
      </c>
      <c r="AA146" s="24">
        <v>12.315</v>
      </c>
      <c r="AB146" s="24">
        <v>12.32</v>
      </c>
      <c r="AC146" s="75">
        <v>0</v>
      </c>
      <c r="AD146" s="40">
        <v>0</v>
      </c>
      <c r="AE146" s="77"/>
    </row>
    <row r="147" spans="1:31" ht="15">
      <c r="A147" s="22">
        <v>10706</v>
      </c>
      <c r="B147" s="22" t="s">
        <v>131</v>
      </c>
      <c r="C147" s="33">
        <f t="shared" si="13"/>
        <v>10006.159</v>
      </c>
      <c r="D147" s="33">
        <f t="shared" si="14"/>
        <v>12761.152</v>
      </c>
      <c r="E147" s="33">
        <f t="shared" si="14"/>
        <v>13771.808</v>
      </c>
      <c r="F147" s="33">
        <f t="shared" si="14"/>
        <v>14311.038</v>
      </c>
      <c r="G147" s="33">
        <f t="shared" si="14"/>
        <v>12309.399000000001</v>
      </c>
      <c r="H147" s="33">
        <f t="shared" si="14"/>
        <v>13439.427</v>
      </c>
      <c r="I147" s="33">
        <f t="shared" si="14"/>
        <v>10608.163</v>
      </c>
      <c r="J147" s="33">
        <f t="shared" si="14"/>
        <v>13160.848</v>
      </c>
      <c r="K147" s="33">
        <f t="shared" si="14"/>
        <v>13446.406</v>
      </c>
      <c r="L147" s="33">
        <f t="shared" si="14"/>
        <v>11673.417000000001</v>
      </c>
      <c r="M147" s="33">
        <f t="shared" si="14"/>
        <v>11285.092</v>
      </c>
      <c r="N147" s="33">
        <f t="shared" si="14"/>
        <v>10384.470000000001</v>
      </c>
      <c r="O147" s="34">
        <f t="shared" si="15"/>
        <v>147157.37900000002</v>
      </c>
      <c r="R147" s="22">
        <v>10706</v>
      </c>
      <c r="S147" s="22" t="s">
        <v>131</v>
      </c>
      <c r="T147" s="23">
        <v>0.0023718</v>
      </c>
      <c r="U147" s="23">
        <v>0.0023908</v>
      </c>
      <c r="V147" s="23">
        <v>0.0023718</v>
      </c>
      <c r="W147" s="23">
        <v>0.0023908</v>
      </c>
      <c r="X147" s="23">
        <v>0</v>
      </c>
      <c r="Y147" s="23">
        <v>0</v>
      </c>
      <c r="Z147" s="24">
        <v>17.278</v>
      </c>
      <c r="AA147" s="24">
        <v>16.753</v>
      </c>
      <c r="AB147" s="24">
        <v>16.887</v>
      </c>
      <c r="AC147" s="75">
        <v>0</v>
      </c>
      <c r="AD147" s="40">
        <v>0</v>
      </c>
      <c r="AE147" s="77"/>
    </row>
    <row r="148" spans="1:31" ht="15">
      <c r="A148" s="22">
        <v>11680</v>
      </c>
      <c r="B148" s="22" t="s">
        <v>132</v>
      </c>
      <c r="C148" s="33">
        <f t="shared" si="13"/>
        <v>3780.048</v>
      </c>
      <c r="D148" s="33">
        <f t="shared" si="14"/>
        <v>4820.808</v>
      </c>
      <c r="E148" s="33">
        <f t="shared" si="14"/>
        <v>5202.605</v>
      </c>
      <c r="F148" s="33">
        <f t="shared" si="14"/>
        <v>5406.312</v>
      </c>
      <c r="G148" s="33">
        <f t="shared" si="14"/>
        <v>4650.148</v>
      </c>
      <c r="H148" s="33">
        <f t="shared" si="14"/>
        <v>5077.042</v>
      </c>
      <c r="I148" s="33">
        <f t="shared" si="14"/>
        <v>4007.468</v>
      </c>
      <c r="J148" s="33">
        <f t="shared" si="14"/>
        <v>4971.802</v>
      </c>
      <c r="K148" s="33">
        <f t="shared" si="14"/>
        <v>5079.677</v>
      </c>
      <c r="L148" s="33">
        <f t="shared" si="14"/>
        <v>4409.891</v>
      </c>
      <c r="M148" s="33">
        <f t="shared" si="14"/>
        <v>4263.193</v>
      </c>
      <c r="N148" s="33">
        <f t="shared" si="14"/>
        <v>3922.964</v>
      </c>
      <c r="O148" s="34">
        <f t="shared" si="15"/>
        <v>55591.958000000006</v>
      </c>
      <c r="R148" s="22">
        <v>11680</v>
      </c>
      <c r="S148" s="22" t="s">
        <v>132</v>
      </c>
      <c r="T148" s="23">
        <v>0.000896</v>
      </c>
      <c r="U148" s="23">
        <v>0.000896</v>
      </c>
      <c r="V148" s="23">
        <v>0.000896</v>
      </c>
      <c r="W148" s="23">
        <v>0.000896</v>
      </c>
      <c r="X148" s="23">
        <v>0</v>
      </c>
      <c r="Y148" s="23">
        <v>0</v>
      </c>
      <c r="Z148" s="24">
        <v>6.329</v>
      </c>
      <c r="AA148" s="24">
        <v>6.329</v>
      </c>
      <c r="AB148" s="24">
        <v>6.329</v>
      </c>
      <c r="AC148" s="75">
        <v>0</v>
      </c>
      <c r="AD148" s="40">
        <v>0</v>
      </c>
      <c r="AE148" s="77"/>
    </row>
    <row r="149" spans="1:31" ht="15">
      <c r="A149" s="22">
        <v>12026</v>
      </c>
      <c r="B149" s="22" t="s">
        <v>133</v>
      </c>
      <c r="C149" s="33">
        <f t="shared" si="13"/>
        <v>26980.938000000002</v>
      </c>
      <c r="D149" s="33">
        <f t="shared" si="14"/>
        <v>34409.592000000004</v>
      </c>
      <c r="E149" s="33">
        <f t="shared" si="14"/>
        <v>37134.758</v>
      </c>
      <c r="F149" s="33">
        <f t="shared" si="14"/>
        <v>38588.755</v>
      </c>
      <c r="G149" s="33">
        <f t="shared" si="14"/>
        <v>33191.473</v>
      </c>
      <c r="H149" s="33">
        <f t="shared" si="14"/>
        <v>36238.517</v>
      </c>
      <c r="I149" s="33">
        <f t="shared" si="14"/>
        <v>28604.201999999997</v>
      </c>
      <c r="J149" s="33">
        <f t="shared" si="14"/>
        <v>35487.345</v>
      </c>
      <c r="K149" s="33">
        <f t="shared" si="14"/>
        <v>36257.333</v>
      </c>
      <c r="L149" s="33">
        <f t="shared" si="14"/>
        <v>31476.588</v>
      </c>
      <c r="M149" s="33">
        <f t="shared" si="14"/>
        <v>30429.494</v>
      </c>
      <c r="N149" s="33">
        <f t="shared" si="14"/>
        <v>28001.027000000002</v>
      </c>
      <c r="O149" s="34">
        <f t="shared" si="15"/>
        <v>396800.02199999994</v>
      </c>
      <c r="R149" s="22">
        <v>12026</v>
      </c>
      <c r="S149" s="22" t="s">
        <v>133</v>
      </c>
      <c r="T149" s="23">
        <v>0.0063954</v>
      </c>
      <c r="U149" s="23">
        <v>0.0063954</v>
      </c>
      <c r="V149" s="23">
        <v>0.0063954</v>
      </c>
      <c r="W149" s="23">
        <v>0.0063954</v>
      </c>
      <c r="X149" s="23">
        <v>0</v>
      </c>
      <c r="Y149" s="23">
        <v>0</v>
      </c>
      <c r="Z149" s="24">
        <v>45.173</v>
      </c>
      <c r="AA149" s="24">
        <v>45.173</v>
      </c>
      <c r="AB149" s="24">
        <v>45.173</v>
      </c>
      <c r="AC149" s="75">
        <v>0</v>
      </c>
      <c r="AD149" s="40">
        <v>0</v>
      </c>
      <c r="AE149" s="77"/>
    </row>
    <row r="150" spans="1:31" ht="15">
      <c r="A150" s="22"/>
      <c r="B150" s="2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/>
      <c r="R150" s="22">
        <v>10298</v>
      </c>
      <c r="S150" s="22" t="s">
        <v>153</v>
      </c>
      <c r="T150" s="23">
        <v>0.0846792</v>
      </c>
      <c r="U150" s="23">
        <v>0.0846908</v>
      </c>
      <c r="V150" s="23">
        <v>0.0846792</v>
      </c>
      <c r="W150" s="23">
        <v>0.0846908</v>
      </c>
      <c r="X150" s="23">
        <v>0</v>
      </c>
      <c r="Y150" s="23">
        <v>0</v>
      </c>
      <c r="Z150" s="24">
        <v>602.2760000000001</v>
      </c>
      <c r="AA150" s="24">
        <v>598.12</v>
      </c>
      <c r="AB150" s="24">
        <v>598.202</v>
      </c>
      <c r="AC150" s="75">
        <v>0</v>
      </c>
      <c r="AE150" s="77"/>
    </row>
    <row r="151" spans="18:29" ht="15">
      <c r="R151" s="22" t="s">
        <v>166</v>
      </c>
      <c r="S151" s="22"/>
      <c r="AC151" s="25"/>
    </row>
    <row r="152" spans="18:29" ht="15">
      <c r="R152" s="22"/>
      <c r="X152" s="39"/>
      <c r="AC152" s="25"/>
    </row>
    <row r="153" ht="15">
      <c r="X153" s="38"/>
    </row>
  </sheetData>
  <printOptions/>
  <pageMargins left="0.25" right="0.25" top="0.75" bottom="0.75" header="0.3" footer="0.3"/>
  <pageSetup fitToHeight="1" fitToWidth="1" horizontalDpi="600" verticalDpi="600" orientation="landscape" scale="71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view="pageBreakPreview" zoomScale="110" zoomScaleSheetLayoutView="110" workbookViewId="0" topLeftCell="A1">
      <selection activeCell="I5" sqref="I5"/>
    </sheetView>
  </sheetViews>
  <sheetFormatPr defaultColWidth="9.140625" defaultRowHeight="15"/>
  <cols>
    <col min="1" max="1" width="3.8515625" style="19" customWidth="1"/>
    <col min="2" max="2" width="6.00390625" style="18" bestFit="1" customWidth="1"/>
    <col min="3" max="3" width="26.57421875" style="18" customWidth="1"/>
    <col min="4" max="4" width="10.7109375" style="18" customWidth="1"/>
    <col min="5" max="14" width="10.7109375" style="0" customWidth="1"/>
    <col min="15" max="15" width="8.00390625" style="0" bestFit="1" customWidth="1"/>
    <col min="16" max="16" width="11.8515625" style="0" bestFit="1" customWidth="1"/>
  </cols>
  <sheetData>
    <row r="1" spans="1:2" ht="15">
      <c r="A1" s="36" t="s">
        <v>192</v>
      </c>
      <c r="B1" s="17"/>
    </row>
    <row r="2" spans="1:8" ht="15">
      <c r="A2" s="17" t="s">
        <v>158</v>
      </c>
      <c r="B2" s="17"/>
      <c r="D2" s="28"/>
      <c r="E2" s="32"/>
      <c r="F2" s="32"/>
      <c r="G2" s="32"/>
      <c r="H2" s="32"/>
    </row>
    <row r="3" spans="1:8" ht="15">
      <c r="A3" s="17"/>
      <c r="B3" s="17"/>
      <c r="D3" s="28"/>
      <c r="E3" s="32"/>
      <c r="F3" s="32"/>
      <c r="G3" s="32"/>
      <c r="H3" s="32"/>
    </row>
    <row r="4" spans="2:14" ht="15">
      <c r="B4" s="20" t="s">
        <v>0</v>
      </c>
      <c r="C4" s="20" t="s">
        <v>1</v>
      </c>
      <c r="D4" s="21">
        <v>45261</v>
      </c>
      <c r="E4" s="21">
        <v>45292</v>
      </c>
      <c r="F4" s="21">
        <v>45323</v>
      </c>
      <c r="G4" s="21">
        <v>45352</v>
      </c>
      <c r="H4" s="21">
        <v>45383</v>
      </c>
      <c r="I4" s="21">
        <v>45413</v>
      </c>
      <c r="J4" s="21">
        <v>45444</v>
      </c>
      <c r="K4" s="21">
        <v>45474</v>
      </c>
      <c r="L4" s="21">
        <v>45505</v>
      </c>
      <c r="M4" s="21">
        <v>45536</v>
      </c>
      <c r="N4" s="21" t="s">
        <v>136</v>
      </c>
    </row>
    <row r="5" spans="2:16" ht="15">
      <c r="B5" s="22">
        <f>'Sum of Billing Determinants'!A16</f>
        <v>10005</v>
      </c>
      <c r="C5" s="22" t="str">
        <f>'Sum of Billing Determinants'!B16</f>
        <v>Alder Mutual</v>
      </c>
      <c r="D5" s="26">
        <f>ROUND('Sum of Billing Determinants'!E16*-1*'Rate Calculations'!$G$8*(1-'Sum of Billing Determinants'!$AC16),0)</f>
        <v>-1907</v>
      </c>
      <c r="E5" s="26">
        <f>ROUND('Sum of Billing Determinants'!F16*-1*'Rate Calculations'!$G$8*(1-'Sum of Billing Determinants'!$AC16),0)</f>
        <v>-1982</v>
      </c>
      <c r="F5" s="26">
        <f>ROUND('Sum of Billing Determinants'!G16*-1*'Rate Calculations'!$G$8*(1-'Sum of Billing Determinants'!$AC16),0)</f>
        <v>-1704</v>
      </c>
      <c r="G5" s="26">
        <f>ROUND('Sum of Billing Determinants'!H16*-1*'Rate Calculations'!$G$8*(1-'Sum of Billing Determinants'!$AC16),0)</f>
        <v>-1861</v>
      </c>
      <c r="H5" s="26">
        <f>ROUND('Sum of Billing Determinants'!I16*-1*'Rate Calculations'!$G$8*(1-'Sum of Billing Determinants'!$AC16),0)</f>
        <v>-1469</v>
      </c>
      <c r="I5" s="26">
        <f>ROUND('Sum of Billing Determinants'!J16*-1*'Rate Calculations'!$G$8*(1-'Sum of Billing Determinants'!$AC16),0)</f>
        <v>-1822</v>
      </c>
      <c r="J5" s="26">
        <f>ROUND('Sum of Billing Determinants'!K16*-1*'Rate Calculations'!$G$8*(1-'Sum of Billing Determinants'!$AC16),0)</f>
        <v>-1862</v>
      </c>
      <c r="K5" s="26">
        <f>ROUND('Sum of Billing Determinants'!L16*-1*'Rate Calculations'!$G$8*(1-'Sum of Billing Determinants'!$AC16),0)</f>
        <v>-1616</v>
      </c>
      <c r="L5" s="26">
        <f>ROUND('Sum of Billing Determinants'!M16*-1*'Rate Calculations'!$G$8*(1-'Sum of Billing Determinants'!$AC16),0)</f>
        <v>-1563</v>
      </c>
      <c r="M5" s="26">
        <f>ROUND('Sum of Billing Determinants'!N16*-1*'Rate Calculations'!$G$8*(1-'Sum of Billing Determinants'!$AC16),0)</f>
        <v>-1438</v>
      </c>
      <c r="N5" s="26">
        <f>SUM(D5:M5)</f>
        <v>-17224</v>
      </c>
      <c r="P5" s="11"/>
    </row>
    <row r="6" spans="2:16" ht="15">
      <c r="B6" s="22">
        <f>'Sum of Billing Determinants'!A17</f>
        <v>10015</v>
      </c>
      <c r="C6" s="22" t="str">
        <f>'Sum of Billing Determinants'!B17</f>
        <v>Asotin County PUD #1</v>
      </c>
      <c r="D6" s="26">
        <f>ROUND('Sum of Billing Determinants'!E17*-1*'Rate Calculations'!$G$8*(1-'Sum of Billing Determinants'!$AC17),0)</f>
        <v>-2044</v>
      </c>
      <c r="E6" s="26">
        <f>ROUND('Sum of Billing Determinants'!F17*-1*'Rate Calculations'!$G$8*(1-'Sum of Billing Determinants'!$AC17),0)</f>
        <v>-2124</v>
      </c>
      <c r="F6" s="26">
        <f>ROUND('Sum of Billing Determinants'!G17*-1*'Rate Calculations'!$G$8*(1-'Sum of Billing Determinants'!$AC17),0)</f>
        <v>-1827</v>
      </c>
      <c r="G6" s="26">
        <f>ROUND('Sum of Billing Determinants'!H17*-1*'Rate Calculations'!$G$8*(1-'Sum of Billing Determinants'!$AC17),0)</f>
        <v>-1994</v>
      </c>
      <c r="H6" s="26">
        <f>ROUND('Sum of Billing Determinants'!I17*-1*'Rate Calculations'!$G$8*(1-'Sum of Billing Determinants'!$AC17),0)</f>
        <v>-1574</v>
      </c>
      <c r="I6" s="26">
        <f>ROUND('Sum of Billing Determinants'!J17*-1*'Rate Calculations'!$G$8*(1-'Sum of Billing Determinants'!$AC17),0)</f>
        <v>-1953</v>
      </c>
      <c r="J6" s="26">
        <f>ROUND('Sum of Billing Determinants'!K17*-1*'Rate Calculations'!$G$8*(1-'Sum of Billing Determinants'!$AC17),0)</f>
        <v>-1995</v>
      </c>
      <c r="K6" s="26">
        <f>ROUND('Sum of Billing Determinants'!L17*-1*'Rate Calculations'!$G$8*(1-'Sum of Billing Determinants'!$AC17),0)</f>
        <v>-1732</v>
      </c>
      <c r="L6" s="26">
        <f>ROUND('Sum of Billing Determinants'!M17*-1*'Rate Calculations'!$G$8*(1-'Sum of Billing Determinants'!$AC17),0)</f>
        <v>-1675</v>
      </c>
      <c r="M6" s="26">
        <f>ROUND('Sum of Billing Determinants'!N17*-1*'Rate Calculations'!$G$8*(1-'Sum of Billing Determinants'!$AC17),0)</f>
        <v>-1541</v>
      </c>
      <c r="N6" s="26">
        <f aca="true" t="shared" si="0" ref="N6:N69">SUM(D6:M6)</f>
        <v>-18459</v>
      </c>
      <c r="P6" s="35"/>
    </row>
    <row r="7" spans="1:14" ht="15">
      <c r="A7" s="19" t="s">
        <v>193</v>
      </c>
      <c r="B7" s="72">
        <f>'Sum of Billing Determinants'!A18</f>
        <v>10024</v>
      </c>
      <c r="C7" s="72" t="str">
        <f>'Sum of Billing Determinants'!B18</f>
        <v>Benton County PUD #1</v>
      </c>
      <c r="D7" s="73">
        <f>ROUND(('Sum of Billing Determinants'!E18-'Sum of Billing Determinants'!E9)*-1*'Rate Calculations'!$G$8*(1-'Sum of Billing Determinants'!$AC18),0)</f>
        <v>-372193</v>
      </c>
      <c r="E7" s="73">
        <f>ROUND(('Sum of Billing Determinants'!F18-'Sum of Billing Determinants'!F9)*-1*'Rate Calculations'!$G$8*(1-'Sum of Billing Determinants'!$AC18),0)</f>
        <v>-386766</v>
      </c>
      <c r="F7" s="73">
        <f>ROUND(('Sum of Billing Determinants'!G18-'Sum of Billing Determinants'!G9)*-1*'Rate Calculations'!$G$8*(1-'Sum of Billing Determinants'!$AC18),0)</f>
        <v>-332671</v>
      </c>
      <c r="G7" s="73">
        <f>ROUND(('Sum of Billing Determinants'!H18-'Sum of Billing Determinants'!H9)*-1*'Rate Calculations'!$G$8*(1-'Sum of Billing Determinants'!$AC18),0)</f>
        <v>-363210</v>
      </c>
      <c r="H7" s="73">
        <f>ROUND(('Sum of Billing Determinants'!I18-'Sum of Billing Determinants'!I9)*-1*'Rate Calculations'!$G$8*(1-'Sum of Billing Determinants'!$AC18),0)</f>
        <v>-286693</v>
      </c>
      <c r="I7" s="73">
        <f>ROUND(('Sum of Billing Determinants'!J18-'Sum of Billing Determinants'!J9)*-1*'Rate Calculations'!$G$8*(1-'Sum of Billing Determinants'!$AC18),0)</f>
        <v>-355682</v>
      </c>
      <c r="J7" s="73">
        <f>ROUND(('Sum of Billing Determinants'!K18-'Sum of Billing Determinants'!K9)*-1*'Rate Calculations'!$G$8*(1-'Sum of Billing Determinants'!$AC18),0)</f>
        <v>-363399</v>
      </c>
      <c r="K7" s="73">
        <f>ROUND(('Sum of Billing Determinants'!L18-'Sum of Billing Determinants'!L9)*-1*'Rate Calculations'!$G$8*(1-'Sum of Billing Determinants'!$AC18),0)</f>
        <v>-315483</v>
      </c>
      <c r="L7" s="73">
        <f>ROUND(('Sum of Billing Determinants'!M18-'Sum of Billing Determinants'!M9)*-1*'Rate Calculations'!$G$8*(1-'Sum of Billing Determinants'!$AC18),0)</f>
        <v>-304988</v>
      </c>
      <c r="M7" s="73">
        <f>ROUND(('Sum of Billing Determinants'!N18-'Sum of Billing Determinants'!N9)*-1*'Rate Calculations'!$G$8*(1-'Sum of Billing Determinants'!$AC18),0)</f>
        <v>-280648</v>
      </c>
      <c r="N7" s="73">
        <f t="shared" si="0"/>
        <v>-3361733</v>
      </c>
    </row>
    <row r="8" spans="2:14" ht="15">
      <c r="B8" s="22">
        <f>'Sum of Billing Determinants'!A19</f>
        <v>10025</v>
      </c>
      <c r="C8" s="22" t="str">
        <f>'Sum of Billing Determinants'!B19</f>
        <v>Benton REA</v>
      </c>
      <c r="D8" s="26">
        <f>ROUND('Sum of Billing Determinants'!E19*-1*'Rate Calculations'!$G$8*(1-'Sum of Billing Determinants'!$AC19),0)</f>
        <v>-200128</v>
      </c>
      <c r="E8" s="26">
        <f>ROUND('Sum of Billing Determinants'!F19*-1*'Rate Calculations'!$G$8*(1-'Sum of Billing Determinants'!$AC19),0)</f>
        <v>-207964</v>
      </c>
      <c r="F8" s="26">
        <f>ROUND('Sum of Billing Determinants'!G19*-1*'Rate Calculations'!$G$8*(1-'Sum of Billing Determinants'!$AC19),0)</f>
        <v>-178877</v>
      </c>
      <c r="G8" s="26">
        <f>ROUND('Sum of Billing Determinants'!H19*-1*'Rate Calculations'!$G$8*(1-'Sum of Billing Determinants'!$AC19),0)</f>
        <v>-195298</v>
      </c>
      <c r="H8" s="26">
        <f>ROUND('Sum of Billing Determinants'!I19*-1*'Rate Calculations'!$G$8*(1-'Sum of Billing Determinants'!$AC19),0)</f>
        <v>-154155</v>
      </c>
      <c r="I8" s="26">
        <f>ROUND('Sum of Billing Determinants'!J19*-1*'Rate Calculations'!$G$8*(1-'Sum of Billing Determinants'!$AC19),0)</f>
        <v>-191250</v>
      </c>
      <c r="J8" s="26">
        <f>ROUND('Sum of Billing Determinants'!K19*-1*'Rate Calculations'!$G$8*(1-'Sum of Billing Determinants'!$AC19),0)</f>
        <v>-195399</v>
      </c>
      <c r="K8" s="26">
        <f>ROUND('Sum of Billing Determinants'!L19*-1*'Rate Calculations'!$G$8*(1-'Sum of Billing Determinants'!$AC19),0)</f>
        <v>-169635</v>
      </c>
      <c r="L8" s="26">
        <f>ROUND('Sum of Billing Determinants'!M19*-1*'Rate Calculations'!$G$8*(1-'Sum of Billing Determinants'!$AC19),0)</f>
        <v>-163992</v>
      </c>
      <c r="M8" s="26">
        <f>ROUND('Sum of Billing Determinants'!N19*-1*'Rate Calculations'!$G$8*(1-'Sum of Billing Determinants'!$AC19),0)</f>
        <v>-150904</v>
      </c>
      <c r="N8" s="26">
        <f t="shared" si="0"/>
        <v>-1807602</v>
      </c>
    </row>
    <row r="9" spans="2:14" ht="15">
      <c r="B9" s="22">
        <f>'Sum of Billing Determinants'!A20</f>
        <v>10027</v>
      </c>
      <c r="C9" s="22" t="str">
        <f>'Sum of Billing Determinants'!B20</f>
        <v>Big Bend Elec Coop</v>
      </c>
      <c r="D9" s="26">
        <f>ROUND('Sum of Billing Determinants'!E20*-1*'Rate Calculations'!$G$8*(1-'Sum of Billing Determinants'!$AC20),0)</f>
        <v>-201393</v>
      </c>
      <c r="E9" s="26">
        <f>ROUND('Sum of Billing Determinants'!F20*-1*'Rate Calculations'!$G$8*(1-'Sum of Billing Determinants'!$AC20),0)</f>
        <v>-209278</v>
      </c>
      <c r="F9" s="26">
        <f>ROUND('Sum of Billing Determinants'!G20*-1*'Rate Calculations'!$G$8*(1-'Sum of Billing Determinants'!$AC20),0)</f>
        <v>-180007</v>
      </c>
      <c r="G9" s="26">
        <f>ROUND('Sum of Billing Determinants'!H20*-1*'Rate Calculations'!$G$8*(1-'Sum of Billing Determinants'!$AC20),0)</f>
        <v>-196532</v>
      </c>
      <c r="H9" s="26">
        <f>ROUND('Sum of Billing Determinants'!I20*-1*'Rate Calculations'!$G$8*(1-'Sum of Billing Determinants'!$AC20),0)</f>
        <v>-155129</v>
      </c>
      <c r="I9" s="26">
        <f>ROUND('Sum of Billing Determinants'!J20*-1*'Rate Calculations'!$G$8*(1-'Sum of Billing Determinants'!$AC20),0)</f>
        <v>-192458</v>
      </c>
      <c r="J9" s="26">
        <f>ROUND('Sum of Billing Determinants'!K20*-1*'Rate Calculations'!$G$8*(1-'Sum of Billing Determinants'!$AC20),0)</f>
        <v>-196634</v>
      </c>
      <c r="K9" s="26">
        <f>ROUND('Sum of Billing Determinants'!L20*-1*'Rate Calculations'!$G$8*(1-'Sum of Billing Determinants'!$AC20),0)</f>
        <v>-170707</v>
      </c>
      <c r="L9" s="26">
        <f>ROUND('Sum of Billing Determinants'!M20*-1*'Rate Calculations'!$G$8*(1-'Sum of Billing Determinants'!$AC20),0)</f>
        <v>-165028</v>
      </c>
      <c r="M9" s="26">
        <f>ROUND('Sum of Billing Determinants'!N20*-1*'Rate Calculations'!$G$8*(1-'Sum of Billing Determinants'!$AC20),0)</f>
        <v>-151858</v>
      </c>
      <c r="N9" s="26">
        <f t="shared" si="0"/>
        <v>-1819024</v>
      </c>
    </row>
    <row r="10" spans="2:14" ht="15">
      <c r="B10" s="22">
        <f>'Sum of Billing Determinants'!A21</f>
        <v>10029</v>
      </c>
      <c r="C10" s="22" t="str">
        <f>'Sum of Billing Determinants'!B21</f>
        <v>Blachly Lane Elec Coop</v>
      </c>
      <c r="D10" s="26">
        <f>ROUND('Sum of Billing Determinants'!E21*-1*'Rate Calculations'!$G$8*(1-'Sum of Billing Determinants'!$AC21),0)</f>
        <v>-57822</v>
      </c>
      <c r="E10" s="26">
        <f>ROUND('Sum of Billing Determinants'!F21*-1*'Rate Calculations'!$G$8*(1-'Sum of Billing Determinants'!$AC21),0)</f>
        <v>-60086</v>
      </c>
      <c r="F10" s="26">
        <f>ROUND('Sum of Billing Determinants'!G21*-1*'Rate Calculations'!$G$8*(1-'Sum of Billing Determinants'!$AC21),0)</f>
        <v>-51682</v>
      </c>
      <c r="G10" s="26">
        <f>ROUND('Sum of Billing Determinants'!H21*-1*'Rate Calculations'!$G$8*(1-'Sum of Billing Determinants'!$AC21),0)</f>
        <v>-56426</v>
      </c>
      <c r="H10" s="26">
        <f>ROUND('Sum of Billing Determinants'!I21*-1*'Rate Calculations'!$G$8*(1-'Sum of Billing Determinants'!$AC21),0)</f>
        <v>-44539</v>
      </c>
      <c r="I10" s="26">
        <f>ROUND('Sum of Billing Determinants'!J21*-1*'Rate Calculations'!$G$8*(1-'Sum of Billing Determinants'!$AC21),0)</f>
        <v>-55257</v>
      </c>
      <c r="J10" s="26">
        <f>ROUND('Sum of Billing Determinants'!K21*-1*'Rate Calculations'!$G$8*(1-'Sum of Billing Determinants'!$AC21),0)</f>
        <v>-56456</v>
      </c>
      <c r="K10" s="26">
        <f>ROUND('Sum of Billing Determinants'!L21*-1*'Rate Calculations'!$G$8*(1-'Sum of Billing Determinants'!$AC21),0)</f>
        <v>-49012</v>
      </c>
      <c r="L10" s="26">
        <f>ROUND('Sum of Billing Determinants'!M21*-1*'Rate Calculations'!$G$8*(1-'Sum of Billing Determinants'!$AC21),0)</f>
        <v>-47381</v>
      </c>
      <c r="M10" s="26">
        <f>ROUND('Sum of Billing Determinants'!N21*-1*'Rate Calculations'!$G$8*(1-'Sum of Billing Determinants'!$AC21),0)</f>
        <v>-43600</v>
      </c>
      <c r="N10" s="26">
        <f t="shared" si="0"/>
        <v>-522261</v>
      </c>
    </row>
    <row r="11" spans="2:14" ht="15">
      <c r="B11" s="22">
        <f>'Sum of Billing Determinants'!A22</f>
        <v>10044</v>
      </c>
      <c r="C11" s="22" t="str">
        <f>'Sum of Billing Determinants'!B22</f>
        <v>Canby, City of</v>
      </c>
      <c r="D11" s="26">
        <f>ROUND('Sum of Billing Determinants'!E22*-1*'Rate Calculations'!$G$8*(1-'Sum of Billing Determinants'!$AC22),0)</f>
        <v>-72458</v>
      </c>
      <c r="E11" s="26">
        <f>ROUND('Sum of Billing Determinants'!F22*-1*'Rate Calculations'!$G$8*(1-'Sum of Billing Determinants'!$AC22),0)</f>
        <v>-75295</v>
      </c>
      <c r="F11" s="26">
        <f>ROUND('Sum of Billing Determinants'!G22*-1*'Rate Calculations'!$G$8*(1-'Sum of Billing Determinants'!$AC22),0)</f>
        <v>-64764</v>
      </c>
      <c r="G11" s="26">
        <f>ROUND('Sum of Billing Determinants'!H22*-1*'Rate Calculations'!$G$8*(1-'Sum of Billing Determinants'!$AC22),0)</f>
        <v>-70709</v>
      </c>
      <c r="H11" s="26">
        <f>ROUND('Sum of Billing Determinants'!I22*-1*'Rate Calculations'!$G$8*(1-'Sum of Billing Determinants'!$AC22),0)</f>
        <v>-55813</v>
      </c>
      <c r="I11" s="26">
        <f>ROUND('Sum of Billing Determinants'!J22*-1*'Rate Calculations'!$G$8*(1-'Sum of Billing Determinants'!$AC22),0)</f>
        <v>-69243</v>
      </c>
      <c r="J11" s="26">
        <f>ROUND('Sum of Billing Determinants'!K22*-1*'Rate Calculations'!$G$8*(1-'Sum of Billing Determinants'!$AC22),0)</f>
        <v>-70746</v>
      </c>
      <c r="K11" s="26">
        <f>ROUND('Sum of Billing Determinants'!L22*-1*'Rate Calculations'!$G$8*(1-'Sum of Billing Determinants'!$AC22),0)</f>
        <v>-61418</v>
      </c>
      <c r="L11" s="26">
        <f>ROUND('Sum of Billing Determinants'!M22*-1*'Rate Calculations'!$G$8*(1-'Sum of Billing Determinants'!$AC22),0)</f>
        <v>-59374</v>
      </c>
      <c r="M11" s="26">
        <f>ROUND('Sum of Billing Determinants'!N22*-1*'Rate Calculations'!$G$8*(1-'Sum of Billing Determinants'!$AC22),0)</f>
        <v>-54636</v>
      </c>
      <c r="N11" s="26">
        <f t="shared" si="0"/>
        <v>-654456</v>
      </c>
    </row>
    <row r="12" spans="2:14" ht="15">
      <c r="B12" s="22">
        <f>'Sum of Billing Determinants'!A23</f>
        <v>10046</v>
      </c>
      <c r="C12" s="22" t="str">
        <f>'Sum of Billing Determinants'!B23</f>
        <v>Central Electric Coop</v>
      </c>
      <c r="D12" s="26">
        <f>ROUND('Sum of Billing Determinants'!E23*-1*'Rate Calculations'!$G$8*(1-'Sum of Billing Determinants'!$AC23),0)</f>
        <v>-269092</v>
      </c>
      <c r="E12" s="26">
        <f>ROUND('Sum of Billing Determinants'!F23*-1*'Rate Calculations'!$G$8*(1-'Sum of Billing Determinants'!$AC23),0)</f>
        <v>-279628</v>
      </c>
      <c r="F12" s="26">
        <f>ROUND('Sum of Billing Determinants'!G23*-1*'Rate Calculations'!$G$8*(1-'Sum of Billing Determinants'!$AC23),0)</f>
        <v>-240518</v>
      </c>
      <c r="G12" s="26">
        <f>ROUND('Sum of Billing Determinants'!H23*-1*'Rate Calculations'!$G$8*(1-'Sum of Billing Determinants'!$AC23),0)</f>
        <v>-262597</v>
      </c>
      <c r="H12" s="26">
        <f>ROUND('Sum of Billing Determinants'!I23*-1*'Rate Calculations'!$G$8*(1-'Sum of Billing Determinants'!$AC23),0)</f>
        <v>-207276</v>
      </c>
      <c r="I12" s="26">
        <f>ROUND('Sum of Billing Determinants'!J23*-1*'Rate Calculations'!$G$8*(1-'Sum of Billing Determinants'!$AC23),0)</f>
        <v>-257154</v>
      </c>
      <c r="J12" s="26">
        <f>ROUND('Sum of Billing Determinants'!K23*-1*'Rate Calculations'!$G$8*(1-'Sum of Billing Determinants'!$AC23),0)</f>
        <v>-262734</v>
      </c>
      <c r="K12" s="26">
        <f>ROUND('Sum of Billing Determinants'!L23*-1*'Rate Calculations'!$G$8*(1-'Sum of Billing Determinants'!$AC23),0)</f>
        <v>-228091</v>
      </c>
      <c r="L12" s="26">
        <f>ROUND('Sum of Billing Determinants'!M23*-1*'Rate Calculations'!$G$8*(1-'Sum of Billing Determinants'!$AC23),0)</f>
        <v>-220503</v>
      </c>
      <c r="M12" s="26">
        <f>ROUND('Sum of Billing Determinants'!N23*-1*'Rate Calculations'!$G$8*(1-'Sum of Billing Determinants'!$AC23),0)</f>
        <v>-202906</v>
      </c>
      <c r="N12" s="26">
        <f t="shared" si="0"/>
        <v>-2430499</v>
      </c>
    </row>
    <row r="13" spans="2:14" ht="15">
      <c r="B13" s="22">
        <f>'Sum of Billing Determinants'!A24</f>
        <v>10047</v>
      </c>
      <c r="C13" s="22" t="str">
        <f>'Sum of Billing Determinants'!B24</f>
        <v>Central Lincoln PUD</v>
      </c>
      <c r="D13" s="26">
        <f>ROUND('Sum of Billing Determinants'!E24*-1*'Rate Calculations'!$G$8*(1-'Sum of Billing Determinants'!$AC24),0)</f>
        <v>-543410</v>
      </c>
      <c r="E13" s="26">
        <f>ROUND('Sum of Billing Determinants'!F24*-1*'Rate Calculations'!$G$8*(1-'Sum of Billing Determinants'!$AC24),0)</f>
        <v>-564687</v>
      </c>
      <c r="F13" s="26">
        <f>ROUND('Sum of Billing Determinants'!G24*-1*'Rate Calculations'!$G$8*(1-'Sum of Billing Determinants'!$AC24),0)</f>
        <v>-485706</v>
      </c>
      <c r="G13" s="26">
        <f>ROUND('Sum of Billing Determinants'!H24*-1*'Rate Calculations'!$G$8*(1-'Sum of Billing Determinants'!$AC24),0)</f>
        <v>-530295</v>
      </c>
      <c r="H13" s="26">
        <f>ROUND('Sum of Billing Determinants'!I24*-1*'Rate Calculations'!$G$8*(1-'Sum of Billing Determinants'!$AC24),0)</f>
        <v>-418579</v>
      </c>
      <c r="I13" s="26">
        <f>ROUND('Sum of Billing Determinants'!J24*-1*'Rate Calculations'!$G$8*(1-'Sum of Billing Determinants'!$AC24),0)</f>
        <v>-519303</v>
      </c>
      <c r="J13" s="26">
        <f>ROUND('Sum of Billing Determinants'!K24*-1*'Rate Calculations'!$G$8*(1-'Sum of Billing Determinants'!$AC24),0)</f>
        <v>-530571</v>
      </c>
      <c r="K13" s="26">
        <f>ROUND('Sum of Billing Determinants'!L24*-1*'Rate Calculations'!$G$8*(1-'Sum of Billing Determinants'!$AC24),0)</f>
        <v>-460612</v>
      </c>
      <c r="L13" s="26">
        <f>ROUND('Sum of Billing Determinants'!M24*-1*'Rate Calculations'!$G$8*(1-'Sum of Billing Determinants'!$AC24),0)</f>
        <v>-445289</v>
      </c>
      <c r="M13" s="26">
        <f>ROUND('Sum of Billing Determinants'!N24*-1*'Rate Calculations'!$G$8*(1-'Sum of Billing Determinants'!$AC24),0)</f>
        <v>-409752</v>
      </c>
      <c r="N13" s="26">
        <f>SUM(D13:M13)</f>
        <v>-4908204</v>
      </c>
    </row>
    <row r="14" spans="2:14" ht="15">
      <c r="B14" s="22">
        <f>'Sum of Billing Determinants'!A25</f>
        <v>10055</v>
      </c>
      <c r="C14" s="22" t="str">
        <f>'Sum of Billing Determinants'!B25</f>
        <v>Albion, City of</v>
      </c>
      <c r="D14" s="26">
        <f>ROUND('Sum of Billing Determinants'!E25*-1*'Rate Calculations'!$G$8*(1-'Sum of Billing Determinants'!$AC25),0)</f>
        <v>-1396</v>
      </c>
      <c r="E14" s="26">
        <f>ROUND('Sum of Billing Determinants'!F25*-1*'Rate Calculations'!$G$8*(1-'Sum of Billing Determinants'!$AC25),0)</f>
        <v>-1451</v>
      </c>
      <c r="F14" s="26">
        <f>ROUND('Sum of Billing Determinants'!G25*-1*'Rate Calculations'!$G$8*(1-'Sum of Billing Determinants'!$AC25),0)</f>
        <v>-1248</v>
      </c>
      <c r="G14" s="26">
        <f>ROUND('Sum of Billing Determinants'!H25*-1*'Rate Calculations'!$G$8*(1-'Sum of Billing Determinants'!$AC25),0)</f>
        <v>-1362</v>
      </c>
      <c r="H14" s="26">
        <f>ROUND('Sum of Billing Determinants'!I25*-1*'Rate Calculations'!$G$8*(1-'Sum of Billing Determinants'!$AC25),0)</f>
        <v>-1075</v>
      </c>
      <c r="I14" s="26">
        <f>ROUND('Sum of Billing Determinants'!J25*-1*'Rate Calculations'!$G$8*(1-'Sum of Billing Determinants'!$AC25),0)</f>
        <v>-1334</v>
      </c>
      <c r="J14" s="26">
        <f>ROUND('Sum of Billing Determinants'!K25*-1*'Rate Calculations'!$G$8*(1-'Sum of Billing Determinants'!$AC25),0)</f>
        <v>-1363</v>
      </c>
      <c r="K14" s="26">
        <f>ROUND('Sum of Billing Determinants'!L25*-1*'Rate Calculations'!$G$8*(1-'Sum of Billing Determinants'!$AC25),0)</f>
        <v>-1183</v>
      </c>
      <c r="L14" s="26">
        <f>ROUND('Sum of Billing Determinants'!M25*-1*'Rate Calculations'!$G$8*(1-'Sum of Billing Determinants'!$AC25),0)</f>
        <v>-1144</v>
      </c>
      <c r="M14" s="26">
        <f>ROUND('Sum of Billing Determinants'!N25*-1*'Rate Calculations'!$G$8*(1-'Sum of Billing Determinants'!$AC25),0)</f>
        <v>-1053</v>
      </c>
      <c r="N14" s="26">
        <f t="shared" si="0"/>
        <v>-12609</v>
      </c>
    </row>
    <row r="15" spans="2:14" ht="15">
      <c r="B15" s="22">
        <f>'Sum of Billing Determinants'!A26</f>
        <v>10057</v>
      </c>
      <c r="C15" s="22" t="str">
        <f>'Sum of Billing Determinants'!B26</f>
        <v>Ashland, City of</v>
      </c>
      <c r="D15" s="26">
        <f>ROUND('Sum of Billing Determinants'!E26*-1*'Rate Calculations'!$G$8*(1-'Sum of Billing Determinants'!$AC26),0)</f>
        <v>-71334</v>
      </c>
      <c r="E15" s="26">
        <f>ROUND('Sum of Billing Determinants'!F26*-1*'Rate Calculations'!$G$8*(1-'Sum of Billing Determinants'!$AC26),0)</f>
        <v>-74127</v>
      </c>
      <c r="F15" s="26">
        <f>ROUND('Sum of Billing Determinants'!G26*-1*'Rate Calculations'!$G$8*(1-'Sum of Billing Determinants'!$AC26),0)</f>
        <v>-63759</v>
      </c>
      <c r="G15" s="26">
        <f>ROUND('Sum of Billing Determinants'!H26*-1*'Rate Calculations'!$G$8*(1-'Sum of Billing Determinants'!$AC26),0)</f>
        <v>-69612</v>
      </c>
      <c r="H15" s="26">
        <f>ROUND('Sum of Billing Determinants'!I26*-1*'Rate Calculations'!$G$8*(1-'Sum of Billing Determinants'!$AC26),0)</f>
        <v>-54947</v>
      </c>
      <c r="I15" s="26">
        <f>ROUND('Sum of Billing Determinants'!J26*-1*'Rate Calculations'!$G$8*(1-'Sum of Billing Determinants'!$AC26),0)</f>
        <v>-68169</v>
      </c>
      <c r="J15" s="26">
        <f>ROUND('Sum of Billing Determinants'!K26*-1*'Rate Calculations'!$G$8*(1-'Sum of Billing Determinants'!$AC26),0)</f>
        <v>-69648</v>
      </c>
      <c r="K15" s="26">
        <f>ROUND('Sum of Billing Determinants'!L26*-1*'Rate Calculations'!$G$8*(1-'Sum of Billing Determinants'!$AC26),0)</f>
        <v>-60465</v>
      </c>
      <c r="L15" s="26">
        <f>ROUND('Sum of Billing Determinants'!M26*-1*'Rate Calculations'!$G$8*(1-'Sum of Billing Determinants'!$AC26),0)</f>
        <v>-58454</v>
      </c>
      <c r="M15" s="26">
        <f>ROUND('Sum of Billing Determinants'!N26*-1*'Rate Calculations'!$G$8*(1-'Sum of Billing Determinants'!$AC26),0)</f>
        <v>-53789</v>
      </c>
      <c r="N15" s="26">
        <f t="shared" si="0"/>
        <v>-644304</v>
      </c>
    </row>
    <row r="16" spans="2:14" ht="15">
      <c r="B16" s="22">
        <f>'Sum of Billing Determinants'!A27</f>
        <v>10059</v>
      </c>
      <c r="C16" s="22" t="str">
        <f>'Sum of Billing Determinants'!B27</f>
        <v>Bandon, City of</v>
      </c>
      <c r="D16" s="26">
        <f>ROUND('Sum of Billing Determinants'!E27*-1*'Rate Calculations'!$G$8*(1-'Sum of Billing Determinants'!$AC27),0)</f>
        <v>-27128</v>
      </c>
      <c r="E16" s="26">
        <f>ROUND('Sum of Billing Determinants'!F27*-1*'Rate Calculations'!$G$8*(1-'Sum of Billing Determinants'!$AC27),0)</f>
        <v>-28190</v>
      </c>
      <c r="F16" s="26">
        <f>ROUND('Sum of Billing Determinants'!G27*-1*'Rate Calculations'!$G$8*(1-'Sum of Billing Determinants'!$AC27),0)</f>
        <v>-24247</v>
      </c>
      <c r="G16" s="26">
        <f>ROUND('Sum of Billing Determinants'!H27*-1*'Rate Calculations'!$G$8*(1-'Sum of Billing Determinants'!$AC27),0)</f>
        <v>-26473</v>
      </c>
      <c r="H16" s="26">
        <f>ROUND('Sum of Billing Determinants'!I27*-1*'Rate Calculations'!$G$8*(1-'Sum of Billing Determinants'!$AC27),0)</f>
        <v>-20896</v>
      </c>
      <c r="I16" s="26">
        <f>ROUND('Sum of Billing Determinants'!J27*-1*'Rate Calculations'!$G$8*(1-'Sum of Billing Determinants'!$AC27),0)</f>
        <v>-25924</v>
      </c>
      <c r="J16" s="26">
        <f>ROUND('Sum of Billing Determinants'!K27*-1*'Rate Calculations'!$G$8*(1-'Sum of Billing Determinants'!$AC27),0)</f>
        <v>-26487</v>
      </c>
      <c r="K16" s="26">
        <f>ROUND('Sum of Billing Determinants'!L27*-1*'Rate Calculations'!$G$8*(1-'Sum of Billing Determinants'!$AC27),0)</f>
        <v>-22994</v>
      </c>
      <c r="L16" s="26">
        <f>ROUND('Sum of Billing Determinants'!M27*-1*'Rate Calculations'!$G$8*(1-'Sum of Billing Determinants'!$AC27),0)</f>
        <v>-22230</v>
      </c>
      <c r="M16" s="26">
        <f>ROUND('Sum of Billing Determinants'!N27*-1*'Rate Calculations'!$G$8*(1-'Sum of Billing Determinants'!$AC27),0)</f>
        <v>-20455</v>
      </c>
      <c r="N16" s="26">
        <f t="shared" si="0"/>
        <v>-245024</v>
      </c>
    </row>
    <row r="17" spans="2:14" ht="15">
      <c r="B17" s="22">
        <f>'Sum of Billing Determinants'!A28</f>
        <v>10061</v>
      </c>
      <c r="C17" s="22" t="str">
        <f>'Sum of Billing Determinants'!B28</f>
        <v>Blaine, City of</v>
      </c>
      <c r="D17" s="26">
        <f>ROUND('Sum of Billing Determinants'!E28*-1*'Rate Calculations'!$G$8*(1-'Sum of Billing Determinants'!$AC28),0)</f>
        <v>-31208</v>
      </c>
      <c r="E17" s="26">
        <f>ROUND('Sum of Billing Determinants'!F28*-1*'Rate Calculations'!$G$8*(1-'Sum of Billing Determinants'!$AC28),0)</f>
        <v>-32430</v>
      </c>
      <c r="F17" s="26">
        <f>ROUND('Sum of Billing Determinants'!G28*-1*'Rate Calculations'!$G$8*(1-'Sum of Billing Determinants'!$AC28),0)</f>
        <v>-27894</v>
      </c>
      <c r="G17" s="26">
        <f>ROUND('Sum of Billing Determinants'!H28*-1*'Rate Calculations'!$G$8*(1-'Sum of Billing Determinants'!$AC28),0)</f>
        <v>-30455</v>
      </c>
      <c r="H17" s="26">
        <f>ROUND('Sum of Billing Determinants'!I28*-1*'Rate Calculations'!$G$8*(1-'Sum of Billing Determinants'!$AC28),0)</f>
        <v>-24039</v>
      </c>
      <c r="I17" s="26">
        <f>ROUND('Sum of Billing Determinants'!J28*-1*'Rate Calculations'!$G$8*(1-'Sum of Billing Determinants'!$AC28),0)</f>
        <v>-29823</v>
      </c>
      <c r="J17" s="26">
        <f>ROUND('Sum of Billing Determinants'!K28*-1*'Rate Calculations'!$G$8*(1-'Sum of Billing Determinants'!$AC28),0)</f>
        <v>-30470</v>
      </c>
      <c r="K17" s="26">
        <f>ROUND('Sum of Billing Determinants'!L28*-1*'Rate Calculations'!$G$8*(1-'Sum of Billing Determinants'!$AC28),0)</f>
        <v>-26453</v>
      </c>
      <c r="L17" s="26">
        <f>ROUND('Sum of Billing Determinants'!M28*-1*'Rate Calculations'!$G$8*(1-'Sum of Billing Determinants'!$AC28),0)</f>
        <v>-25573</v>
      </c>
      <c r="M17" s="26">
        <f>ROUND('Sum of Billing Determinants'!N28*-1*'Rate Calculations'!$G$8*(1-'Sum of Billing Determinants'!$AC28),0)</f>
        <v>-23532</v>
      </c>
      <c r="N17" s="26">
        <f t="shared" si="0"/>
        <v>-281877</v>
      </c>
    </row>
    <row r="18" spans="2:14" ht="15">
      <c r="B18" s="22">
        <f>'Sum of Billing Determinants'!A29</f>
        <v>10062</v>
      </c>
      <c r="C18" s="22" t="str">
        <f>'Sum of Billing Determinants'!B29</f>
        <v>Bonners Ferry, City of</v>
      </c>
      <c r="D18" s="26">
        <f>ROUND('Sum of Billing Determinants'!E29*-1*'Rate Calculations'!$G$8*(1-'Sum of Billing Determinants'!$AC29),0)</f>
        <v>-18981</v>
      </c>
      <c r="E18" s="26">
        <f>ROUND('Sum of Billing Determinants'!F29*-1*'Rate Calculations'!$G$8*(1-'Sum of Billing Determinants'!$AC29),0)</f>
        <v>-19724</v>
      </c>
      <c r="F18" s="26">
        <f>ROUND('Sum of Billing Determinants'!G29*-1*'Rate Calculations'!$G$8*(1-'Sum of Billing Determinants'!$AC29),0)</f>
        <v>-16965</v>
      </c>
      <c r="G18" s="26">
        <f>ROUND('Sum of Billing Determinants'!H29*-1*'Rate Calculations'!$G$8*(1-'Sum of Billing Determinants'!$AC29),0)</f>
        <v>-18523</v>
      </c>
      <c r="H18" s="26">
        <f>ROUND('Sum of Billing Determinants'!I29*-1*'Rate Calculations'!$G$8*(1-'Sum of Billing Determinants'!$AC29),0)</f>
        <v>-14621</v>
      </c>
      <c r="I18" s="26">
        <f>ROUND('Sum of Billing Determinants'!J29*-1*'Rate Calculations'!$G$8*(1-'Sum of Billing Determinants'!$AC29),0)</f>
        <v>-18139</v>
      </c>
      <c r="J18" s="26">
        <f>ROUND('Sum of Billing Determinants'!K29*-1*'Rate Calculations'!$G$8*(1-'Sum of Billing Determinants'!$AC29),0)</f>
        <v>-18532</v>
      </c>
      <c r="K18" s="26">
        <f>ROUND('Sum of Billing Determinants'!L29*-1*'Rate Calculations'!$G$8*(1-'Sum of Billing Determinants'!$AC29),0)</f>
        <v>-16089</v>
      </c>
      <c r="L18" s="26">
        <f>ROUND('Sum of Billing Determinants'!M29*-1*'Rate Calculations'!$G$8*(1-'Sum of Billing Determinants'!$AC29),0)</f>
        <v>-15553</v>
      </c>
      <c r="M18" s="26">
        <f>ROUND('Sum of Billing Determinants'!N29*-1*'Rate Calculations'!$G$8*(1-'Sum of Billing Determinants'!$AC29),0)</f>
        <v>-14312</v>
      </c>
      <c r="N18" s="26">
        <f t="shared" si="0"/>
        <v>-171439</v>
      </c>
    </row>
    <row r="19" spans="2:14" ht="15">
      <c r="B19" s="22">
        <f>'Sum of Billing Determinants'!A30</f>
        <v>10064</v>
      </c>
      <c r="C19" s="22" t="str">
        <f>'Sum of Billing Determinants'!B30</f>
        <v>Burley, City of</v>
      </c>
      <c r="D19" s="26">
        <f>ROUND('Sum of Billing Determinants'!E30*-1*'Rate Calculations'!$G$8*(1-'Sum of Billing Determinants'!$AC30),0)</f>
        <v>-50176</v>
      </c>
      <c r="E19" s="26">
        <f>ROUND('Sum of Billing Determinants'!F30*-1*'Rate Calculations'!$G$8*(1-'Sum of Billing Determinants'!$AC30),0)</f>
        <v>-52141</v>
      </c>
      <c r="F19" s="26">
        <f>ROUND('Sum of Billing Determinants'!G30*-1*'Rate Calculations'!$G$8*(1-'Sum of Billing Determinants'!$AC30),0)</f>
        <v>-44848</v>
      </c>
      <c r="G19" s="26">
        <f>ROUND('Sum of Billing Determinants'!H30*-1*'Rate Calculations'!$G$8*(1-'Sum of Billing Determinants'!$AC30),0)</f>
        <v>-48965</v>
      </c>
      <c r="H19" s="26">
        <f>ROUND('Sum of Billing Determinants'!I30*-1*'Rate Calculations'!$G$8*(1-'Sum of Billing Determinants'!$AC30),0)</f>
        <v>-38650</v>
      </c>
      <c r="I19" s="26">
        <f>ROUND('Sum of Billing Determinants'!J30*-1*'Rate Calculations'!$G$8*(1-'Sum of Billing Determinants'!$AC30),0)</f>
        <v>-47950</v>
      </c>
      <c r="J19" s="26">
        <f>ROUND('Sum of Billing Determinants'!K30*-1*'Rate Calculations'!$G$8*(1-'Sum of Billing Determinants'!$AC30),0)</f>
        <v>-48990</v>
      </c>
      <c r="K19" s="26">
        <f>ROUND('Sum of Billing Determinants'!L30*-1*'Rate Calculations'!$G$8*(1-'Sum of Billing Determinants'!$AC30),0)</f>
        <v>-42531</v>
      </c>
      <c r="L19" s="26">
        <f>ROUND('Sum of Billing Determinants'!M30*-1*'Rate Calculations'!$G$8*(1-'Sum of Billing Determinants'!$AC30),0)</f>
        <v>-41116</v>
      </c>
      <c r="M19" s="26">
        <f>ROUND('Sum of Billing Determinants'!N30*-1*'Rate Calculations'!$G$8*(1-'Sum of Billing Determinants'!$AC30),0)</f>
        <v>-37835</v>
      </c>
      <c r="N19" s="26">
        <f t="shared" si="0"/>
        <v>-453202</v>
      </c>
    </row>
    <row r="20" spans="2:14" ht="15">
      <c r="B20" s="22">
        <f>'Sum of Billing Determinants'!A31</f>
        <v>10065</v>
      </c>
      <c r="C20" s="22" t="str">
        <f>'Sum of Billing Determinants'!B31</f>
        <v>Cascade Locks, City of</v>
      </c>
      <c r="D20" s="26">
        <f>ROUND('Sum of Billing Determinants'!E31*-1*'Rate Calculations'!$G$8*(1-'Sum of Billing Determinants'!$AC31),0)</f>
        <v>-7922</v>
      </c>
      <c r="E20" s="26">
        <f>ROUND('Sum of Billing Determinants'!F31*-1*'Rate Calculations'!$G$8*(1-'Sum of Billing Determinants'!$AC31),0)</f>
        <v>-8232</v>
      </c>
      <c r="F20" s="26">
        <f>ROUND('Sum of Billing Determinants'!G31*-1*'Rate Calculations'!$G$8*(1-'Sum of Billing Determinants'!$AC31),0)</f>
        <v>-7081</v>
      </c>
      <c r="G20" s="26">
        <f>ROUND('Sum of Billing Determinants'!H31*-1*'Rate Calculations'!$G$8*(1-'Sum of Billing Determinants'!$AC31),0)</f>
        <v>-7731</v>
      </c>
      <c r="H20" s="26">
        <f>ROUND('Sum of Billing Determinants'!I31*-1*'Rate Calculations'!$G$8*(1-'Sum of Billing Determinants'!$AC31),0)</f>
        <v>-6102</v>
      </c>
      <c r="I20" s="26">
        <f>ROUND('Sum of Billing Determinants'!J31*-1*'Rate Calculations'!$G$8*(1-'Sum of Billing Determinants'!$AC31),0)</f>
        <v>-7570</v>
      </c>
      <c r="J20" s="26">
        <f>ROUND('Sum of Billing Determinants'!K31*-1*'Rate Calculations'!$G$8*(1-'Sum of Billing Determinants'!$AC31),0)</f>
        <v>-7735</v>
      </c>
      <c r="K20" s="26">
        <f>ROUND('Sum of Billing Determinants'!L31*-1*'Rate Calculations'!$G$8*(1-'Sum of Billing Determinants'!$AC31),0)</f>
        <v>-6715</v>
      </c>
      <c r="L20" s="26">
        <f>ROUND('Sum of Billing Determinants'!M31*-1*'Rate Calculations'!$G$8*(1-'Sum of Billing Determinants'!$AC31),0)</f>
        <v>-6491</v>
      </c>
      <c r="M20" s="26">
        <f>ROUND('Sum of Billing Determinants'!N31*-1*'Rate Calculations'!$G$8*(1-'Sum of Billing Determinants'!$AC31),0)</f>
        <v>-5973</v>
      </c>
      <c r="N20" s="26">
        <f t="shared" si="0"/>
        <v>-71552</v>
      </c>
    </row>
    <row r="21" spans="2:14" ht="15">
      <c r="B21" s="22">
        <f>'Sum of Billing Determinants'!A32</f>
        <v>10066</v>
      </c>
      <c r="C21" s="22" t="str">
        <f>'Sum of Billing Determinants'!B32</f>
        <v>Centralia, City of</v>
      </c>
      <c r="D21" s="26">
        <f>ROUND('Sum of Billing Determinants'!E32*-1*'Rate Calculations'!$G$8*(1-'Sum of Billing Determinants'!$AC32),0)</f>
        <v>-86948</v>
      </c>
      <c r="E21" s="26">
        <f>ROUND('Sum of Billing Determinants'!F32*-1*'Rate Calculations'!$G$8*(1-'Sum of Billing Determinants'!$AC32),0)</f>
        <v>-90352</v>
      </c>
      <c r="F21" s="26">
        <f>ROUND('Sum of Billing Determinants'!G32*-1*'Rate Calculations'!$G$8*(1-'Sum of Billing Determinants'!$AC32),0)</f>
        <v>-77715</v>
      </c>
      <c r="G21" s="26">
        <f>ROUND('Sum of Billing Determinants'!H32*-1*'Rate Calculations'!$G$8*(1-'Sum of Billing Determinants'!$AC32),0)</f>
        <v>-84849</v>
      </c>
      <c r="H21" s="26">
        <f>ROUND('Sum of Billing Determinants'!I32*-1*'Rate Calculations'!$G$8*(1-'Sum of Billing Determinants'!$AC32),0)</f>
        <v>-66974</v>
      </c>
      <c r="I21" s="26">
        <f>ROUND('Sum of Billing Determinants'!J32*-1*'Rate Calculations'!$G$8*(1-'Sum of Billing Determinants'!$AC32),0)</f>
        <v>-83091</v>
      </c>
      <c r="J21" s="26">
        <f>ROUND('Sum of Billing Determinants'!K32*-1*'Rate Calculations'!$G$8*(1-'Sum of Billing Determinants'!$AC32),0)</f>
        <v>-84894</v>
      </c>
      <c r="K21" s="26">
        <f>ROUND('Sum of Billing Determinants'!L32*-1*'Rate Calculations'!$G$8*(1-'Sum of Billing Determinants'!$AC32),0)</f>
        <v>-73700</v>
      </c>
      <c r="L21" s="26">
        <f>ROUND('Sum of Billing Determinants'!M32*-1*'Rate Calculations'!$G$8*(1-'Sum of Billing Determinants'!$AC32),0)</f>
        <v>-71248</v>
      </c>
      <c r="M21" s="26">
        <f>ROUND('Sum of Billing Determinants'!N32*-1*'Rate Calculations'!$G$8*(1-'Sum of Billing Determinants'!$AC32),0)</f>
        <v>-65562</v>
      </c>
      <c r="N21" s="26">
        <f t="shared" si="0"/>
        <v>-785333</v>
      </c>
    </row>
    <row r="22" spans="2:14" ht="15">
      <c r="B22" s="22">
        <f>'Sum of Billing Determinants'!A33</f>
        <v>10067</v>
      </c>
      <c r="C22" s="22" t="str">
        <f>'Sum of Billing Determinants'!B33</f>
        <v>Cheney, City of</v>
      </c>
      <c r="D22" s="26">
        <f>ROUND('Sum of Billing Determinants'!E33*-1*'Rate Calculations'!$G$8*(1-'Sum of Billing Determinants'!$AC33),0)</f>
        <v>-56431</v>
      </c>
      <c r="E22" s="26">
        <f>ROUND('Sum of Billing Determinants'!F33*-1*'Rate Calculations'!$G$8*(1-'Sum of Billing Determinants'!$AC33),0)</f>
        <v>-58640</v>
      </c>
      <c r="F22" s="26">
        <f>ROUND('Sum of Billing Determinants'!G33*-1*'Rate Calculations'!$G$8*(1-'Sum of Billing Determinants'!$AC33),0)</f>
        <v>-50438</v>
      </c>
      <c r="G22" s="26">
        <f>ROUND('Sum of Billing Determinants'!H33*-1*'Rate Calculations'!$G$8*(1-'Sum of Billing Determinants'!$AC33),0)</f>
        <v>-55069</v>
      </c>
      <c r="H22" s="26">
        <f>ROUND('Sum of Billing Determinants'!I33*-1*'Rate Calculations'!$G$8*(1-'Sum of Billing Determinants'!$AC33),0)</f>
        <v>-43467</v>
      </c>
      <c r="I22" s="26">
        <f>ROUND('Sum of Billing Determinants'!J33*-1*'Rate Calculations'!$G$8*(1-'Sum of Billing Determinants'!$AC33),0)</f>
        <v>-53927</v>
      </c>
      <c r="J22" s="26">
        <f>ROUND('Sum of Billing Determinants'!K33*-1*'Rate Calculations'!$G$8*(1-'Sum of Billing Determinants'!$AC33),0)</f>
        <v>-55097</v>
      </c>
      <c r="K22" s="26">
        <f>ROUND('Sum of Billing Determinants'!L33*-1*'Rate Calculations'!$G$8*(1-'Sum of Billing Determinants'!$AC33),0)</f>
        <v>-47832</v>
      </c>
      <c r="L22" s="26">
        <f>ROUND('Sum of Billing Determinants'!M33*-1*'Rate Calculations'!$G$8*(1-'Sum of Billing Determinants'!$AC33),0)</f>
        <v>-46241</v>
      </c>
      <c r="M22" s="26">
        <f>ROUND('Sum of Billing Determinants'!N33*-1*'Rate Calculations'!$G$8*(1-'Sum of Billing Determinants'!$AC33),0)</f>
        <v>-42551</v>
      </c>
      <c r="N22" s="26">
        <f t="shared" si="0"/>
        <v>-509693</v>
      </c>
    </row>
    <row r="23" spans="2:14" ht="15">
      <c r="B23" s="22">
        <f>'Sum of Billing Determinants'!A34</f>
        <v>10068</v>
      </c>
      <c r="C23" s="22" t="str">
        <f>'Sum of Billing Determinants'!B34</f>
        <v>Chewelah, City of</v>
      </c>
      <c r="D23" s="26">
        <f>ROUND('Sum of Billing Determinants'!E34*-1*'Rate Calculations'!$G$8*(1-'Sum of Billing Determinants'!$AC34),0)</f>
        <v>-8999</v>
      </c>
      <c r="E23" s="26">
        <f>ROUND('Sum of Billing Determinants'!F34*-1*'Rate Calculations'!$G$8*(1-'Sum of Billing Determinants'!$AC34),0)</f>
        <v>-9351</v>
      </c>
      <c r="F23" s="26">
        <f>ROUND('Sum of Billing Determinants'!G34*-1*'Rate Calculations'!$G$8*(1-'Sum of Billing Determinants'!$AC34),0)</f>
        <v>-8043</v>
      </c>
      <c r="G23" s="26">
        <f>ROUND('Sum of Billing Determinants'!H34*-1*'Rate Calculations'!$G$8*(1-'Sum of Billing Determinants'!$AC34),0)</f>
        <v>-8782</v>
      </c>
      <c r="H23" s="26">
        <f>ROUND('Sum of Billing Determinants'!I34*-1*'Rate Calculations'!$G$8*(1-'Sum of Billing Determinants'!$AC34),0)</f>
        <v>-6932</v>
      </c>
      <c r="I23" s="26">
        <f>ROUND('Sum of Billing Determinants'!J34*-1*'Rate Calculations'!$G$8*(1-'Sum of Billing Determinants'!$AC34),0)</f>
        <v>-8600</v>
      </c>
      <c r="J23" s="26">
        <f>ROUND('Sum of Billing Determinants'!K34*-1*'Rate Calculations'!$G$8*(1-'Sum of Billing Determinants'!$AC34),0)</f>
        <v>-8786</v>
      </c>
      <c r="K23" s="26">
        <f>ROUND('Sum of Billing Determinants'!L34*-1*'Rate Calculations'!$G$8*(1-'Sum of Billing Determinants'!$AC34),0)</f>
        <v>-7628</v>
      </c>
      <c r="L23" s="26">
        <f>ROUND('Sum of Billing Determinants'!M34*-1*'Rate Calculations'!$G$8*(1-'Sum of Billing Determinants'!$AC34),0)</f>
        <v>-7374</v>
      </c>
      <c r="M23" s="26">
        <f>ROUND('Sum of Billing Determinants'!N34*-1*'Rate Calculations'!$G$8*(1-'Sum of Billing Determinants'!$AC34),0)</f>
        <v>-6786</v>
      </c>
      <c r="N23" s="26">
        <f t="shared" si="0"/>
        <v>-81281</v>
      </c>
    </row>
    <row r="24" spans="2:14" ht="15">
      <c r="B24" s="22">
        <f>'Sum of Billing Determinants'!A35</f>
        <v>10070</v>
      </c>
      <c r="C24" s="22" t="str">
        <f>'Sum of Billing Determinants'!B35</f>
        <v>Declo, City of</v>
      </c>
      <c r="D24" s="26">
        <f>ROUND('Sum of Billing Determinants'!E35*-1*'Rate Calculations'!$G$8*(1-'Sum of Billing Determinants'!$AC35),0)</f>
        <v>-1280</v>
      </c>
      <c r="E24" s="26">
        <f>ROUND('Sum of Billing Determinants'!F35*-1*'Rate Calculations'!$G$8*(1-'Sum of Billing Determinants'!$AC35),0)</f>
        <v>-1330</v>
      </c>
      <c r="F24" s="26">
        <f>ROUND('Sum of Billing Determinants'!G35*-1*'Rate Calculations'!$G$8*(1-'Sum of Billing Determinants'!$AC35),0)</f>
        <v>-1144</v>
      </c>
      <c r="G24" s="26">
        <f>ROUND('Sum of Billing Determinants'!H35*-1*'Rate Calculations'!$G$8*(1-'Sum of Billing Determinants'!$AC35),0)</f>
        <v>-1249</v>
      </c>
      <c r="H24" s="26">
        <f>ROUND('Sum of Billing Determinants'!I35*-1*'Rate Calculations'!$G$8*(1-'Sum of Billing Determinants'!$AC35),0)</f>
        <v>-986</v>
      </c>
      <c r="I24" s="26">
        <f>ROUND('Sum of Billing Determinants'!J35*-1*'Rate Calculations'!$G$8*(1-'Sum of Billing Determinants'!$AC35),0)</f>
        <v>-1223</v>
      </c>
      <c r="J24" s="26">
        <f>ROUND('Sum of Billing Determinants'!K35*-1*'Rate Calculations'!$G$8*(1-'Sum of Billing Determinants'!$AC35),0)</f>
        <v>-1250</v>
      </c>
      <c r="K24" s="26">
        <f>ROUND('Sum of Billing Determinants'!L35*-1*'Rate Calculations'!$G$8*(1-'Sum of Billing Determinants'!$AC35),0)</f>
        <v>-1085</v>
      </c>
      <c r="L24" s="26">
        <f>ROUND('Sum of Billing Determinants'!M35*-1*'Rate Calculations'!$G$8*(1-'Sum of Billing Determinants'!$AC35),0)</f>
        <v>-1049</v>
      </c>
      <c r="M24" s="26">
        <f>ROUND('Sum of Billing Determinants'!N35*-1*'Rate Calculations'!$G$8*(1-'Sum of Billing Determinants'!$AC35),0)</f>
        <v>-965</v>
      </c>
      <c r="N24" s="26">
        <f t="shared" si="0"/>
        <v>-11561</v>
      </c>
    </row>
    <row r="25" spans="2:14" ht="15">
      <c r="B25" s="22">
        <f>'Sum of Billing Determinants'!A36</f>
        <v>10071</v>
      </c>
      <c r="C25" s="22" t="str">
        <f>'Sum of Billing Determinants'!B36</f>
        <v>Drain, City of</v>
      </c>
      <c r="D25" s="26">
        <f>ROUND('Sum of Billing Determinants'!E36*-1*'Rate Calculations'!$G$8*(1-'Sum of Billing Determinants'!$AC36),0)</f>
        <v>-6653</v>
      </c>
      <c r="E25" s="26">
        <f>ROUND('Sum of Billing Determinants'!F36*-1*'Rate Calculations'!$G$8*(1-'Sum of Billing Determinants'!$AC36),0)</f>
        <v>-6913</v>
      </c>
      <c r="F25" s="26">
        <f>ROUND('Sum of Billing Determinants'!G36*-1*'Rate Calculations'!$G$8*(1-'Sum of Billing Determinants'!$AC36),0)</f>
        <v>-5946</v>
      </c>
      <c r="G25" s="26">
        <f>ROUND('Sum of Billing Determinants'!H36*-1*'Rate Calculations'!$G$8*(1-'Sum of Billing Determinants'!$AC36),0)</f>
        <v>-6492</v>
      </c>
      <c r="H25" s="26">
        <f>ROUND('Sum of Billing Determinants'!I36*-1*'Rate Calculations'!$G$8*(1-'Sum of Billing Determinants'!$AC36),0)</f>
        <v>-5125</v>
      </c>
      <c r="I25" s="26">
        <f>ROUND('Sum of Billing Determinants'!J36*-1*'Rate Calculations'!$G$8*(1-'Sum of Billing Determinants'!$AC36),0)</f>
        <v>-6358</v>
      </c>
      <c r="J25" s="26">
        <f>ROUND('Sum of Billing Determinants'!K36*-1*'Rate Calculations'!$G$8*(1-'Sum of Billing Determinants'!$AC36),0)</f>
        <v>-6496</v>
      </c>
      <c r="K25" s="26">
        <f>ROUND('Sum of Billing Determinants'!L36*-1*'Rate Calculations'!$G$8*(1-'Sum of Billing Determinants'!$AC36),0)</f>
        <v>-5639</v>
      </c>
      <c r="L25" s="26">
        <f>ROUND('Sum of Billing Determinants'!M36*-1*'Rate Calculations'!$G$8*(1-'Sum of Billing Determinants'!$AC36),0)</f>
        <v>-5452</v>
      </c>
      <c r="M25" s="26">
        <f>ROUND('Sum of Billing Determinants'!N36*-1*'Rate Calculations'!$G$8*(1-'Sum of Billing Determinants'!$AC36),0)</f>
        <v>-5016</v>
      </c>
      <c r="N25" s="26">
        <f t="shared" si="0"/>
        <v>-60090</v>
      </c>
    </row>
    <row r="26" spans="2:14" ht="15">
      <c r="B26" s="22">
        <f>'Sum of Billing Determinants'!A37</f>
        <v>10072</v>
      </c>
      <c r="C26" s="22" t="str">
        <f>'Sum of Billing Determinants'!B37</f>
        <v>Ellensburg, City of</v>
      </c>
      <c r="D26" s="26">
        <f>ROUND('Sum of Billing Determinants'!E37*-1*'Rate Calculations'!$G$8*(1-'Sum of Billing Determinants'!$AC37),0)</f>
        <v>-85562</v>
      </c>
      <c r="E26" s="26">
        <f>ROUND('Sum of Billing Determinants'!F37*-1*'Rate Calculations'!$G$8*(1-'Sum of Billing Determinants'!$AC37),0)</f>
        <v>-88912</v>
      </c>
      <c r="F26" s="26">
        <f>ROUND('Sum of Billing Determinants'!G37*-1*'Rate Calculations'!$G$8*(1-'Sum of Billing Determinants'!$AC37),0)</f>
        <v>-76476</v>
      </c>
      <c r="G26" s="26">
        <f>ROUND('Sum of Billing Determinants'!H37*-1*'Rate Calculations'!$G$8*(1-'Sum of Billing Determinants'!$AC37),0)</f>
        <v>-83497</v>
      </c>
      <c r="H26" s="26">
        <f>ROUND('Sum of Billing Determinants'!I37*-1*'Rate Calculations'!$G$8*(1-'Sum of Billing Determinants'!$AC37),0)</f>
        <v>-65907</v>
      </c>
      <c r="I26" s="26">
        <f>ROUND('Sum of Billing Determinants'!J37*-1*'Rate Calculations'!$G$8*(1-'Sum of Billing Determinants'!$AC37),0)</f>
        <v>-81766</v>
      </c>
      <c r="J26" s="26">
        <f>ROUND('Sum of Billing Determinants'!K37*-1*'Rate Calculations'!$G$8*(1-'Sum of Billing Determinants'!$AC37),0)</f>
        <v>-83540</v>
      </c>
      <c r="K26" s="26">
        <f>ROUND('Sum of Billing Determinants'!L37*-1*'Rate Calculations'!$G$8*(1-'Sum of Billing Determinants'!$AC37),0)</f>
        <v>-72525</v>
      </c>
      <c r="L26" s="26">
        <f>ROUND('Sum of Billing Determinants'!M37*-1*'Rate Calculations'!$G$8*(1-'Sum of Billing Determinants'!$AC37),0)</f>
        <v>-70112</v>
      </c>
      <c r="M26" s="26">
        <f>ROUND('Sum of Billing Determinants'!N37*-1*'Rate Calculations'!$G$8*(1-'Sum of Billing Determinants'!$AC37),0)</f>
        <v>-64517</v>
      </c>
      <c r="N26" s="26">
        <f t="shared" si="0"/>
        <v>-772814</v>
      </c>
    </row>
    <row r="27" spans="2:14" ht="15">
      <c r="B27" s="22">
        <f>'Sum of Billing Determinants'!A38</f>
        <v>10074</v>
      </c>
      <c r="C27" s="22" t="str">
        <f>'Sum of Billing Determinants'!B38</f>
        <v>Forest Grove, City of</v>
      </c>
      <c r="D27" s="26">
        <f>ROUND('Sum of Billing Determinants'!E38*-1*'Rate Calculations'!$G$8*(1-'Sum of Billing Determinants'!$AC38),0)</f>
        <v>-95193</v>
      </c>
      <c r="E27" s="26">
        <f>ROUND('Sum of Billing Determinants'!F38*-1*'Rate Calculations'!$G$8*(1-'Sum of Billing Determinants'!$AC38),0)</f>
        <v>-98921</v>
      </c>
      <c r="F27" s="26">
        <f>ROUND('Sum of Billing Determinants'!G38*-1*'Rate Calculations'!$G$8*(1-'Sum of Billing Determinants'!$AC38),0)</f>
        <v>-85085</v>
      </c>
      <c r="G27" s="26">
        <f>ROUND('Sum of Billing Determinants'!H38*-1*'Rate Calculations'!$G$8*(1-'Sum of Billing Determinants'!$AC38),0)</f>
        <v>-92896</v>
      </c>
      <c r="H27" s="26">
        <f>ROUND('Sum of Billing Determinants'!I38*-1*'Rate Calculations'!$G$8*(1-'Sum of Billing Determinants'!$AC38),0)</f>
        <v>-73326</v>
      </c>
      <c r="I27" s="26">
        <f>ROUND('Sum of Billing Determinants'!J38*-1*'Rate Calculations'!$G$8*(1-'Sum of Billing Determinants'!$AC38),0)</f>
        <v>-90970</v>
      </c>
      <c r="J27" s="26">
        <f>ROUND('Sum of Billing Determinants'!K38*-1*'Rate Calculations'!$G$8*(1-'Sum of Billing Determinants'!$AC38),0)</f>
        <v>-92944</v>
      </c>
      <c r="K27" s="26">
        <f>ROUND('Sum of Billing Determinants'!L38*-1*'Rate Calculations'!$G$8*(1-'Sum of Billing Determinants'!$AC38),0)</f>
        <v>-80689</v>
      </c>
      <c r="L27" s="26">
        <f>ROUND('Sum of Billing Determinants'!M38*-1*'Rate Calculations'!$G$8*(1-'Sum of Billing Determinants'!$AC38),0)</f>
        <v>-78005</v>
      </c>
      <c r="M27" s="26">
        <f>ROUND('Sum of Billing Determinants'!N38*-1*'Rate Calculations'!$G$8*(1-'Sum of Billing Determinants'!$AC38),0)</f>
        <v>-71780</v>
      </c>
      <c r="N27" s="26">
        <f t="shared" si="0"/>
        <v>-859809</v>
      </c>
    </row>
    <row r="28" spans="2:14" ht="15">
      <c r="B28" s="22">
        <f>'Sum of Billing Determinants'!A39</f>
        <v>10076</v>
      </c>
      <c r="C28" s="22" t="str">
        <f>'Sum of Billing Determinants'!B39</f>
        <v>Heyburn, City of</v>
      </c>
      <c r="D28" s="26">
        <f>ROUND('Sum of Billing Determinants'!E39*-1*'Rate Calculations'!$G$8*(1-'Sum of Billing Determinants'!$AC39),0)</f>
        <v>-17186</v>
      </c>
      <c r="E28" s="26">
        <f>ROUND('Sum of Billing Determinants'!F39*-1*'Rate Calculations'!$G$8*(1-'Sum of Billing Determinants'!$AC39),0)</f>
        <v>-17859</v>
      </c>
      <c r="F28" s="26">
        <f>ROUND('Sum of Billing Determinants'!G39*-1*'Rate Calculations'!$G$8*(1-'Sum of Billing Determinants'!$AC39),0)</f>
        <v>-15361</v>
      </c>
      <c r="G28" s="26">
        <f>ROUND('Sum of Billing Determinants'!H39*-1*'Rate Calculations'!$G$8*(1-'Sum of Billing Determinants'!$AC39),0)</f>
        <v>-16772</v>
      </c>
      <c r="H28" s="26">
        <f>ROUND('Sum of Billing Determinants'!I39*-1*'Rate Calculations'!$G$8*(1-'Sum of Billing Determinants'!$AC39),0)</f>
        <v>-13238</v>
      </c>
      <c r="I28" s="26">
        <f>ROUND('Sum of Billing Determinants'!J39*-1*'Rate Calculations'!$G$8*(1-'Sum of Billing Determinants'!$AC39),0)</f>
        <v>-16424</v>
      </c>
      <c r="J28" s="26">
        <f>ROUND('Sum of Billing Determinants'!K39*-1*'Rate Calculations'!$G$8*(1-'Sum of Billing Determinants'!$AC39),0)</f>
        <v>-16780</v>
      </c>
      <c r="K28" s="26">
        <f>ROUND('Sum of Billing Determinants'!L39*-1*'Rate Calculations'!$G$8*(1-'Sum of Billing Determinants'!$AC39),0)</f>
        <v>-14568</v>
      </c>
      <c r="L28" s="26">
        <f>ROUND('Sum of Billing Determinants'!M39*-1*'Rate Calculations'!$G$8*(1-'Sum of Billing Determinants'!$AC39),0)</f>
        <v>-14083</v>
      </c>
      <c r="M28" s="26">
        <f>ROUND('Sum of Billing Determinants'!N39*-1*'Rate Calculations'!$G$8*(1-'Sum of Billing Determinants'!$AC39),0)</f>
        <v>-12959</v>
      </c>
      <c r="N28" s="26">
        <f t="shared" si="0"/>
        <v>-155230</v>
      </c>
    </row>
    <row r="29" spans="2:14" ht="15">
      <c r="B29" s="22">
        <f>'Sum of Billing Determinants'!A40</f>
        <v>10078</v>
      </c>
      <c r="C29" s="22" t="str">
        <f>'Sum of Billing Determinants'!B40</f>
        <v>McCleary, City of</v>
      </c>
      <c r="D29" s="26">
        <f>ROUND('Sum of Billing Determinants'!E40*-1*'Rate Calculations'!$G$8*(1-'Sum of Billing Determinants'!$AC40),0)</f>
        <v>-13265</v>
      </c>
      <c r="E29" s="26">
        <f>ROUND('Sum of Billing Determinants'!F40*-1*'Rate Calculations'!$G$8*(1-'Sum of Billing Determinants'!$AC40),0)</f>
        <v>-13785</v>
      </c>
      <c r="F29" s="26">
        <f>ROUND('Sum of Billing Determinants'!G40*-1*'Rate Calculations'!$G$8*(1-'Sum of Billing Determinants'!$AC40),0)</f>
        <v>-11857</v>
      </c>
      <c r="G29" s="26">
        <f>ROUND('Sum of Billing Determinants'!H40*-1*'Rate Calculations'!$G$8*(1-'Sum of Billing Determinants'!$AC40),0)</f>
        <v>-12945</v>
      </c>
      <c r="H29" s="26">
        <f>ROUND('Sum of Billing Determinants'!I40*-1*'Rate Calculations'!$G$8*(1-'Sum of Billing Determinants'!$AC40),0)</f>
        <v>-10218</v>
      </c>
      <c r="I29" s="26">
        <f>ROUND('Sum of Billing Determinants'!J40*-1*'Rate Calculations'!$G$8*(1-'Sum of Billing Determinants'!$AC40),0)</f>
        <v>-12677</v>
      </c>
      <c r="J29" s="26">
        <f>ROUND('Sum of Billing Determinants'!K40*-1*'Rate Calculations'!$G$8*(1-'Sum of Billing Determinants'!$AC40),0)</f>
        <v>-12952</v>
      </c>
      <c r="K29" s="26">
        <f>ROUND('Sum of Billing Determinants'!L40*-1*'Rate Calculations'!$G$8*(1-'Sum of Billing Determinants'!$AC40),0)</f>
        <v>-11244</v>
      </c>
      <c r="L29" s="26">
        <f>ROUND('Sum of Billing Determinants'!M40*-1*'Rate Calculations'!$G$8*(1-'Sum of Billing Determinants'!$AC40),0)</f>
        <v>-10870</v>
      </c>
      <c r="M29" s="26">
        <f>ROUND('Sum of Billing Determinants'!N40*-1*'Rate Calculations'!$G$8*(1-'Sum of Billing Determinants'!$AC40),0)</f>
        <v>-10003</v>
      </c>
      <c r="N29" s="26">
        <f t="shared" si="0"/>
        <v>-119816</v>
      </c>
    </row>
    <row r="30" spans="2:14" ht="15">
      <c r="B30" s="22">
        <f>'Sum of Billing Determinants'!A41</f>
        <v>10079</v>
      </c>
      <c r="C30" s="22" t="str">
        <f>'Sum of Billing Determinants'!B41</f>
        <v>McMinnville, City of</v>
      </c>
      <c r="D30" s="26">
        <f>ROUND('Sum of Billing Determinants'!E41*-1*'Rate Calculations'!$G$8*(1-'Sum of Billing Determinants'!$AC41),0)</f>
        <v>-291744</v>
      </c>
      <c r="E30" s="26">
        <f>ROUND('Sum of Billing Determinants'!F41*-1*'Rate Calculations'!$G$8*(1-'Sum of Billing Determinants'!$AC41),0)</f>
        <v>-303167</v>
      </c>
      <c r="F30" s="26">
        <f>ROUND('Sum of Billing Determinants'!G41*-1*'Rate Calculations'!$G$8*(1-'Sum of Billing Determinants'!$AC41),0)</f>
        <v>-260764</v>
      </c>
      <c r="G30" s="26">
        <f>ROUND('Sum of Billing Determinants'!H41*-1*'Rate Calculations'!$G$8*(1-'Sum of Billing Determinants'!$AC41),0)</f>
        <v>-284703</v>
      </c>
      <c r="H30" s="26">
        <f>ROUND('Sum of Billing Determinants'!I41*-1*'Rate Calculations'!$G$8*(1-'Sum of Billing Determinants'!$AC41),0)</f>
        <v>-224725</v>
      </c>
      <c r="I30" s="26">
        <f>ROUND('Sum of Billing Determinants'!J41*-1*'Rate Calculations'!$G$8*(1-'Sum of Billing Determinants'!$AC41),0)</f>
        <v>-278802</v>
      </c>
      <c r="J30" s="26">
        <f>ROUND('Sum of Billing Determinants'!K41*-1*'Rate Calculations'!$G$8*(1-'Sum of Billing Determinants'!$AC41),0)</f>
        <v>-284851</v>
      </c>
      <c r="K30" s="26">
        <f>ROUND('Sum of Billing Determinants'!L41*-1*'Rate Calculations'!$G$8*(1-'Sum of Billing Determinants'!$AC41),0)</f>
        <v>-247292</v>
      </c>
      <c r="L30" s="26">
        <f>ROUND('Sum of Billing Determinants'!M41*-1*'Rate Calculations'!$G$8*(1-'Sum of Billing Determinants'!$AC41),0)</f>
        <v>-239065</v>
      </c>
      <c r="M30" s="26">
        <f>ROUND('Sum of Billing Determinants'!N41*-1*'Rate Calculations'!$G$8*(1-'Sum of Billing Determinants'!$AC41),0)</f>
        <v>-219986</v>
      </c>
      <c r="N30" s="26">
        <f t="shared" si="0"/>
        <v>-2635099</v>
      </c>
    </row>
    <row r="31" spans="2:14" ht="15">
      <c r="B31" s="22">
        <f>'Sum of Billing Determinants'!A42</f>
        <v>10080</v>
      </c>
      <c r="C31" s="22" t="str">
        <f>'Sum of Billing Determinants'!B42</f>
        <v>Milton, Town of</v>
      </c>
      <c r="D31" s="26">
        <f>ROUND('Sum of Billing Determinants'!E42*-1*'Rate Calculations'!$G$8*(1-'Sum of Billing Determinants'!$AC42),0)</f>
        <v>-23575</v>
      </c>
      <c r="E31" s="26">
        <f>ROUND('Sum of Billing Determinants'!F42*-1*'Rate Calculations'!$G$8*(1-'Sum of Billing Determinants'!$AC42),0)</f>
        <v>-24498</v>
      </c>
      <c r="F31" s="26">
        <f>ROUND('Sum of Billing Determinants'!G42*-1*'Rate Calculations'!$G$8*(1-'Sum of Billing Determinants'!$AC42),0)</f>
        <v>-21071</v>
      </c>
      <c r="G31" s="26">
        <f>ROUND('Sum of Billing Determinants'!H42*-1*'Rate Calculations'!$G$8*(1-'Sum of Billing Determinants'!$AC42),0)</f>
        <v>-23006</v>
      </c>
      <c r="H31" s="26">
        <f>ROUND('Sum of Billing Determinants'!I42*-1*'Rate Calculations'!$G$8*(1-'Sum of Billing Determinants'!$AC42),0)</f>
        <v>-18159</v>
      </c>
      <c r="I31" s="26">
        <f>ROUND('Sum of Billing Determinants'!J42*-1*'Rate Calculations'!$G$8*(1-'Sum of Billing Determinants'!$AC42),0)</f>
        <v>-22529</v>
      </c>
      <c r="J31" s="26">
        <f>ROUND('Sum of Billing Determinants'!K42*-1*'Rate Calculations'!$G$8*(1-'Sum of Billing Determinants'!$AC42),0)</f>
        <v>-23018</v>
      </c>
      <c r="K31" s="26">
        <f>ROUND('Sum of Billing Determinants'!L42*-1*'Rate Calculations'!$G$8*(1-'Sum of Billing Determinants'!$AC42),0)</f>
        <v>-19983</v>
      </c>
      <c r="L31" s="26">
        <f>ROUND('Sum of Billing Determinants'!M42*-1*'Rate Calculations'!$G$8*(1-'Sum of Billing Determinants'!$AC42),0)</f>
        <v>-19318</v>
      </c>
      <c r="M31" s="26">
        <f>ROUND('Sum of Billing Determinants'!N42*-1*'Rate Calculations'!$G$8*(1-'Sum of Billing Determinants'!$AC42),0)</f>
        <v>-17776</v>
      </c>
      <c r="N31" s="26">
        <f t="shared" si="0"/>
        <v>-212933</v>
      </c>
    </row>
    <row r="32" spans="2:14" ht="15">
      <c r="B32" s="22">
        <f>'Sum of Billing Determinants'!A43</f>
        <v>10081</v>
      </c>
      <c r="C32" s="22" t="str">
        <f>'Sum of Billing Determinants'!B43</f>
        <v>Milton-Freewater, City of</v>
      </c>
      <c r="D32" s="26">
        <f>ROUND('Sum of Billing Determinants'!E43*-1*'Rate Calculations'!$G$8*(1-'Sum of Billing Determinants'!$AC43),0)</f>
        <v>-32513</v>
      </c>
      <c r="E32" s="26">
        <f>ROUND('Sum of Billing Determinants'!F43*-1*'Rate Calculations'!$G$8*(1-'Sum of Billing Determinants'!$AC43),0)</f>
        <v>-33786</v>
      </c>
      <c r="F32" s="26">
        <f>ROUND('Sum of Billing Determinants'!G43*-1*'Rate Calculations'!$G$8*(1-'Sum of Billing Determinants'!$AC43),0)</f>
        <v>-29061</v>
      </c>
      <c r="G32" s="26">
        <f>ROUND('Sum of Billing Determinants'!H43*-1*'Rate Calculations'!$G$8*(1-'Sum of Billing Determinants'!$AC43),0)</f>
        <v>-31728</v>
      </c>
      <c r="H32" s="26">
        <f>ROUND('Sum of Billing Determinants'!I43*-1*'Rate Calculations'!$G$8*(1-'Sum of Billing Determinants'!$AC43),0)</f>
        <v>-25044</v>
      </c>
      <c r="I32" s="26">
        <f>ROUND('Sum of Billing Determinants'!J43*-1*'Rate Calculations'!$G$8*(1-'Sum of Billing Determinants'!$AC43),0)</f>
        <v>-31071</v>
      </c>
      <c r="J32" s="26">
        <f>ROUND('Sum of Billing Determinants'!K43*-1*'Rate Calculations'!$G$8*(1-'Sum of Billing Determinants'!$AC43),0)</f>
        <v>-31745</v>
      </c>
      <c r="K32" s="26">
        <f>ROUND('Sum of Billing Determinants'!L43*-1*'Rate Calculations'!$G$8*(1-'Sum of Billing Determinants'!$AC43),0)</f>
        <v>-27559</v>
      </c>
      <c r="L32" s="26">
        <f>ROUND('Sum of Billing Determinants'!M43*-1*'Rate Calculations'!$G$8*(1-'Sum of Billing Determinants'!$AC43),0)</f>
        <v>-26642</v>
      </c>
      <c r="M32" s="26">
        <f>ROUND('Sum of Billing Determinants'!N43*-1*'Rate Calculations'!$G$8*(1-'Sum of Billing Determinants'!$AC43),0)</f>
        <v>-24516</v>
      </c>
      <c r="N32" s="26">
        <f t="shared" si="0"/>
        <v>-293665</v>
      </c>
    </row>
    <row r="33" spans="2:14" ht="15">
      <c r="B33" s="22">
        <f>'Sum of Billing Determinants'!A44</f>
        <v>10082</v>
      </c>
      <c r="C33" s="22" t="str">
        <f>'Sum of Billing Determinants'!B44</f>
        <v>Minidoka, City of</v>
      </c>
      <c r="D33" s="26">
        <f>ROUND('Sum of Billing Determinants'!E44*-1*'Rate Calculations'!$G$8*(1-'Sum of Billing Determinants'!$AC44),0)</f>
        <v>-353</v>
      </c>
      <c r="E33" s="26">
        <f>ROUND('Sum of Billing Determinants'!F44*-1*'Rate Calculations'!$G$8*(1-'Sum of Billing Determinants'!$AC44),0)</f>
        <v>-367</v>
      </c>
      <c r="F33" s="26">
        <f>ROUND('Sum of Billing Determinants'!G44*-1*'Rate Calculations'!$G$8*(1-'Sum of Billing Determinants'!$AC44),0)</f>
        <v>-315</v>
      </c>
      <c r="G33" s="26">
        <f>ROUND('Sum of Billing Determinants'!H44*-1*'Rate Calculations'!$G$8*(1-'Sum of Billing Determinants'!$AC44),0)</f>
        <v>-344</v>
      </c>
      <c r="H33" s="26">
        <f>ROUND('Sum of Billing Determinants'!I44*-1*'Rate Calculations'!$G$8*(1-'Sum of Billing Determinants'!$AC44),0)</f>
        <v>-272</v>
      </c>
      <c r="I33" s="26">
        <f>ROUND('Sum of Billing Determinants'!J44*-1*'Rate Calculations'!$G$8*(1-'Sum of Billing Determinants'!$AC44),0)</f>
        <v>-337</v>
      </c>
      <c r="J33" s="26">
        <f>ROUND('Sum of Billing Determinants'!K44*-1*'Rate Calculations'!$G$8*(1-'Sum of Billing Determinants'!$AC44),0)</f>
        <v>-344</v>
      </c>
      <c r="K33" s="26">
        <f>ROUND('Sum of Billing Determinants'!L44*-1*'Rate Calculations'!$G$8*(1-'Sum of Billing Determinants'!$AC44),0)</f>
        <v>-299</v>
      </c>
      <c r="L33" s="26">
        <f>ROUND('Sum of Billing Determinants'!M44*-1*'Rate Calculations'!$G$8*(1-'Sum of Billing Determinants'!$AC44),0)</f>
        <v>-289</v>
      </c>
      <c r="M33" s="26">
        <f>ROUND('Sum of Billing Determinants'!N44*-1*'Rate Calculations'!$G$8*(1-'Sum of Billing Determinants'!$AC44),0)</f>
        <v>-266</v>
      </c>
      <c r="N33" s="26">
        <f t="shared" si="0"/>
        <v>-3186</v>
      </c>
    </row>
    <row r="34" spans="2:14" ht="15">
      <c r="B34" s="22">
        <f>'Sum of Billing Determinants'!A45</f>
        <v>10083</v>
      </c>
      <c r="C34" s="22" t="str">
        <f>'Sum of Billing Determinants'!B45</f>
        <v>Monmouth, City of</v>
      </c>
      <c r="D34" s="26">
        <f>ROUND('Sum of Billing Determinants'!E45*-1*'Rate Calculations'!$G$8*(1-'Sum of Billing Determinants'!$AC45),0)</f>
        <v>-29837</v>
      </c>
      <c r="E34" s="26">
        <f>ROUND('Sum of Billing Determinants'!F45*-1*'Rate Calculations'!$G$8*(1-'Sum of Billing Determinants'!$AC45),0)</f>
        <v>-31005</v>
      </c>
      <c r="F34" s="26">
        <f>ROUND('Sum of Billing Determinants'!G45*-1*'Rate Calculations'!$G$8*(1-'Sum of Billing Determinants'!$AC45),0)</f>
        <v>-26669</v>
      </c>
      <c r="G34" s="26">
        <f>ROUND('Sum of Billing Determinants'!H45*-1*'Rate Calculations'!$G$8*(1-'Sum of Billing Determinants'!$AC45),0)</f>
        <v>-29117</v>
      </c>
      <c r="H34" s="26">
        <f>ROUND('Sum of Billing Determinants'!I45*-1*'Rate Calculations'!$G$8*(1-'Sum of Billing Determinants'!$AC45),0)</f>
        <v>-22983</v>
      </c>
      <c r="I34" s="26">
        <f>ROUND('Sum of Billing Determinants'!J45*-1*'Rate Calculations'!$G$8*(1-'Sum of Billing Determinants'!$AC45),0)</f>
        <v>-28513</v>
      </c>
      <c r="J34" s="26">
        <f>ROUND('Sum of Billing Determinants'!K45*-1*'Rate Calculations'!$G$8*(1-'Sum of Billing Determinants'!$AC45),0)</f>
        <v>-29132</v>
      </c>
      <c r="K34" s="26">
        <f>ROUND('Sum of Billing Determinants'!L45*-1*'Rate Calculations'!$G$8*(1-'Sum of Billing Determinants'!$AC45),0)</f>
        <v>-25291</v>
      </c>
      <c r="L34" s="26">
        <f>ROUND('Sum of Billing Determinants'!M45*-1*'Rate Calculations'!$G$8*(1-'Sum of Billing Determinants'!$AC45),0)</f>
        <v>-24449</v>
      </c>
      <c r="M34" s="26">
        <f>ROUND('Sum of Billing Determinants'!N45*-1*'Rate Calculations'!$G$8*(1-'Sum of Billing Determinants'!$AC45),0)</f>
        <v>-22498</v>
      </c>
      <c r="N34" s="26">
        <f t="shared" si="0"/>
        <v>-269494</v>
      </c>
    </row>
    <row r="35" spans="2:14" ht="15">
      <c r="B35" s="22">
        <f>'Sum of Billing Determinants'!A46</f>
        <v>10086</v>
      </c>
      <c r="C35" s="22" t="str">
        <f>'Sum of Billing Determinants'!B46</f>
        <v>Plummer, City of</v>
      </c>
      <c r="D35" s="26">
        <f>ROUND('Sum of Billing Determinants'!E46*-1*'Rate Calculations'!$G$8*(1-'Sum of Billing Determinants'!$AC46),0)</f>
        <v>-13805</v>
      </c>
      <c r="E35" s="26">
        <f>ROUND('Sum of Billing Determinants'!F46*-1*'Rate Calculations'!$G$8*(1-'Sum of Billing Determinants'!$AC46),0)</f>
        <v>-14345</v>
      </c>
      <c r="F35" s="26">
        <f>ROUND('Sum of Billing Determinants'!G46*-1*'Rate Calculations'!$G$8*(1-'Sum of Billing Determinants'!$AC46),0)</f>
        <v>-12339</v>
      </c>
      <c r="G35" s="26">
        <f>ROUND('Sum of Billing Determinants'!H46*-1*'Rate Calculations'!$G$8*(1-'Sum of Billing Determinants'!$AC46),0)</f>
        <v>-13471</v>
      </c>
      <c r="H35" s="26">
        <f>ROUND('Sum of Billing Determinants'!I46*-1*'Rate Calculations'!$G$8*(1-'Sum of Billing Determinants'!$AC46),0)</f>
        <v>-10633</v>
      </c>
      <c r="I35" s="26">
        <f>ROUND('Sum of Billing Determinants'!J46*-1*'Rate Calculations'!$G$8*(1-'Sum of Billing Determinants'!$AC46),0)</f>
        <v>-13192</v>
      </c>
      <c r="J35" s="26">
        <f>ROUND('Sum of Billing Determinants'!K46*-1*'Rate Calculations'!$G$8*(1-'Sum of Billing Determinants'!$AC46),0)</f>
        <v>-13478</v>
      </c>
      <c r="K35" s="26">
        <f>ROUND('Sum of Billing Determinants'!L46*-1*'Rate Calculations'!$G$8*(1-'Sum of Billing Determinants'!$AC46),0)</f>
        <v>-11701</v>
      </c>
      <c r="L35" s="26">
        <f>ROUND('Sum of Billing Determinants'!M46*-1*'Rate Calculations'!$G$8*(1-'Sum of Billing Determinants'!$AC46),0)</f>
        <v>-11312</v>
      </c>
      <c r="M35" s="26">
        <f>ROUND('Sum of Billing Determinants'!N46*-1*'Rate Calculations'!$G$8*(1-'Sum of Billing Determinants'!$AC46),0)</f>
        <v>-10409</v>
      </c>
      <c r="N35" s="26">
        <f t="shared" si="0"/>
        <v>-124685</v>
      </c>
    </row>
    <row r="36" spans="2:14" ht="15">
      <c r="B36" s="22">
        <f>'Sum of Billing Determinants'!A47</f>
        <v>10087</v>
      </c>
      <c r="C36" s="22" t="str">
        <f>'Sum of Billing Determinants'!B47</f>
        <v>Port Angeles, City of</v>
      </c>
      <c r="D36" s="26">
        <f>ROUND('Sum of Billing Determinants'!E47*-1*'Rate Calculations'!$G$8*(1-'Sum of Billing Determinants'!$AC47),0)</f>
        <v>-166938</v>
      </c>
      <c r="E36" s="26">
        <f>ROUND('Sum of Billing Determinants'!F47*-1*'Rate Calculations'!$G$8*(1-'Sum of Billing Determinants'!$AC47),0)</f>
        <v>-173475</v>
      </c>
      <c r="F36" s="26">
        <f>ROUND('Sum of Billing Determinants'!G47*-1*'Rate Calculations'!$G$8*(1-'Sum of Billing Determinants'!$AC47),0)</f>
        <v>-149211</v>
      </c>
      <c r="G36" s="26">
        <f>ROUND('Sum of Billing Determinants'!H47*-1*'Rate Calculations'!$G$8*(1-'Sum of Billing Determinants'!$AC47),0)</f>
        <v>-162909</v>
      </c>
      <c r="H36" s="26">
        <f>ROUND('Sum of Billing Determinants'!I47*-1*'Rate Calculations'!$G$8*(1-'Sum of Billing Determinants'!$AC47),0)</f>
        <v>-128589</v>
      </c>
      <c r="I36" s="26">
        <f>ROUND('Sum of Billing Determinants'!J47*-1*'Rate Calculations'!$G$8*(1-'Sum of Billing Determinants'!$AC47),0)</f>
        <v>-159532</v>
      </c>
      <c r="J36" s="26">
        <f>ROUND('Sum of Billing Determinants'!K47*-1*'Rate Calculations'!$G$8*(1-'Sum of Billing Determinants'!$AC47),0)</f>
        <v>-162994</v>
      </c>
      <c r="K36" s="26">
        <f>ROUND('Sum of Billing Determinants'!L47*-1*'Rate Calculations'!$G$8*(1-'Sum of Billing Determinants'!$AC47),0)</f>
        <v>-141502</v>
      </c>
      <c r="L36" s="26">
        <f>ROUND('Sum of Billing Determinants'!M47*-1*'Rate Calculations'!$G$8*(1-'Sum of Billing Determinants'!$AC47),0)</f>
        <v>-136795</v>
      </c>
      <c r="M36" s="26">
        <f>ROUND('Sum of Billing Determinants'!N47*-1*'Rate Calculations'!$G$8*(1-'Sum of Billing Determinants'!$AC47),0)</f>
        <v>-125878</v>
      </c>
      <c r="N36" s="26">
        <f t="shared" si="0"/>
        <v>-1507823</v>
      </c>
    </row>
    <row r="37" spans="2:14" ht="15">
      <c r="B37" s="22">
        <f>'Sum of Billing Determinants'!A48</f>
        <v>10089</v>
      </c>
      <c r="C37" s="22" t="str">
        <f>'Sum of Billing Determinants'!B48</f>
        <v>Richland, City of</v>
      </c>
      <c r="D37" s="26">
        <f>ROUND('Sum of Billing Determinants'!E48*-1*'Rate Calculations'!$G$8*(1-'Sum of Billing Determinants'!$AC48),0)</f>
        <v>-371803</v>
      </c>
      <c r="E37" s="26">
        <f>ROUND('Sum of Billing Determinants'!F48*-1*'Rate Calculations'!$G$8*(1-'Sum of Billing Determinants'!$AC48),0)</f>
        <v>-386360</v>
      </c>
      <c r="F37" s="26">
        <f>ROUND('Sum of Billing Determinants'!G48*-1*'Rate Calculations'!$G$8*(1-'Sum of Billing Determinants'!$AC48),0)</f>
        <v>-332321</v>
      </c>
      <c r="G37" s="26">
        <f>ROUND('Sum of Billing Determinants'!H48*-1*'Rate Calculations'!$G$8*(1-'Sum of Billing Determinants'!$AC48),0)</f>
        <v>-362829</v>
      </c>
      <c r="H37" s="26">
        <f>ROUND('Sum of Billing Determinants'!I48*-1*'Rate Calculations'!$G$8*(1-'Sum of Billing Determinants'!$AC48),0)</f>
        <v>-286392</v>
      </c>
      <c r="I37" s="26">
        <f>ROUND('Sum of Billing Determinants'!J48*-1*'Rate Calculations'!$G$8*(1-'Sum of Billing Determinants'!$AC48),0)</f>
        <v>-355308</v>
      </c>
      <c r="J37" s="26">
        <f>ROUND('Sum of Billing Determinants'!K48*-1*'Rate Calculations'!$G$8*(1-'Sum of Billing Determinants'!$AC48),0)</f>
        <v>-363018</v>
      </c>
      <c r="K37" s="26">
        <f>ROUND('Sum of Billing Determinants'!L48*-1*'Rate Calculations'!$G$8*(1-'Sum of Billing Determinants'!$AC48),0)</f>
        <v>-315152</v>
      </c>
      <c r="L37" s="26">
        <f>ROUND('Sum of Billing Determinants'!M48*-1*'Rate Calculations'!$G$8*(1-'Sum of Billing Determinants'!$AC48),0)</f>
        <v>-304668</v>
      </c>
      <c r="M37" s="26">
        <f>ROUND('Sum of Billing Determinants'!N48*-1*'Rate Calculations'!$G$8*(1-'Sum of Billing Determinants'!$AC48),0)</f>
        <v>-280353</v>
      </c>
      <c r="N37" s="26">
        <f t="shared" si="0"/>
        <v>-3358204</v>
      </c>
    </row>
    <row r="38" spans="2:14" ht="15">
      <c r="B38" s="22">
        <f>'Sum of Billing Determinants'!A49</f>
        <v>10091</v>
      </c>
      <c r="C38" s="22" t="str">
        <f>'Sum of Billing Determinants'!B49</f>
        <v>Rupert, City of</v>
      </c>
      <c r="D38" s="26">
        <f>ROUND('Sum of Billing Determinants'!E49*-1*'Rate Calculations'!$G$8*(1-'Sum of Billing Determinants'!$AC49),0)</f>
        <v>-32233</v>
      </c>
      <c r="E38" s="26">
        <f>ROUND('Sum of Billing Determinants'!F49*-1*'Rate Calculations'!$G$8*(1-'Sum of Billing Determinants'!$AC49),0)</f>
        <v>-33496</v>
      </c>
      <c r="F38" s="26">
        <f>ROUND('Sum of Billing Determinants'!G49*-1*'Rate Calculations'!$G$8*(1-'Sum of Billing Determinants'!$AC49),0)</f>
        <v>-28811</v>
      </c>
      <c r="G38" s="26">
        <f>ROUND('Sum of Billing Determinants'!H49*-1*'Rate Calculations'!$G$8*(1-'Sum of Billing Determinants'!$AC49),0)</f>
        <v>-31456</v>
      </c>
      <c r="H38" s="26">
        <f>ROUND('Sum of Billing Determinants'!I49*-1*'Rate Calculations'!$G$8*(1-'Sum of Billing Determinants'!$AC49),0)</f>
        <v>-24829</v>
      </c>
      <c r="I38" s="26">
        <f>ROUND('Sum of Billing Determinants'!J49*-1*'Rate Calculations'!$G$8*(1-'Sum of Billing Determinants'!$AC49),0)</f>
        <v>-30803</v>
      </c>
      <c r="J38" s="26">
        <f>ROUND('Sum of Billing Determinants'!K49*-1*'Rate Calculations'!$G$8*(1-'Sum of Billing Determinants'!$AC49),0)</f>
        <v>-31472</v>
      </c>
      <c r="K38" s="26">
        <f>ROUND('Sum of Billing Determinants'!L49*-1*'Rate Calculations'!$G$8*(1-'Sum of Billing Determinants'!$AC49),0)</f>
        <v>-27322</v>
      </c>
      <c r="L38" s="26">
        <f>ROUND('Sum of Billing Determinants'!M49*-1*'Rate Calculations'!$G$8*(1-'Sum of Billing Determinants'!$AC49),0)</f>
        <v>-26413</v>
      </c>
      <c r="M38" s="26">
        <f>ROUND('Sum of Billing Determinants'!N49*-1*'Rate Calculations'!$G$8*(1-'Sum of Billing Determinants'!$AC49),0)</f>
        <v>-24305</v>
      </c>
      <c r="N38" s="26">
        <f t="shared" si="0"/>
        <v>-291140</v>
      </c>
    </row>
    <row r="39" spans="2:14" ht="15">
      <c r="B39" s="22">
        <f>'Sum of Billing Determinants'!A50</f>
        <v>10094</v>
      </c>
      <c r="C39" s="22" t="str">
        <f>'Sum of Billing Determinants'!B50</f>
        <v>Soda Springs, City of</v>
      </c>
      <c r="D39" s="26">
        <f>ROUND('Sum of Billing Determinants'!E50*-1*'Rate Calculations'!$G$8*(1-'Sum of Billing Determinants'!$AC50),0)</f>
        <v>-10818</v>
      </c>
      <c r="E39" s="26">
        <f>ROUND('Sum of Billing Determinants'!F50*-1*'Rate Calculations'!$G$8*(1-'Sum of Billing Determinants'!$AC50),0)</f>
        <v>-11242</v>
      </c>
      <c r="F39" s="26">
        <f>ROUND('Sum of Billing Determinants'!G50*-1*'Rate Calculations'!$G$8*(1-'Sum of Billing Determinants'!$AC50),0)</f>
        <v>-9670</v>
      </c>
      <c r="G39" s="26">
        <f>ROUND('Sum of Billing Determinants'!H50*-1*'Rate Calculations'!$G$8*(1-'Sum of Billing Determinants'!$AC50),0)</f>
        <v>-10557</v>
      </c>
      <c r="H39" s="26">
        <f>ROUND('Sum of Billing Determinants'!I50*-1*'Rate Calculations'!$G$8*(1-'Sum of Billing Determinants'!$AC50),0)</f>
        <v>-8333</v>
      </c>
      <c r="I39" s="26">
        <f>ROUND('Sum of Billing Determinants'!J50*-1*'Rate Calculations'!$G$8*(1-'Sum of Billing Determinants'!$AC50),0)</f>
        <v>-10338</v>
      </c>
      <c r="J39" s="26">
        <f>ROUND('Sum of Billing Determinants'!K50*-1*'Rate Calculations'!$G$8*(1-'Sum of Billing Determinants'!$AC50),0)</f>
        <v>-10563</v>
      </c>
      <c r="K39" s="26">
        <f>ROUND('Sum of Billing Determinants'!L50*-1*'Rate Calculations'!$G$8*(1-'Sum of Billing Determinants'!$AC50),0)</f>
        <v>-9170</v>
      </c>
      <c r="L39" s="26">
        <f>ROUND('Sum of Billing Determinants'!M50*-1*'Rate Calculations'!$G$8*(1-'Sum of Billing Determinants'!$AC50),0)</f>
        <v>-8865</v>
      </c>
      <c r="M39" s="26">
        <f>ROUND('Sum of Billing Determinants'!N50*-1*'Rate Calculations'!$G$8*(1-'Sum of Billing Determinants'!$AC50),0)</f>
        <v>-8157</v>
      </c>
      <c r="N39" s="26">
        <f t="shared" si="0"/>
        <v>-97713</v>
      </c>
    </row>
    <row r="40" spans="2:14" ht="15">
      <c r="B40" s="22">
        <f>'Sum of Billing Determinants'!A51</f>
        <v>10095</v>
      </c>
      <c r="C40" s="22" t="str">
        <f>'Sum of Billing Determinants'!B51</f>
        <v>Sumas, Town of</v>
      </c>
      <c r="D40" s="26">
        <f>ROUND('Sum of Billing Determinants'!E51*-1*'Rate Calculations'!$G$8*(1-'Sum of Billing Determinants'!$AC51),0)</f>
        <v>-12998</v>
      </c>
      <c r="E40" s="26">
        <f>ROUND('Sum of Billing Determinants'!F51*-1*'Rate Calculations'!$G$8*(1-'Sum of Billing Determinants'!$AC51),0)</f>
        <v>-13507</v>
      </c>
      <c r="F40" s="26">
        <f>ROUND('Sum of Billing Determinants'!G51*-1*'Rate Calculations'!$G$8*(1-'Sum of Billing Determinants'!$AC51),0)</f>
        <v>-11618</v>
      </c>
      <c r="G40" s="26">
        <f>ROUND('Sum of Billing Determinants'!H51*-1*'Rate Calculations'!$G$8*(1-'Sum of Billing Determinants'!$AC51),0)</f>
        <v>-12685</v>
      </c>
      <c r="H40" s="26">
        <f>ROUND('Sum of Billing Determinants'!I51*-1*'Rate Calculations'!$G$8*(1-'Sum of Billing Determinants'!$AC51),0)</f>
        <v>-10012</v>
      </c>
      <c r="I40" s="26">
        <f>ROUND('Sum of Billing Determinants'!J51*-1*'Rate Calculations'!$G$8*(1-'Sum of Billing Determinants'!$AC51),0)</f>
        <v>-12422</v>
      </c>
      <c r="J40" s="26">
        <f>ROUND('Sum of Billing Determinants'!K51*-1*'Rate Calculations'!$G$8*(1-'Sum of Billing Determinants'!$AC51),0)</f>
        <v>-12691</v>
      </c>
      <c r="K40" s="26">
        <f>ROUND('Sum of Billing Determinants'!L51*-1*'Rate Calculations'!$G$8*(1-'Sum of Billing Determinants'!$AC51),0)</f>
        <v>-11018</v>
      </c>
      <c r="L40" s="26">
        <f>ROUND('Sum of Billing Determinants'!M51*-1*'Rate Calculations'!$G$8*(1-'Sum of Billing Determinants'!$AC51),0)</f>
        <v>-10651</v>
      </c>
      <c r="M40" s="26">
        <f>ROUND('Sum of Billing Determinants'!N51*-1*'Rate Calculations'!$G$8*(1-'Sum of Billing Determinants'!$AC51),0)</f>
        <v>-9801</v>
      </c>
      <c r="N40" s="26">
        <f t="shared" si="0"/>
        <v>-117403</v>
      </c>
    </row>
    <row r="41" spans="2:14" ht="15">
      <c r="B41" s="22">
        <f>'Sum of Billing Determinants'!A52</f>
        <v>10097</v>
      </c>
      <c r="C41" s="22" t="str">
        <f>'Sum of Billing Determinants'!B52</f>
        <v>Troy, City of</v>
      </c>
      <c r="D41" s="26">
        <f>ROUND('Sum of Billing Determinants'!E52*-1*'Rate Calculations'!$G$8*(1-'Sum of Billing Determinants'!$AC52),0)</f>
        <v>-7124</v>
      </c>
      <c r="E41" s="26">
        <f>ROUND('Sum of Billing Determinants'!F52*-1*'Rate Calculations'!$G$8*(1-'Sum of Billing Determinants'!$AC52),0)</f>
        <v>-7403</v>
      </c>
      <c r="F41" s="26">
        <f>ROUND('Sum of Billing Determinants'!G52*-1*'Rate Calculations'!$G$8*(1-'Sum of Billing Determinants'!$AC52),0)</f>
        <v>-6368</v>
      </c>
      <c r="G41" s="26">
        <f>ROUND('Sum of Billing Determinants'!H52*-1*'Rate Calculations'!$G$8*(1-'Sum of Billing Determinants'!$AC52),0)</f>
        <v>-6952</v>
      </c>
      <c r="H41" s="26">
        <f>ROUND('Sum of Billing Determinants'!I52*-1*'Rate Calculations'!$G$8*(1-'Sum of Billing Determinants'!$AC52),0)</f>
        <v>-5488</v>
      </c>
      <c r="I41" s="26">
        <f>ROUND('Sum of Billing Determinants'!J52*-1*'Rate Calculations'!$G$8*(1-'Sum of Billing Determinants'!$AC52),0)</f>
        <v>-6808</v>
      </c>
      <c r="J41" s="26">
        <f>ROUND('Sum of Billing Determinants'!K52*-1*'Rate Calculations'!$G$8*(1-'Sum of Billing Determinants'!$AC52),0)</f>
        <v>-6956</v>
      </c>
      <c r="K41" s="26">
        <f>ROUND('Sum of Billing Determinants'!L52*-1*'Rate Calculations'!$G$8*(1-'Sum of Billing Determinants'!$AC52),0)</f>
        <v>-6039</v>
      </c>
      <c r="L41" s="26">
        <f>ROUND('Sum of Billing Determinants'!M52*-1*'Rate Calculations'!$G$8*(1-'Sum of Billing Determinants'!$AC52),0)</f>
        <v>-5838</v>
      </c>
      <c r="M41" s="26">
        <f>ROUND('Sum of Billing Determinants'!N52*-1*'Rate Calculations'!$G$8*(1-'Sum of Billing Determinants'!$AC52),0)</f>
        <v>-5372</v>
      </c>
      <c r="N41" s="26">
        <f t="shared" si="0"/>
        <v>-64348</v>
      </c>
    </row>
    <row r="42" spans="2:14" ht="15">
      <c r="B42" s="22">
        <f>'Sum of Billing Determinants'!A53</f>
        <v>10101</v>
      </c>
      <c r="C42" s="22" t="str">
        <f>'Sum of Billing Determinants'!B53</f>
        <v>Clallam County PUD #1</v>
      </c>
      <c r="D42" s="26">
        <f>ROUND('Sum of Billing Determinants'!E53*-1*'Rate Calculations'!$G$8*(1-'Sum of Billing Determinants'!$AC53),0)</f>
        <v>-257427</v>
      </c>
      <c r="E42" s="26">
        <f>ROUND('Sum of Billing Determinants'!F53*-1*'Rate Calculations'!$G$8*(1-'Sum of Billing Determinants'!$AC53),0)</f>
        <v>-267506</v>
      </c>
      <c r="F42" s="26">
        <f>ROUND('Sum of Billing Determinants'!G53*-1*'Rate Calculations'!$G$8*(1-'Sum of Billing Determinants'!$AC53),0)</f>
        <v>-230091</v>
      </c>
      <c r="G42" s="26">
        <f>ROUND('Sum of Billing Determinants'!H53*-1*'Rate Calculations'!$G$8*(1-'Sum of Billing Determinants'!$AC53),0)</f>
        <v>-251214</v>
      </c>
      <c r="H42" s="26">
        <f>ROUND('Sum of Billing Determinants'!I53*-1*'Rate Calculations'!$G$8*(1-'Sum of Billing Determinants'!$AC53),0)</f>
        <v>-198291</v>
      </c>
      <c r="I42" s="26">
        <f>ROUND('Sum of Billing Determinants'!J53*-1*'Rate Calculations'!$G$8*(1-'Sum of Billing Determinants'!$AC53),0)</f>
        <v>-246006</v>
      </c>
      <c r="J42" s="26">
        <f>ROUND('Sum of Billing Determinants'!K53*-1*'Rate Calculations'!$G$8*(1-'Sum of Billing Determinants'!$AC53),0)</f>
        <v>-251344</v>
      </c>
      <c r="K42" s="26">
        <f>ROUND('Sum of Billing Determinants'!L53*-1*'Rate Calculations'!$G$8*(1-'Sum of Billing Determinants'!$AC53),0)</f>
        <v>-218203</v>
      </c>
      <c r="L42" s="26">
        <f>ROUND('Sum of Billing Determinants'!M53*-1*'Rate Calculations'!$G$8*(1-'Sum of Billing Determinants'!$AC53),0)</f>
        <v>-210944</v>
      </c>
      <c r="M42" s="26">
        <f>ROUND('Sum of Billing Determinants'!N53*-1*'Rate Calculations'!$G$8*(1-'Sum of Billing Determinants'!$AC53),0)</f>
        <v>-194109</v>
      </c>
      <c r="N42" s="26">
        <f t="shared" si="0"/>
        <v>-2325135</v>
      </c>
    </row>
    <row r="43" spans="2:14" ht="15">
      <c r="B43" s="22">
        <f>'Sum of Billing Determinants'!A54</f>
        <v>10103</v>
      </c>
      <c r="C43" s="22" t="str">
        <f>'Sum of Billing Determinants'!B54</f>
        <v>Clark County PUD #1</v>
      </c>
      <c r="D43" s="26">
        <f>ROUND('Sum of Billing Determinants'!E54*-1*'Rate Calculations'!$G$8*(1-'Sum of Billing Determinants'!$AC54),0)</f>
        <v>-586510</v>
      </c>
      <c r="E43" s="26">
        <f>ROUND('Sum of Billing Determinants'!F54*-1*'Rate Calculations'!$G$8*(1-'Sum of Billing Determinants'!$AC54),0)</f>
        <v>-609475</v>
      </c>
      <c r="F43" s="26">
        <f>ROUND('Sum of Billing Determinants'!G54*-1*'Rate Calculations'!$G$8*(1-'Sum of Billing Determinants'!$AC54),0)</f>
        <v>-524229</v>
      </c>
      <c r="G43" s="26">
        <f>ROUND('Sum of Billing Determinants'!H54*-1*'Rate Calculations'!$G$8*(1-'Sum of Billing Determinants'!$AC54),0)</f>
        <v>-572355</v>
      </c>
      <c r="H43" s="26">
        <f>ROUND('Sum of Billing Determinants'!I54*-1*'Rate Calculations'!$G$8*(1-'Sum of Billing Determinants'!$AC54),0)</f>
        <v>-451778</v>
      </c>
      <c r="I43" s="26">
        <f>ROUND('Sum of Billing Determinants'!J54*-1*'Rate Calculations'!$G$8*(1-'Sum of Billing Determinants'!$AC54),0)</f>
        <v>-560491</v>
      </c>
      <c r="J43" s="26">
        <f>ROUND('Sum of Billing Determinants'!K54*-1*'Rate Calculations'!$G$8*(1-'Sum of Billing Determinants'!$AC54),0)</f>
        <v>-572652</v>
      </c>
      <c r="K43" s="26">
        <f>ROUND('Sum of Billing Determinants'!L54*-1*'Rate Calculations'!$G$8*(1-'Sum of Billing Determinants'!$AC54),0)</f>
        <v>-497144</v>
      </c>
      <c r="L43" s="26">
        <f>ROUND('Sum of Billing Determinants'!M54*-1*'Rate Calculations'!$G$8*(1-'Sum of Billing Determinants'!$AC54),0)</f>
        <v>-480607</v>
      </c>
      <c r="M43" s="26">
        <f>ROUND('Sum of Billing Determinants'!N54*-1*'Rate Calculations'!$G$8*(1-'Sum of Billing Determinants'!$AC54),0)</f>
        <v>-442251</v>
      </c>
      <c r="N43" s="26">
        <f t="shared" si="0"/>
        <v>-5297492</v>
      </c>
    </row>
    <row r="44" spans="2:14" ht="15">
      <c r="B44" s="22">
        <f>'Sum of Billing Determinants'!A55</f>
        <v>10105</v>
      </c>
      <c r="C44" s="22" t="str">
        <f>'Sum of Billing Determinants'!B55</f>
        <v>Clatskanie PUD</v>
      </c>
      <c r="D44" s="26">
        <f>ROUND('Sum of Billing Determinants'!E55*-1*'Rate Calculations'!$G$8*(1-'Sum of Billing Determinants'!$AC55),0)</f>
        <v>-120404</v>
      </c>
      <c r="E44" s="26">
        <f>ROUND('Sum of Billing Determinants'!F55*-1*'Rate Calculations'!$G$8*(1-'Sum of Billing Determinants'!$AC55),0)</f>
        <v>-125118</v>
      </c>
      <c r="F44" s="26">
        <f>ROUND('Sum of Billing Determinants'!G55*-1*'Rate Calculations'!$G$8*(1-'Sum of Billing Determinants'!$AC55),0)</f>
        <v>-107618</v>
      </c>
      <c r="G44" s="26">
        <f>ROUND('Sum of Billing Determinants'!H55*-1*'Rate Calculations'!$G$8*(1-'Sum of Billing Determinants'!$AC55),0)</f>
        <v>-117498</v>
      </c>
      <c r="H44" s="26">
        <f>ROUND('Sum of Billing Determinants'!I55*-1*'Rate Calculations'!$G$8*(1-'Sum of Billing Determinants'!$AC55),0)</f>
        <v>-92745</v>
      </c>
      <c r="I44" s="26">
        <f>ROUND('Sum of Billing Determinants'!J55*-1*'Rate Calculations'!$G$8*(1-'Sum of Billing Determinants'!$AC55),0)</f>
        <v>-115062</v>
      </c>
      <c r="J44" s="26">
        <f>ROUND('Sum of Billing Determinants'!K55*-1*'Rate Calculations'!$G$8*(1-'Sum of Billing Determinants'!$AC55),0)</f>
        <v>-117559</v>
      </c>
      <c r="K44" s="26">
        <f>ROUND('Sum of Billing Determinants'!L55*-1*'Rate Calculations'!$G$8*(1-'Sum of Billing Determinants'!$AC55),0)</f>
        <v>-102058</v>
      </c>
      <c r="L44" s="26">
        <f>ROUND('Sum of Billing Determinants'!M55*-1*'Rate Calculations'!$G$8*(1-'Sum of Billing Determinants'!$AC55),0)</f>
        <v>-98663</v>
      </c>
      <c r="M44" s="26">
        <f>ROUND('Sum of Billing Determinants'!N55*-1*'Rate Calculations'!$G$8*(1-'Sum of Billing Determinants'!$AC55),0)</f>
        <v>-90789</v>
      </c>
      <c r="N44" s="26">
        <f t="shared" si="0"/>
        <v>-1087514</v>
      </c>
    </row>
    <row r="45" spans="2:14" ht="15">
      <c r="B45" s="22">
        <f>'Sum of Billing Determinants'!A56</f>
        <v>10106</v>
      </c>
      <c r="C45" s="22" t="str">
        <f>'Sum of Billing Determinants'!B56</f>
        <v>Clearwater Power</v>
      </c>
      <c r="D45" s="26">
        <f>ROUND('Sum of Billing Determinants'!E56*-1*'Rate Calculations'!$G$8*(1-'Sum of Billing Determinants'!$AC56),0)</f>
        <v>-79167</v>
      </c>
      <c r="E45" s="26">
        <f>ROUND('Sum of Billing Determinants'!F56*-1*'Rate Calculations'!$G$8*(1-'Sum of Billing Determinants'!$AC56),0)</f>
        <v>-82267</v>
      </c>
      <c r="F45" s="26">
        <f>ROUND('Sum of Billing Determinants'!G56*-1*'Rate Calculations'!$G$8*(1-'Sum of Billing Determinants'!$AC56),0)</f>
        <v>-70761</v>
      </c>
      <c r="G45" s="26">
        <f>ROUND('Sum of Billing Determinants'!H56*-1*'Rate Calculations'!$G$8*(1-'Sum of Billing Determinants'!$AC56),0)</f>
        <v>-77257</v>
      </c>
      <c r="H45" s="26">
        <f>ROUND('Sum of Billing Determinants'!I56*-1*'Rate Calculations'!$G$8*(1-'Sum of Billing Determinants'!$AC56),0)</f>
        <v>-60981</v>
      </c>
      <c r="I45" s="26">
        <f>ROUND('Sum of Billing Determinants'!J56*-1*'Rate Calculations'!$G$8*(1-'Sum of Billing Determinants'!$AC56),0)</f>
        <v>-75655</v>
      </c>
      <c r="J45" s="26">
        <f>ROUND('Sum of Billing Determinants'!K56*-1*'Rate Calculations'!$G$8*(1-'Sum of Billing Determinants'!$AC56),0)</f>
        <v>-77297</v>
      </c>
      <c r="K45" s="26">
        <f>ROUND('Sum of Billing Determinants'!L56*-1*'Rate Calculations'!$G$8*(1-'Sum of Billing Determinants'!$AC56),0)</f>
        <v>-67105</v>
      </c>
      <c r="L45" s="26">
        <f>ROUND('Sum of Billing Determinants'!M56*-1*'Rate Calculations'!$G$8*(1-'Sum of Billing Determinants'!$AC56),0)</f>
        <v>-64873</v>
      </c>
      <c r="M45" s="26">
        <f>ROUND('Sum of Billing Determinants'!N56*-1*'Rate Calculations'!$G$8*(1-'Sum of Billing Determinants'!$AC56),0)</f>
        <v>-59695</v>
      </c>
      <c r="N45" s="26">
        <f t="shared" si="0"/>
        <v>-715058</v>
      </c>
    </row>
    <row r="46" spans="2:14" ht="15">
      <c r="B46" s="22">
        <f>'Sum of Billing Determinants'!A57</f>
        <v>10109</v>
      </c>
      <c r="C46" s="22" t="str">
        <f>'Sum of Billing Determinants'!B57</f>
        <v>Columbia Basin Elec Coop</v>
      </c>
      <c r="D46" s="26">
        <f>ROUND('Sum of Billing Determinants'!E57*-1*'Rate Calculations'!$G$8*(1-'Sum of Billing Determinants'!$AC57),0)</f>
        <v>-39529</v>
      </c>
      <c r="E46" s="26">
        <f>ROUND('Sum of Billing Determinants'!F57*-1*'Rate Calculations'!$G$8*(1-'Sum of Billing Determinants'!$AC57),0)</f>
        <v>-41076</v>
      </c>
      <c r="F46" s="26">
        <f>ROUND('Sum of Billing Determinants'!G57*-1*'Rate Calculations'!$G$8*(1-'Sum of Billing Determinants'!$AC57),0)</f>
        <v>-35331</v>
      </c>
      <c r="G46" s="26">
        <f>ROUND('Sum of Billing Determinants'!H57*-1*'Rate Calculations'!$G$8*(1-'Sum of Billing Determinants'!$AC57),0)</f>
        <v>-38575</v>
      </c>
      <c r="H46" s="26">
        <f>ROUND('Sum of Billing Determinants'!I57*-1*'Rate Calculations'!$G$8*(1-'Sum of Billing Determinants'!$AC57),0)</f>
        <v>-30448</v>
      </c>
      <c r="I46" s="26">
        <f>ROUND('Sum of Billing Determinants'!J57*-1*'Rate Calculations'!$G$8*(1-'Sum of Billing Determinants'!$AC57),0)</f>
        <v>-37775</v>
      </c>
      <c r="J46" s="26">
        <f>ROUND('Sum of Billing Determinants'!K57*-1*'Rate Calculations'!$G$8*(1-'Sum of Billing Determinants'!$AC57),0)</f>
        <v>-38595</v>
      </c>
      <c r="K46" s="26">
        <f>ROUND('Sum of Billing Determinants'!L57*-1*'Rate Calculations'!$G$8*(1-'Sum of Billing Determinants'!$AC57),0)</f>
        <v>-33506</v>
      </c>
      <c r="L46" s="26">
        <f>ROUND('Sum of Billing Determinants'!M57*-1*'Rate Calculations'!$G$8*(1-'Sum of Billing Determinants'!$AC57),0)</f>
        <v>-32391</v>
      </c>
      <c r="M46" s="26">
        <f>ROUND('Sum of Billing Determinants'!N57*-1*'Rate Calculations'!$G$8*(1-'Sum of Billing Determinants'!$AC57),0)</f>
        <v>-29806</v>
      </c>
      <c r="N46" s="26">
        <f t="shared" si="0"/>
        <v>-357032</v>
      </c>
    </row>
    <row r="47" spans="2:14" ht="15">
      <c r="B47" s="22">
        <f>'Sum of Billing Determinants'!A58</f>
        <v>10111</v>
      </c>
      <c r="C47" s="22" t="str">
        <f>'Sum of Billing Determinants'!B58</f>
        <v>Columbia Power Coop</v>
      </c>
      <c r="D47" s="26">
        <f>ROUND('Sum of Billing Determinants'!E58*-1*'Rate Calculations'!$G$8*(1-'Sum of Billing Determinants'!$AC58),0)</f>
        <v>-10408</v>
      </c>
      <c r="E47" s="26">
        <f>ROUND('Sum of Billing Determinants'!F58*-1*'Rate Calculations'!$G$8*(1-'Sum of Billing Determinants'!$AC58),0)</f>
        <v>-10815</v>
      </c>
      <c r="F47" s="26">
        <f>ROUND('Sum of Billing Determinants'!G58*-1*'Rate Calculations'!$G$8*(1-'Sum of Billing Determinants'!$AC58),0)</f>
        <v>-9303</v>
      </c>
      <c r="G47" s="26">
        <f>ROUND('Sum of Billing Determinants'!H58*-1*'Rate Calculations'!$G$8*(1-'Sum of Billing Determinants'!$AC58),0)</f>
        <v>-10157</v>
      </c>
      <c r="H47" s="26">
        <f>ROUND('Sum of Billing Determinants'!I58*-1*'Rate Calculations'!$G$8*(1-'Sum of Billing Determinants'!$AC58),0)</f>
        <v>-8017</v>
      </c>
      <c r="I47" s="26">
        <f>ROUND('Sum of Billing Determinants'!J58*-1*'Rate Calculations'!$G$8*(1-'Sum of Billing Determinants'!$AC58),0)</f>
        <v>-9946</v>
      </c>
      <c r="J47" s="26">
        <f>ROUND('Sum of Billing Determinants'!K58*-1*'Rate Calculations'!$G$8*(1-'Sum of Billing Determinants'!$AC58),0)</f>
        <v>-10162</v>
      </c>
      <c r="K47" s="26">
        <f>ROUND('Sum of Billing Determinants'!L58*-1*'Rate Calculations'!$G$8*(1-'Sum of Billing Determinants'!$AC58),0)</f>
        <v>-8822</v>
      </c>
      <c r="L47" s="26">
        <f>ROUND('Sum of Billing Determinants'!M58*-1*'Rate Calculations'!$G$8*(1-'Sum of Billing Determinants'!$AC58),0)</f>
        <v>-8529</v>
      </c>
      <c r="M47" s="26">
        <f>ROUND('Sum of Billing Determinants'!N58*-1*'Rate Calculations'!$G$8*(1-'Sum of Billing Determinants'!$AC58),0)</f>
        <v>-7848</v>
      </c>
      <c r="N47" s="26">
        <f t="shared" si="0"/>
        <v>-94007</v>
      </c>
    </row>
    <row r="48" spans="2:14" ht="15">
      <c r="B48" s="22">
        <f>'Sum of Billing Determinants'!A59</f>
        <v>10112</v>
      </c>
      <c r="C48" s="22" t="str">
        <f>'Sum of Billing Determinants'!B59</f>
        <v>Columbia River PUD</v>
      </c>
      <c r="D48" s="26">
        <f>ROUND('Sum of Billing Determinants'!E59*-1*'Rate Calculations'!$G$8*(1-'Sum of Billing Determinants'!$AC59),0)</f>
        <v>-207820</v>
      </c>
      <c r="E48" s="26">
        <f>ROUND('Sum of Billing Determinants'!F59*-1*'Rate Calculations'!$G$8*(1-'Sum of Billing Determinants'!$AC59),0)</f>
        <v>-215957</v>
      </c>
      <c r="F48" s="26">
        <f>ROUND('Sum of Billing Determinants'!G59*-1*'Rate Calculations'!$G$8*(1-'Sum of Billing Determinants'!$AC59),0)</f>
        <v>-185752</v>
      </c>
      <c r="G48" s="26">
        <f>ROUND('Sum of Billing Determinants'!H59*-1*'Rate Calculations'!$G$8*(1-'Sum of Billing Determinants'!$AC59),0)</f>
        <v>-202805</v>
      </c>
      <c r="H48" s="26">
        <f>ROUND('Sum of Billing Determinants'!I59*-1*'Rate Calculations'!$G$8*(1-'Sum of Billing Determinants'!$AC59),0)</f>
        <v>-160080</v>
      </c>
      <c r="I48" s="26">
        <f>ROUND('Sum of Billing Determinants'!J59*-1*'Rate Calculations'!$G$8*(1-'Sum of Billing Determinants'!$AC59),0)</f>
        <v>-198601</v>
      </c>
      <c r="J48" s="26">
        <f>ROUND('Sum of Billing Determinants'!K59*-1*'Rate Calculations'!$G$8*(1-'Sum of Billing Determinants'!$AC59),0)</f>
        <v>-202910</v>
      </c>
      <c r="K48" s="26">
        <f>ROUND('Sum of Billing Determinants'!L59*-1*'Rate Calculations'!$G$8*(1-'Sum of Billing Determinants'!$AC59),0)</f>
        <v>-176155</v>
      </c>
      <c r="L48" s="26">
        <f>ROUND('Sum of Billing Determinants'!M59*-1*'Rate Calculations'!$G$8*(1-'Sum of Billing Determinants'!$AC59),0)</f>
        <v>-170295</v>
      </c>
      <c r="M48" s="26">
        <f>ROUND('Sum of Billing Determinants'!N59*-1*'Rate Calculations'!$G$8*(1-'Sum of Billing Determinants'!$AC59),0)</f>
        <v>-156704</v>
      </c>
      <c r="N48" s="26">
        <f t="shared" si="0"/>
        <v>-1877079</v>
      </c>
    </row>
    <row r="49" spans="2:14" ht="15">
      <c r="B49" s="22">
        <f>'Sum of Billing Determinants'!A60</f>
        <v>10113</v>
      </c>
      <c r="C49" s="22" t="str">
        <f>'Sum of Billing Determinants'!B60</f>
        <v>Columbia REA</v>
      </c>
      <c r="D49" s="26">
        <f>ROUND('Sum of Billing Determinants'!E60*-1*'Rate Calculations'!$G$8*(1-'Sum of Billing Determinants'!$AC60),0)</f>
        <v>-123608</v>
      </c>
      <c r="E49" s="26">
        <f>ROUND('Sum of Billing Determinants'!F60*-1*'Rate Calculations'!$G$8*(1-'Sum of Billing Determinants'!$AC60),0)</f>
        <v>-128448</v>
      </c>
      <c r="F49" s="26">
        <f>ROUND('Sum of Billing Determinants'!G60*-1*'Rate Calculations'!$G$8*(1-'Sum of Billing Determinants'!$AC60),0)</f>
        <v>-110482</v>
      </c>
      <c r="G49" s="26">
        <f>ROUND('Sum of Billing Determinants'!H60*-1*'Rate Calculations'!$G$8*(1-'Sum of Billing Determinants'!$AC60),0)</f>
        <v>-120625</v>
      </c>
      <c r="H49" s="26">
        <f>ROUND('Sum of Billing Determinants'!I60*-1*'Rate Calculations'!$G$8*(1-'Sum of Billing Determinants'!$AC60),0)</f>
        <v>-95213</v>
      </c>
      <c r="I49" s="26">
        <f>ROUND('Sum of Billing Determinants'!J60*-1*'Rate Calculations'!$G$8*(1-'Sum of Billing Determinants'!$AC60),0)</f>
        <v>-118124</v>
      </c>
      <c r="J49" s="26">
        <f>ROUND('Sum of Billing Determinants'!K60*-1*'Rate Calculations'!$G$8*(1-'Sum of Billing Determinants'!$AC60),0)</f>
        <v>-120687</v>
      </c>
      <c r="K49" s="26">
        <f>ROUND('Sum of Billing Determinants'!L60*-1*'Rate Calculations'!$G$8*(1-'Sum of Billing Determinants'!$AC60),0)</f>
        <v>-104774</v>
      </c>
      <c r="L49" s="26">
        <f>ROUND('Sum of Billing Determinants'!M60*-1*'Rate Calculations'!$G$8*(1-'Sum of Billing Determinants'!$AC60),0)</f>
        <v>-101289</v>
      </c>
      <c r="M49" s="26">
        <f>ROUND('Sum of Billing Determinants'!N60*-1*'Rate Calculations'!$G$8*(1-'Sum of Billing Determinants'!$AC60),0)</f>
        <v>-93205</v>
      </c>
      <c r="N49" s="26">
        <f t="shared" si="0"/>
        <v>-1116455</v>
      </c>
    </row>
    <row r="50" spans="2:14" ht="15">
      <c r="B50" s="22">
        <f>'Sum of Billing Determinants'!A61</f>
        <v>10116</v>
      </c>
      <c r="C50" s="22" t="str">
        <f>'Sum of Billing Determinants'!B61</f>
        <v>Consolidated Irrigation District #19</v>
      </c>
      <c r="D50" s="26">
        <f>ROUND('Sum of Billing Determinants'!E61*-1*'Rate Calculations'!$G$8*(1-'Sum of Billing Determinants'!$AC61),0)</f>
        <v>-814</v>
      </c>
      <c r="E50" s="26">
        <f>ROUND('Sum of Billing Determinants'!F61*-1*'Rate Calculations'!$G$8*(1-'Sum of Billing Determinants'!$AC61),0)</f>
        <v>-846</v>
      </c>
      <c r="F50" s="26">
        <f>ROUND('Sum of Billing Determinants'!G61*-1*'Rate Calculations'!$G$8*(1-'Sum of Billing Determinants'!$AC61),0)</f>
        <v>-728</v>
      </c>
      <c r="G50" s="26">
        <f>ROUND('Sum of Billing Determinants'!H61*-1*'Rate Calculations'!$G$8*(1-'Sum of Billing Determinants'!$AC61),0)</f>
        <v>-794</v>
      </c>
      <c r="H50" s="26">
        <f>ROUND('Sum of Billing Determinants'!I61*-1*'Rate Calculations'!$G$8*(1-'Sum of Billing Determinants'!$AC61),0)</f>
        <v>-627</v>
      </c>
      <c r="I50" s="26">
        <f>ROUND('Sum of Billing Determinants'!J61*-1*'Rate Calculations'!$G$8*(1-'Sum of Billing Determinants'!$AC61),0)</f>
        <v>-778</v>
      </c>
      <c r="J50" s="26">
        <f>ROUND('Sum of Billing Determinants'!K61*-1*'Rate Calculations'!$G$8*(1-'Sum of Billing Determinants'!$AC61),0)</f>
        <v>-795</v>
      </c>
      <c r="K50" s="26">
        <f>ROUND('Sum of Billing Determinants'!L61*-1*'Rate Calculations'!$G$8*(1-'Sum of Billing Determinants'!$AC61),0)</f>
        <v>-690</v>
      </c>
      <c r="L50" s="26">
        <f>ROUND('Sum of Billing Determinants'!M61*-1*'Rate Calculations'!$G$8*(1-'Sum of Billing Determinants'!$AC61),0)</f>
        <v>-667</v>
      </c>
      <c r="M50" s="26">
        <f>ROUND('Sum of Billing Determinants'!N61*-1*'Rate Calculations'!$G$8*(1-'Sum of Billing Determinants'!$AC61),0)</f>
        <v>-614</v>
      </c>
      <c r="N50" s="26">
        <f t="shared" si="0"/>
        <v>-7353</v>
      </c>
    </row>
    <row r="51" spans="2:14" ht="15">
      <c r="B51" s="22">
        <f>'Sum of Billing Determinants'!A62</f>
        <v>10118</v>
      </c>
      <c r="C51" s="22" t="str">
        <f>'Sum of Billing Determinants'!B62</f>
        <v>Consumers Power</v>
      </c>
      <c r="D51" s="26">
        <f>ROUND('Sum of Billing Determinants'!E62*-1*'Rate Calculations'!$G$8*(1-'Sum of Billing Determinants'!$AC62),0)</f>
        <v>-151538</v>
      </c>
      <c r="E51" s="26">
        <f>ROUND('Sum of Billing Determinants'!F62*-1*'Rate Calculations'!$G$8*(1-'Sum of Billing Determinants'!$AC62),0)</f>
        <v>-157472</v>
      </c>
      <c r="F51" s="26">
        <f>ROUND('Sum of Billing Determinants'!G62*-1*'Rate Calculations'!$G$8*(1-'Sum of Billing Determinants'!$AC62),0)</f>
        <v>-135447</v>
      </c>
      <c r="G51" s="26">
        <f>ROUND('Sum of Billing Determinants'!H62*-1*'Rate Calculations'!$G$8*(1-'Sum of Billing Determinants'!$AC62),0)</f>
        <v>-147881</v>
      </c>
      <c r="H51" s="26">
        <f>ROUND('Sum of Billing Determinants'!I62*-1*'Rate Calculations'!$G$8*(1-'Sum of Billing Determinants'!$AC62),0)</f>
        <v>-116727</v>
      </c>
      <c r="I51" s="26">
        <f>ROUND('Sum of Billing Determinants'!J62*-1*'Rate Calculations'!$G$8*(1-'Sum of Billing Determinants'!$AC62),0)</f>
        <v>-144816</v>
      </c>
      <c r="J51" s="26">
        <f>ROUND('Sum of Billing Determinants'!K62*-1*'Rate Calculations'!$G$8*(1-'Sum of Billing Determinants'!$AC62),0)</f>
        <v>-147958</v>
      </c>
      <c r="K51" s="26">
        <f>ROUND('Sum of Billing Determinants'!L62*-1*'Rate Calculations'!$G$8*(1-'Sum of Billing Determinants'!$AC62),0)</f>
        <v>-128449</v>
      </c>
      <c r="L51" s="26">
        <f>ROUND('Sum of Billing Determinants'!M62*-1*'Rate Calculations'!$G$8*(1-'Sum of Billing Determinants'!$AC62),0)</f>
        <v>-124176</v>
      </c>
      <c r="M51" s="26">
        <f>ROUND('Sum of Billing Determinants'!N62*-1*'Rate Calculations'!$G$8*(1-'Sum of Billing Determinants'!$AC62),0)</f>
        <v>-114266</v>
      </c>
      <c r="N51" s="26">
        <f t="shared" si="0"/>
        <v>-1368730</v>
      </c>
    </row>
    <row r="52" spans="2:14" ht="15">
      <c r="B52" s="22">
        <f>'Sum of Billing Determinants'!A63</f>
        <v>10121</v>
      </c>
      <c r="C52" s="22" t="str">
        <f>'Sum of Billing Determinants'!B63</f>
        <v>Coos Curry Elec Coop</v>
      </c>
      <c r="D52" s="26">
        <f>ROUND('Sum of Billing Determinants'!E63*-1*'Rate Calculations'!$G$8*(1-'Sum of Billing Determinants'!$AC63),0)</f>
        <v>-132450</v>
      </c>
      <c r="E52" s="26">
        <f>ROUND('Sum of Billing Determinants'!F63*-1*'Rate Calculations'!$G$8*(1-'Sum of Billing Determinants'!$AC63),0)</f>
        <v>-137636</v>
      </c>
      <c r="F52" s="26">
        <f>ROUND('Sum of Billing Determinants'!G63*-1*'Rate Calculations'!$G$8*(1-'Sum of Billing Determinants'!$AC63),0)</f>
        <v>-118385</v>
      </c>
      <c r="G52" s="26">
        <f>ROUND('Sum of Billing Determinants'!H63*-1*'Rate Calculations'!$G$8*(1-'Sum of Billing Determinants'!$AC63),0)</f>
        <v>-129253</v>
      </c>
      <c r="H52" s="26">
        <f>ROUND('Sum of Billing Determinants'!I63*-1*'Rate Calculations'!$G$8*(1-'Sum of Billing Determinants'!$AC63),0)</f>
        <v>-102024</v>
      </c>
      <c r="I52" s="26">
        <f>ROUND('Sum of Billing Determinants'!J63*-1*'Rate Calculations'!$G$8*(1-'Sum of Billing Determinants'!$AC63),0)</f>
        <v>-126574</v>
      </c>
      <c r="J52" s="26">
        <f>ROUND('Sum of Billing Determinants'!K63*-1*'Rate Calculations'!$G$8*(1-'Sum of Billing Determinants'!$AC63),0)</f>
        <v>-129320</v>
      </c>
      <c r="K52" s="26">
        <f>ROUND('Sum of Billing Determinants'!L63*-1*'Rate Calculations'!$G$8*(1-'Sum of Billing Determinants'!$AC63),0)</f>
        <v>-112269</v>
      </c>
      <c r="L52" s="26">
        <f>ROUND('Sum of Billing Determinants'!M63*-1*'Rate Calculations'!$G$8*(1-'Sum of Billing Determinants'!$AC63),0)</f>
        <v>-108534</v>
      </c>
      <c r="M52" s="26">
        <f>ROUND('Sum of Billing Determinants'!N63*-1*'Rate Calculations'!$G$8*(1-'Sum of Billing Determinants'!$AC63),0)</f>
        <v>-99872</v>
      </c>
      <c r="N52" s="26">
        <f t="shared" si="0"/>
        <v>-1196317</v>
      </c>
    </row>
    <row r="53" spans="2:14" ht="15">
      <c r="B53" s="22">
        <f>'Sum of Billing Determinants'!A64</f>
        <v>10123</v>
      </c>
      <c r="C53" s="22" t="str">
        <f>'Sum of Billing Determinants'!B64</f>
        <v>Cowlitz County PUD #1</v>
      </c>
      <c r="D53" s="26">
        <f>ROUND('Sum of Billing Determinants'!E64*-1*'Rate Calculations'!$G$8*(1-'Sum of Billing Determinants'!$AC64),0)</f>
        <v>-727802</v>
      </c>
      <c r="E53" s="26">
        <f>ROUND('Sum of Billing Determinants'!F64*-1*'Rate Calculations'!$G$8*(1-'Sum of Billing Determinants'!$AC64),0)</f>
        <v>-756299</v>
      </c>
      <c r="F53" s="26">
        <f>ROUND('Sum of Billing Determinants'!G64*-1*'Rate Calculations'!$G$8*(1-'Sum of Billing Determinants'!$AC64),0)</f>
        <v>-650518</v>
      </c>
      <c r="G53" s="26">
        <f>ROUND('Sum of Billing Determinants'!H64*-1*'Rate Calculations'!$G$8*(1-'Sum of Billing Determinants'!$AC64),0)</f>
        <v>-710237</v>
      </c>
      <c r="H53" s="26">
        <f>ROUND('Sum of Billing Determinants'!I64*-1*'Rate Calculations'!$G$8*(1-'Sum of Billing Determinants'!$AC64),0)</f>
        <v>-560612</v>
      </c>
      <c r="I53" s="26">
        <f>ROUND('Sum of Billing Determinants'!J64*-1*'Rate Calculations'!$G$8*(1-'Sum of Billing Determinants'!$AC64),0)</f>
        <v>-695515</v>
      </c>
      <c r="J53" s="26">
        <f>ROUND('Sum of Billing Determinants'!K64*-1*'Rate Calculations'!$G$8*(1-'Sum of Billing Determinants'!$AC64),0)</f>
        <v>-710606</v>
      </c>
      <c r="K53" s="26">
        <f>ROUND('Sum of Billing Determinants'!L64*-1*'Rate Calculations'!$G$8*(1-'Sum of Billing Determinants'!$AC64),0)</f>
        <v>-616908</v>
      </c>
      <c r="L53" s="26">
        <f>ROUND('Sum of Billing Determinants'!M64*-1*'Rate Calculations'!$G$8*(1-'Sum of Billing Determinants'!$AC64),0)</f>
        <v>-596386</v>
      </c>
      <c r="M53" s="26">
        <f>ROUND('Sum of Billing Determinants'!N64*-1*'Rate Calculations'!$G$8*(1-'Sum of Billing Determinants'!$AC64),0)</f>
        <v>-548791</v>
      </c>
      <c r="N53" s="26">
        <f t="shared" si="0"/>
        <v>-6573674</v>
      </c>
    </row>
    <row r="54" spans="2:14" ht="15">
      <c r="B54" s="22">
        <f>'Sum of Billing Determinants'!A65</f>
        <v>10136</v>
      </c>
      <c r="C54" s="22" t="str">
        <f>'Sum of Billing Determinants'!B65</f>
        <v>Douglas Electric Cooperative</v>
      </c>
      <c r="D54" s="26">
        <f>ROUND('Sum of Billing Determinants'!E65*-1*'Rate Calculations'!$G$8*(1-'Sum of Billing Determinants'!$AC65),0)</f>
        <v>-61037</v>
      </c>
      <c r="E54" s="26">
        <f>ROUND('Sum of Billing Determinants'!F65*-1*'Rate Calculations'!$G$8*(1-'Sum of Billing Determinants'!$AC65),0)</f>
        <v>-63427</v>
      </c>
      <c r="F54" s="26">
        <f>ROUND('Sum of Billing Determinants'!G65*-1*'Rate Calculations'!$G$8*(1-'Sum of Billing Determinants'!$AC65),0)</f>
        <v>-54556</v>
      </c>
      <c r="G54" s="26">
        <f>ROUND('Sum of Billing Determinants'!H65*-1*'Rate Calculations'!$G$8*(1-'Sum of Billing Determinants'!$AC65),0)</f>
        <v>-59564</v>
      </c>
      <c r="H54" s="26">
        <f>ROUND('Sum of Billing Determinants'!I65*-1*'Rate Calculations'!$G$8*(1-'Sum of Billing Determinants'!$AC65),0)</f>
        <v>-47016</v>
      </c>
      <c r="I54" s="26">
        <f>ROUND('Sum of Billing Determinants'!J65*-1*'Rate Calculations'!$G$8*(1-'Sum of Billing Determinants'!$AC65),0)</f>
        <v>-58329</v>
      </c>
      <c r="J54" s="26">
        <f>ROUND('Sum of Billing Determinants'!K65*-1*'Rate Calculations'!$G$8*(1-'Sum of Billing Determinants'!$AC65),0)</f>
        <v>-59595</v>
      </c>
      <c r="K54" s="26">
        <f>ROUND('Sum of Billing Determinants'!L65*-1*'Rate Calculations'!$G$8*(1-'Sum of Billing Determinants'!$AC65),0)</f>
        <v>-51737</v>
      </c>
      <c r="L54" s="26">
        <f>ROUND('Sum of Billing Determinants'!M65*-1*'Rate Calculations'!$G$8*(1-'Sum of Billing Determinants'!$AC65),0)</f>
        <v>-50016</v>
      </c>
      <c r="M54" s="26">
        <f>ROUND('Sum of Billing Determinants'!N65*-1*'Rate Calculations'!$G$8*(1-'Sum of Billing Determinants'!$AC65),0)</f>
        <v>-46024</v>
      </c>
      <c r="N54" s="26">
        <f t="shared" si="0"/>
        <v>-551301</v>
      </c>
    </row>
    <row r="55" spans="2:14" ht="15">
      <c r="B55" s="22">
        <f>'Sum of Billing Determinants'!A66</f>
        <v>10142</v>
      </c>
      <c r="C55" s="22" t="str">
        <f>'Sum of Billing Determinants'!B66</f>
        <v>East End Mutual Electric</v>
      </c>
      <c r="D55" s="26">
        <f>ROUND('Sum of Billing Determinants'!E66*-1*'Rate Calculations'!$G$8*(1-'Sum of Billing Determinants'!$AC66),0)</f>
        <v>-9231</v>
      </c>
      <c r="E55" s="26">
        <f>ROUND('Sum of Billing Determinants'!F66*-1*'Rate Calculations'!$G$8*(1-'Sum of Billing Determinants'!$AC66),0)</f>
        <v>-9593</v>
      </c>
      <c r="F55" s="26">
        <f>ROUND('Sum of Billing Determinants'!G66*-1*'Rate Calculations'!$G$8*(1-'Sum of Billing Determinants'!$AC66),0)</f>
        <v>-8251</v>
      </c>
      <c r="G55" s="26">
        <f>ROUND('Sum of Billing Determinants'!H66*-1*'Rate Calculations'!$G$8*(1-'Sum of Billing Determinants'!$AC66),0)</f>
        <v>-9009</v>
      </c>
      <c r="H55" s="26">
        <f>ROUND('Sum of Billing Determinants'!I66*-1*'Rate Calculations'!$G$8*(1-'Sum of Billing Determinants'!$AC66),0)</f>
        <v>-7111</v>
      </c>
      <c r="I55" s="26">
        <f>ROUND('Sum of Billing Determinants'!J66*-1*'Rate Calculations'!$G$8*(1-'Sum of Billing Determinants'!$AC66),0)</f>
        <v>-8822</v>
      </c>
      <c r="J55" s="26">
        <f>ROUND('Sum of Billing Determinants'!K66*-1*'Rate Calculations'!$G$8*(1-'Sum of Billing Determinants'!$AC66),0)</f>
        <v>-9013</v>
      </c>
      <c r="K55" s="26">
        <f>ROUND('Sum of Billing Determinants'!L66*-1*'Rate Calculations'!$G$8*(1-'Sum of Billing Determinants'!$AC66),0)</f>
        <v>-7825</v>
      </c>
      <c r="L55" s="26">
        <f>ROUND('Sum of Billing Determinants'!M66*-1*'Rate Calculations'!$G$8*(1-'Sum of Billing Determinants'!$AC66),0)</f>
        <v>-7565</v>
      </c>
      <c r="M55" s="26">
        <f>ROUND('Sum of Billing Determinants'!N66*-1*'Rate Calculations'!$G$8*(1-'Sum of Billing Determinants'!$AC66),0)</f>
        <v>-6961</v>
      </c>
      <c r="N55" s="26">
        <f t="shared" si="0"/>
        <v>-83381</v>
      </c>
    </row>
    <row r="56" spans="2:14" ht="15">
      <c r="B56" s="22">
        <f>'Sum of Billing Determinants'!A67</f>
        <v>10144</v>
      </c>
      <c r="C56" s="22" t="str">
        <f>'Sum of Billing Determinants'!B67</f>
        <v>Eatonville, City of</v>
      </c>
      <c r="D56" s="26">
        <f>ROUND('Sum of Billing Determinants'!E67*-1*'Rate Calculations'!$G$8*(1-'Sum of Billing Determinants'!$AC67),0)</f>
        <v>-11620</v>
      </c>
      <c r="E56" s="26">
        <f>ROUND('Sum of Billing Determinants'!F67*-1*'Rate Calculations'!$G$8*(1-'Sum of Billing Determinants'!$AC67),0)</f>
        <v>-12075</v>
      </c>
      <c r="F56" s="26">
        <f>ROUND('Sum of Billing Determinants'!G67*-1*'Rate Calculations'!$G$8*(1-'Sum of Billing Determinants'!$AC67),0)</f>
        <v>-10386</v>
      </c>
      <c r="G56" s="26">
        <f>ROUND('Sum of Billing Determinants'!H67*-1*'Rate Calculations'!$G$8*(1-'Sum of Billing Determinants'!$AC67),0)</f>
        <v>-11339</v>
      </c>
      <c r="H56" s="26">
        <f>ROUND('Sum of Billing Determinants'!I67*-1*'Rate Calculations'!$G$8*(1-'Sum of Billing Determinants'!$AC67),0)</f>
        <v>-8950</v>
      </c>
      <c r="I56" s="26">
        <f>ROUND('Sum of Billing Determinants'!J67*-1*'Rate Calculations'!$G$8*(1-'Sum of Billing Determinants'!$AC67),0)</f>
        <v>-11104</v>
      </c>
      <c r="J56" s="26">
        <f>ROUND('Sum of Billing Determinants'!K67*-1*'Rate Calculations'!$G$8*(1-'Sum of Billing Determinants'!$AC67),0)</f>
        <v>-11345</v>
      </c>
      <c r="K56" s="26">
        <f>ROUND('Sum of Billing Determinants'!L67*-1*'Rate Calculations'!$G$8*(1-'Sum of Billing Determinants'!$AC67),0)</f>
        <v>-9849</v>
      </c>
      <c r="L56" s="26">
        <f>ROUND('Sum of Billing Determinants'!M67*-1*'Rate Calculations'!$G$8*(1-'Sum of Billing Determinants'!$AC67),0)</f>
        <v>-9522</v>
      </c>
      <c r="M56" s="26">
        <f>ROUND('Sum of Billing Determinants'!N67*-1*'Rate Calculations'!$G$8*(1-'Sum of Billing Determinants'!$AC67),0)</f>
        <v>-8762</v>
      </c>
      <c r="N56" s="26">
        <f t="shared" si="0"/>
        <v>-104952</v>
      </c>
    </row>
    <row r="57" spans="2:14" ht="15">
      <c r="B57" s="22">
        <f>'Sum of Billing Determinants'!A68</f>
        <v>10156</v>
      </c>
      <c r="C57" s="22" t="str">
        <f>'Sum of Billing Determinants'!B68</f>
        <v>Elmhurst Mutual P &amp; L</v>
      </c>
      <c r="D57" s="26">
        <f>ROUND('Sum of Billing Determinants'!E68*-1*'Rate Calculations'!$G$8*(1-'Sum of Billing Determinants'!$AC68),0)</f>
        <v>-115016</v>
      </c>
      <c r="E57" s="26">
        <f>ROUND('Sum of Billing Determinants'!F68*-1*'Rate Calculations'!$G$8*(1-'Sum of Billing Determinants'!$AC68),0)</f>
        <v>-119519</v>
      </c>
      <c r="F57" s="26">
        <f>ROUND('Sum of Billing Determinants'!G68*-1*'Rate Calculations'!$G$8*(1-'Sum of Billing Determinants'!$AC68),0)</f>
        <v>-102803</v>
      </c>
      <c r="G57" s="26">
        <f>ROUND('Sum of Billing Determinants'!H68*-1*'Rate Calculations'!$G$8*(1-'Sum of Billing Determinants'!$AC68),0)</f>
        <v>-112240</v>
      </c>
      <c r="H57" s="26">
        <f>ROUND('Sum of Billing Determinants'!I68*-1*'Rate Calculations'!$G$8*(1-'Sum of Billing Determinants'!$AC68),0)</f>
        <v>-88595</v>
      </c>
      <c r="I57" s="26">
        <f>ROUND('Sum of Billing Determinants'!J68*-1*'Rate Calculations'!$G$8*(1-'Sum of Billing Determinants'!$AC68),0)</f>
        <v>-109913</v>
      </c>
      <c r="J57" s="26">
        <f>ROUND('Sum of Billing Determinants'!K68*-1*'Rate Calculations'!$G$8*(1-'Sum of Billing Determinants'!$AC68),0)</f>
        <v>-112298</v>
      </c>
      <c r="K57" s="26">
        <f>ROUND('Sum of Billing Determinants'!L68*-1*'Rate Calculations'!$G$8*(1-'Sum of Billing Determinants'!$AC68),0)</f>
        <v>-97491</v>
      </c>
      <c r="L57" s="26">
        <f>ROUND('Sum of Billing Determinants'!M68*-1*'Rate Calculations'!$G$8*(1-'Sum of Billing Determinants'!$AC68),0)</f>
        <v>-94248</v>
      </c>
      <c r="M57" s="26">
        <f>ROUND('Sum of Billing Determinants'!N68*-1*'Rate Calculations'!$G$8*(1-'Sum of Billing Determinants'!$AC68),0)</f>
        <v>-86726</v>
      </c>
      <c r="N57" s="26">
        <f t="shared" si="0"/>
        <v>-1038849</v>
      </c>
    </row>
    <row r="58" spans="2:14" ht="15">
      <c r="B58" s="22">
        <f>'Sum of Billing Determinants'!A69</f>
        <v>10157</v>
      </c>
      <c r="C58" s="22" t="str">
        <f>'Sum of Billing Determinants'!B69</f>
        <v>Emerald PUD</v>
      </c>
      <c r="D58" s="26">
        <f>ROUND('Sum of Billing Determinants'!E69*-1*'Rate Calculations'!$G$8*(1-'Sum of Billing Determinants'!$AC69),0)</f>
        <v>-79937</v>
      </c>
      <c r="E58" s="26">
        <f>ROUND('Sum of Billing Determinants'!F69*-1*'Rate Calculations'!$G$8*(1-'Sum of Billing Determinants'!$AC69),0)</f>
        <v>-83067</v>
      </c>
      <c r="F58" s="26">
        <f>ROUND('Sum of Billing Determinants'!G69*-1*'Rate Calculations'!$G$8*(1-'Sum of Billing Determinants'!$AC69),0)</f>
        <v>-71449</v>
      </c>
      <c r="G58" s="26">
        <f>ROUND('Sum of Billing Determinants'!H69*-1*'Rate Calculations'!$G$8*(1-'Sum of Billing Determinants'!$AC69),0)</f>
        <v>-78008</v>
      </c>
      <c r="H58" s="26">
        <f>ROUND('Sum of Billing Determinants'!I69*-1*'Rate Calculations'!$G$8*(1-'Sum of Billing Determinants'!$AC69),0)</f>
        <v>-61574</v>
      </c>
      <c r="I58" s="26">
        <f>ROUND('Sum of Billing Determinants'!J69*-1*'Rate Calculations'!$G$8*(1-'Sum of Billing Determinants'!$AC69),0)</f>
        <v>-76391</v>
      </c>
      <c r="J58" s="26">
        <f>ROUND('Sum of Billing Determinants'!K69*-1*'Rate Calculations'!$G$8*(1-'Sum of Billing Determinants'!$AC69),0)</f>
        <v>-78048</v>
      </c>
      <c r="K58" s="26">
        <f>ROUND('Sum of Billing Determinants'!L69*-1*'Rate Calculations'!$G$8*(1-'Sum of Billing Determinants'!$AC69),0)</f>
        <v>-67757</v>
      </c>
      <c r="L58" s="26">
        <f>ROUND('Sum of Billing Determinants'!M69*-1*'Rate Calculations'!$G$8*(1-'Sum of Billing Determinants'!$AC69),0)</f>
        <v>-65503</v>
      </c>
      <c r="M58" s="26">
        <f>ROUND('Sum of Billing Determinants'!N69*-1*'Rate Calculations'!$G$8*(1-'Sum of Billing Determinants'!$AC69),0)</f>
        <v>-60276</v>
      </c>
      <c r="N58" s="26">
        <f t="shared" si="0"/>
        <v>-722010</v>
      </c>
    </row>
    <row r="59" spans="2:14" ht="15">
      <c r="B59" s="22">
        <f>'Sum of Billing Determinants'!A70</f>
        <v>10158</v>
      </c>
      <c r="C59" s="22" t="str">
        <f>'Sum of Billing Determinants'!B70</f>
        <v>Energy Northwest</v>
      </c>
      <c r="D59" s="26">
        <f>ROUND('Sum of Billing Determinants'!E70*-1*'Rate Calculations'!$G$8*(1-'Sum of Billing Determinants'!$AC70),0)</f>
        <v>-8094</v>
      </c>
      <c r="E59" s="26">
        <f>ROUND('Sum of Billing Determinants'!F70*-1*'Rate Calculations'!$G$8*(1-'Sum of Billing Determinants'!$AC70),0)</f>
        <v>-8411</v>
      </c>
      <c r="F59" s="26">
        <f>ROUND('Sum of Billing Determinants'!G70*-1*'Rate Calculations'!$G$8*(1-'Sum of Billing Determinants'!$AC70),0)</f>
        <v>-7235</v>
      </c>
      <c r="G59" s="26">
        <f>ROUND('Sum of Billing Determinants'!H70*-1*'Rate Calculations'!$G$8*(1-'Sum of Billing Determinants'!$AC70),0)</f>
        <v>-7899</v>
      </c>
      <c r="H59" s="26">
        <f>ROUND('Sum of Billing Determinants'!I70*-1*'Rate Calculations'!$G$8*(1-'Sum of Billing Determinants'!$AC70),0)</f>
        <v>-6235</v>
      </c>
      <c r="I59" s="26">
        <f>ROUND('Sum of Billing Determinants'!J70*-1*'Rate Calculations'!$G$8*(1-'Sum of Billing Determinants'!$AC70),0)</f>
        <v>-7735</v>
      </c>
      <c r="J59" s="26">
        <f>ROUND('Sum of Billing Determinants'!K70*-1*'Rate Calculations'!$G$8*(1-'Sum of Billing Determinants'!$AC70),0)</f>
        <v>-7903</v>
      </c>
      <c r="K59" s="26">
        <f>ROUND('Sum of Billing Determinants'!L70*-1*'Rate Calculations'!$G$8*(1-'Sum of Billing Determinants'!$AC70),0)</f>
        <v>-6861</v>
      </c>
      <c r="L59" s="26">
        <f>ROUND('Sum of Billing Determinants'!M70*-1*'Rate Calculations'!$G$8*(1-'Sum of Billing Determinants'!$AC70),0)</f>
        <v>-6633</v>
      </c>
      <c r="M59" s="26">
        <f>ROUND('Sum of Billing Determinants'!N70*-1*'Rate Calculations'!$G$8*(1-'Sum of Billing Determinants'!$AC70),0)</f>
        <v>-6103</v>
      </c>
      <c r="N59" s="26">
        <f t="shared" si="0"/>
        <v>-73109</v>
      </c>
    </row>
    <row r="60" spans="2:14" ht="15">
      <c r="B60" s="22">
        <f>'Sum of Billing Determinants'!A71</f>
        <v>10170</v>
      </c>
      <c r="C60" s="22" t="str">
        <f>'Sum of Billing Determinants'!B71</f>
        <v>Eugene Water &amp; Electric Board</v>
      </c>
      <c r="D60" s="26">
        <f>ROUND('Sum of Billing Determinants'!E71*-1*'Rate Calculations'!$G$8*(1-'Sum of Billing Determinants'!$AC71),0)</f>
        <v>-376767</v>
      </c>
      <c r="E60" s="26">
        <f>ROUND('Sum of Billing Determinants'!F71*-1*'Rate Calculations'!$G$8*(1-'Sum of Billing Determinants'!$AC71),0)</f>
        <v>-391519</v>
      </c>
      <c r="F60" s="26">
        <f>ROUND('Sum of Billing Determinants'!G71*-1*'Rate Calculations'!$G$8*(1-'Sum of Billing Determinants'!$AC71),0)</f>
        <v>-336759</v>
      </c>
      <c r="G60" s="26">
        <f>ROUND('Sum of Billing Determinants'!H71*-1*'Rate Calculations'!$G$8*(1-'Sum of Billing Determinants'!$AC71),0)</f>
        <v>-367674</v>
      </c>
      <c r="H60" s="26">
        <f>ROUND('Sum of Billing Determinants'!I71*-1*'Rate Calculations'!$G$8*(1-'Sum of Billing Determinants'!$AC71),0)</f>
        <v>-290216</v>
      </c>
      <c r="I60" s="26">
        <f>ROUND('Sum of Billing Determinants'!J71*-1*'Rate Calculations'!$G$8*(1-'Sum of Billing Determinants'!$AC71),0)</f>
        <v>-360052</v>
      </c>
      <c r="J60" s="26">
        <f>ROUND('Sum of Billing Determinants'!K71*-1*'Rate Calculations'!$G$8*(1-'Sum of Billing Determinants'!$AC71),0)</f>
        <v>-367865</v>
      </c>
      <c r="K60" s="26">
        <f>ROUND('Sum of Billing Determinants'!L71*-1*'Rate Calculations'!$G$8*(1-'Sum of Billing Determinants'!$AC71),0)</f>
        <v>-319360</v>
      </c>
      <c r="L60" s="26">
        <f>ROUND('Sum of Billing Determinants'!M71*-1*'Rate Calculations'!$G$8*(1-'Sum of Billing Determinants'!$AC71),0)</f>
        <v>-308736</v>
      </c>
      <c r="M60" s="26">
        <f>ROUND('Sum of Billing Determinants'!N71*-1*'Rate Calculations'!$G$8*(1-'Sum of Billing Determinants'!$AC71),0)</f>
        <v>-284097</v>
      </c>
      <c r="N60" s="26">
        <f t="shared" si="0"/>
        <v>-3403045</v>
      </c>
    </row>
    <row r="61" spans="2:14" ht="15">
      <c r="B61" s="22">
        <f>'Sum of Billing Determinants'!A72</f>
        <v>10172</v>
      </c>
      <c r="C61" s="22" t="str">
        <f>'Sum of Billing Determinants'!B72</f>
        <v>U.S. Airforce Base, Fairchild</v>
      </c>
      <c r="D61" s="26">
        <f>ROUND('Sum of Billing Determinants'!E72*-1*'Rate Calculations'!$G$8*(1-'Sum of Billing Determinants'!$AC72),0)</f>
        <v>-18812</v>
      </c>
      <c r="E61" s="26">
        <f>ROUND('Sum of Billing Determinants'!F72*-1*'Rate Calculations'!$G$8*(1-'Sum of Billing Determinants'!$AC72),0)</f>
        <v>-19548</v>
      </c>
      <c r="F61" s="26">
        <f>ROUND('Sum of Billing Determinants'!G72*-1*'Rate Calculations'!$G$8*(1-'Sum of Billing Determinants'!$AC72),0)</f>
        <v>-16814</v>
      </c>
      <c r="G61" s="26">
        <f>ROUND('Sum of Billing Determinants'!H72*-1*'Rate Calculations'!$G$8*(1-'Sum of Billing Determinants'!$AC72),0)</f>
        <v>-18358</v>
      </c>
      <c r="H61" s="26">
        <f>ROUND('Sum of Billing Determinants'!I72*-1*'Rate Calculations'!$G$8*(1-'Sum of Billing Determinants'!$AC72),0)</f>
        <v>-14490</v>
      </c>
      <c r="I61" s="26">
        <f>ROUND('Sum of Billing Determinants'!J72*-1*'Rate Calculations'!$G$8*(1-'Sum of Billing Determinants'!$AC72),0)</f>
        <v>-17977</v>
      </c>
      <c r="J61" s="26">
        <f>ROUND('Sum of Billing Determinants'!K72*-1*'Rate Calculations'!$G$8*(1-'Sum of Billing Determinants'!$AC72),0)</f>
        <v>-18367</v>
      </c>
      <c r="K61" s="26">
        <f>ROUND('Sum of Billing Determinants'!L72*-1*'Rate Calculations'!$G$8*(1-'Sum of Billing Determinants'!$AC72),0)</f>
        <v>-15946</v>
      </c>
      <c r="L61" s="26">
        <f>ROUND('Sum of Billing Determinants'!M72*-1*'Rate Calculations'!$G$8*(1-'Sum of Billing Determinants'!$AC72),0)</f>
        <v>-15415</v>
      </c>
      <c r="M61" s="26">
        <f>ROUND('Sum of Billing Determinants'!N72*-1*'Rate Calculations'!$G$8*(1-'Sum of Billing Determinants'!$AC72),0)</f>
        <v>-14185</v>
      </c>
      <c r="N61" s="26">
        <f t="shared" si="0"/>
        <v>-169912</v>
      </c>
    </row>
    <row r="62" spans="2:14" ht="15">
      <c r="B62" s="22">
        <f>'Sum of Billing Determinants'!A73</f>
        <v>10173</v>
      </c>
      <c r="C62" s="22" t="str">
        <f>'Sum of Billing Determinants'!B73</f>
        <v>Fall River Elec Coop</v>
      </c>
      <c r="D62" s="26">
        <f>ROUND('Sum of Billing Determinants'!E73*-1*'Rate Calculations'!$G$8*(1-'Sum of Billing Determinants'!$AC73),0)</f>
        <v>-108178</v>
      </c>
      <c r="E62" s="26">
        <f>ROUND('Sum of Billing Determinants'!F73*-1*'Rate Calculations'!$G$8*(1-'Sum of Billing Determinants'!$AC73),0)</f>
        <v>-112413</v>
      </c>
      <c r="F62" s="26">
        <f>ROUND('Sum of Billing Determinants'!G73*-1*'Rate Calculations'!$G$8*(1-'Sum of Billing Determinants'!$AC73),0)</f>
        <v>-96691</v>
      </c>
      <c r="G62" s="26">
        <f>ROUND('Sum of Billing Determinants'!H73*-1*'Rate Calculations'!$G$8*(1-'Sum of Billing Determinants'!$AC73),0)</f>
        <v>-105567</v>
      </c>
      <c r="H62" s="26">
        <f>ROUND('Sum of Billing Determinants'!I73*-1*'Rate Calculations'!$G$8*(1-'Sum of Billing Determinants'!$AC73),0)</f>
        <v>-83327</v>
      </c>
      <c r="I62" s="26">
        <f>ROUND('Sum of Billing Determinants'!J73*-1*'Rate Calculations'!$G$8*(1-'Sum of Billing Determinants'!$AC73),0)</f>
        <v>-103379</v>
      </c>
      <c r="J62" s="26">
        <f>ROUND('Sum of Billing Determinants'!K73*-1*'Rate Calculations'!$G$8*(1-'Sum of Billing Determinants'!$AC73),0)</f>
        <v>-105622</v>
      </c>
      <c r="K62" s="26">
        <f>ROUND('Sum of Billing Determinants'!L73*-1*'Rate Calculations'!$G$8*(1-'Sum of Billing Determinants'!$AC73),0)</f>
        <v>-91695</v>
      </c>
      <c r="L62" s="26">
        <f>ROUND('Sum of Billing Determinants'!M73*-1*'Rate Calculations'!$G$8*(1-'Sum of Billing Determinants'!$AC73),0)</f>
        <v>-88645</v>
      </c>
      <c r="M62" s="26">
        <f>ROUND('Sum of Billing Determinants'!N73*-1*'Rate Calculations'!$G$8*(1-'Sum of Billing Determinants'!$AC73),0)</f>
        <v>-81570</v>
      </c>
      <c r="N62" s="26">
        <f t="shared" si="0"/>
        <v>-977087</v>
      </c>
    </row>
    <row r="63" spans="2:14" ht="15">
      <c r="B63" s="22">
        <f>'Sum of Billing Determinants'!A74</f>
        <v>10174</v>
      </c>
      <c r="C63" s="22" t="str">
        <f>'Sum of Billing Determinants'!B74</f>
        <v>Farmers Elec Coop</v>
      </c>
      <c r="D63" s="26">
        <f>ROUND('Sum of Billing Determinants'!E74*-1*'Rate Calculations'!$G$8*(1-'Sum of Billing Determinants'!$AC74),0)</f>
        <v>-1769</v>
      </c>
      <c r="E63" s="26">
        <f>ROUND('Sum of Billing Determinants'!F74*-1*'Rate Calculations'!$G$8*(1-'Sum of Billing Determinants'!$AC74),0)</f>
        <v>-1838</v>
      </c>
      <c r="F63" s="26">
        <f>ROUND('Sum of Billing Determinants'!G74*-1*'Rate Calculations'!$G$8*(1-'Sum of Billing Determinants'!$AC74),0)</f>
        <v>-1581</v>
      </c>
      <c r="G63" s="26">
        <f>ROUND('Sum of Billing Determinants'!H74*-1*'Rate Calculations'!$G$8*(1-'Sum of Billing Determinants'!$AC74),0)</f>
        <v>-1726</v>
      </c>
      <c r="H63" s="26">
        <f>ROUND('Sum of Billing Determinants'!I74*-1*'Rate Calculations'!$G$8*(1-'Sum of Billing Determinants'!$AC74),0)</f>
        <v>-1363</v>
      </c>
      <c r="I63" s="26">
        <f>ROUND('Sum of Billing Determinants'!J74*-1*'Rate Calculations'!$G$8*(1-'Sum of Billing Determinants'!$AC74),0)</f>
        <v>-1691</v>
      </c>
      <c r="J63" s="26">
        <f>ROUND('Sum of Billing Determinants'!K74*-1*'Rate Calculations'!$G$8*(1-'Sum of Billing Determinants'!$AC74),0)</f>
        <v>-1727</v>
      </c>
      <c r="K63" s="26">
        <f>ROUND('Sum of Billing Determinants'!L74*-1*'Rate Calculations'!$G$8*(1-'Sum of Billing Determinants'!$AC74),0)</f>
        <v>-1500</v>
      </c>
      <c r="L63" s="26">
        <f>ROUND('Sum of Billing Determinants'!M74*-1*'Rate Calculations'!$G$8*(1-'Sum of Billing Determinants'!$AC74),0)</f>
        <v>-1450</v>
      </c>
      <c r="M63" s="26">
        <f>ROUND('Sum of Billing Determinants'!N74*-1*'Rate Calculations'!$G$8*(1-'Sum of Billing Determinants'!$AC74),0)</f>
        <v>-1334</v>
      </c>
      <c r="N63" s="26">
        <f t="shared" si="0"/>
        <v>-15979</v>
      </c>
    </row>
    <row r="64" spans="2:14" ht="15">
      <c r="B64" s="22">
        <f>'Sum of Billing Determinants'!A75</f>
        <v>10177</v>
      </c>
      <c r="C64" s="22" t="str">
        <f>'Sum of Billing Determinants'!B75</f>
        <v>Ferry County PUD #1</v>
      </c>
      <c r="D64" s="26">
        <f>ROUND('Sum of Billing Determinants'!E75*-1*'Rate Calculations'!$G$8*(1-'Sum of Billing Determinants'!$AC75),0)</f>
        <v>-28723</v>
      </c>
      <c r="E64" s="26">
        <f>ROUND('Sum of Billing Determinants'!F75*-1*'Rate Calculations'!$G$8*(1-'Sum of Billing Determinants'!$AC75),0)</f>
        <v>-29848</v>
      </c>
      <c r="F64" s="26">
        <f>ROUND('Sum of Billing Determinants'!G75*-1*'Rate Calculations'!$G$8*(1-'Sum of Billing Determinants'!$AC75),0)</f>
        <v>-25673</v>
      </c>
      <c r="G64" s="26">
        <f>ROUND('Sum of Billing Determinants'!H75*-1*'Rate Calculations'!$G$8*(1-'Sum of Billing Determinants'!$AC75),0)</f>
        <v>-28030</v>
      </c>
      <c r="H64" s="26">
        <f>ROUND('Sum of Billing Determinants'!I75*-1*'Rate Calculations'!$G$8*(1-'Sum of Billing Determinants'!$AC75),0)</f>
        <v>-22125</v>
      </c>
      <c r="I64" s="26">
        <f>ROUND('Sum of Billing Determinants'!J75*-1*'Rate Calculations'!$G$8*(1-'Sum of Billing Determinants'!$AC75),0)</f>
        <v>-27449</v>
      </c>
      <c r="J64" s="26">
        <f>ROUND('Sum of Billing Determinants'!K75*-1*'Rate Calculations'!$G$8*(1-'Sum of Billing Determinants'!$AC75),0)</f>
        <v>-28045</v>
      </c>
      <c r="K64" s="26">
        <f>ROUND('Sum of Billing Determinants'!L75*-1*'Rate Calculations'!$G$8*(1-'Sum of Billing Determinants'!$AC75),0)</f>
        <v>-24347</v>
      </c>
      <c r="L64" s="26">
        <f>ROUND('Sum of Billing Determinants'!M75*-1*'Rate Calculations'!$G$8*(1-'Sum of Billing Determinants'!$AC75),0)</f>
        <v>-23537</v>
      </c>
      <c r="M64" s="26">
        <f>ROUND('Sum of Billing Determinants'!N75*-1*'Rate Calculations'!$G$8*(1-'Sum of Billing Determinants'!$AC75),0)</f>
        <v>-21658</v>
      </c>
      <c r="N64" s="26">
        <f t="shared" si="0"/>
        <v>-259435</v>
      </c>
    </row>
    <row r="65" spans="2:14" ht="15">
      <c r="B65" s="22">
        <f>'Sum of Billing Determinants'!A76</f>
        <v>10179</v>
      </c>
      <c r="C65" s="22" t="str">
        <f>'Sum of Billing Determinants'!B76</f>
        <v>Flathead Elec Coop</v>
      </c>
      <c r="D65" s="26">
        <f>ROUND('Sum of Billing Determinants'!E76*-1*'Rate Calculations'!$G$8*(1-'Sum of Billing Determinants'!$AC76),0)</f>
        <v>-595174</v>
      </c>
      <c r="E65" s="26">
        <f>ROUND('Sum of Billing Determinants'!F76*-1*'Rate Calculations'!$G$8*(1-'Sum of Billing Determinants'!$AC76),0)</f>
        <v>-618478</v>
      </c>
      <c r="F65" s="26">
        <f>ROUND('Sum of Billing Determinants'!G76*-1*'Rate Calculations'!$G$8*(1-'Sum of Billing Determinants'!$AC76),0)</f>
        <v>-531973</v>
      </c>
      <c r="G65" s="26">
        <f>ROUND('Sum of Billing Determinants'!H76*-1*'Rate Calculations'!$G$8*(1-'Sum of Billing Determinants'!$AC76),0)</f>
        <v>-580809</v>
      </c>
      <c r="H65" s="26">
        <f>ROUND('Sum of Billing Determinants'!I76*-1*'Rate Calculations'!$G$8*(1-'Sum of Billing Determinants'!$AC76),0)</f>
        <v>-458451</v>
      </c>
      <c r="I65" s="26">
        <f>ROUND('Sum of Billing Determinants'!J76*-1*'Rate Calculations'!$G$8*(1-'Sum of Billing Determinants'!$AC76),0)</f>
        <v>-568770</v>
      </c>
      <c r="J65" s="26">
        <f>ROUND('Sum of Billing Determinants'!K76*-1*'Rate Calculations'!$G$8*(1-'Sum of Billing Determinants'!$AC76),0)</f>
        <v>-581111</v>
      </c>
      <c r="K65" s="26">
        <f>ROUND('Sum of Billing Determinants'!L76*-1*'Rate Calculations'!$G$8*(1-'Sum of Billing Determinants'!$AC76),0)</f>
        <v>-504488</v>
      </c>
      <c r="L65" s="26">
        <f>ROUND('Sum of Billing Determinants'!M76*-1*'Rate Calculations'!$G$8*(1-'Sum of Billing Determinants'!$AC76),0)</f>
        <v>-487706</v>
      </c>
      <c r="M65" s="26">
        <f>ROUND('Sum of Billing Determinants'!N76*-1*'Rate Calculations'!$G$8*(1-'Sum of Billing Determinants'!$AC76),0)</f>
        <v>-448784</v>
      </c>
      <c r="N65" s="26">
        <f t="shared" si="0"/>
        <v>-5375744</v>
      </c>
    </row>
    <row r="66" spans="2:14" ht="15">
      <c r="B66" s="22">
        <f>'Sum of Billing Determinants'!A77</f>
        <v>10183</v>
      </c>
      <c r="C66" s="22" t="str">
        <f>'Sum of Billing Determinants'!B77</f>
        <v>Franklin County PUD #1</v>
      </c>
      <c r="D66" s="26">
        <f>ROUND('Sum of Billing Determinants'!E77*-1*'Rate Calculations'!$G$8*(1-'Sum of Billing Determinants'!$AC77),0)</f>
        <v>-222419</v>
      </c>
      <c r="E66" s="26">
        <f>ROUND('Sum of Billing Determinants'!F77*-1*'Rate Calculations'!$G$8*(1-'Sum of Billing Determinants'!$AC77),0)</f>
        <v>-231128</v>
      </c>
      <c r="F66" s="26">
        <f>ROUND('Sum of Billing Determinants'!G77*-1*'Rate Calculations'!$G$8*(1-'Sum of Billing Determinants'!$AC77),0)</f>
        <v>-198800</v>
      </c>
      <c r="G66" s="26">
        <f>ROUND('Sum of Billing Determinants'!H77*-1*'Rate Calculations'!$G$8*(1-'Sum of Billing Determinants'!$AC77),0)</f>
        <v>-217051</v>
      </c>
      <c r="H66" s="26">
        <f>ROUND('Sum of Billing Determinants'!I77*-1*'Rate Calculations'!$G$8*(1-'Sum of Billing Determinants'!$AC77),0)</f>
        <v>-171325</v>
      </c>
      <c r="I66" s="26">
        <f>ROUND('Sum of Billing Determinants'!J77*-1*'Rate Calculations'!$G$8*(1-'Sum of Billing Determinants'!$AC77),0)</f>
        <v>-212552</v>
      </c>
      <c r="J66" s="26">
        <f>ROUND('Sum of Billing Determinants'!K77*-1*'Rate Calculations'!$G$8*(1-'Sum of Billing Determinants'!$AC77),0)</f>
        <v>-217163</v>
      </c>
      <c r="K66" s="26">
        <f>ROUND('Sum of Billing Determinants'!L77*-1*'Rate Calculations'!$G$8*(1-'Sum of Billing Determinants'!$AC77),0)</f>
        <v>-188529</v>
      </c>
      <c r="L66" s="26">
        <f>ROUND('Sum of Billing Determinants'!M77*-1*'Rate Calculations'!$G$8*(1-'Sum of Billing Determinants'!$AC77),0)</f>
        <v>-182258</v>
      </c>
      <c r="M66" s="26">
        <f>ROUND('Sum of Billing Determinants'!N77*-1*'Rate Calculations'!$G$8*(1-'Sum of Billing Determinants'!$AC77),0)</f>
        <v>-167712</v>
      </c>
      <c r="N66" s="26">
        <f t="shared" si="0"/>
        <v>-2008937</v>
      </c>
    </row>
    <row r="67" spans="2:14" ht="15">
      <c r="B67" s="22">
        <f>'Sum of Billing Determinants'!A78</f>
        <v>10186</v>
      </c>
      <c r="C67" s="22" t="str">
        <f>'Sum of Billing Determinants'!B78</f>
        <v>Glacier Elec  Coop</v>
      </c>
      <c r="D67" s="26">
        <f>ROUND('Sum of Billing Determinants'!E78*-1*'Rate Calculations'!$G$8*(1-'Sum of Billing Determinants'!$AC78),0)</f>
        <v>-58553</v>
      </c>
      <c r="E67" s="26">
        <f>ROUND('Sum of Billing Determinants'!F78*-1*'Rate Calculations'!$G$8*(1-'Sum of Billing Determinants'!$AC78),0)</f>
        <v>-60845</v>
      </c>
      <c r="F67" s="26">
        <f>ROUND('Sum of Billing Determinants'!G78*-1*'Rate Calculations'!$G$8*(1-'Sum of Billing Determinants'!$AC78),0)</f>
        <v>-52335</v>
      </c>
      <c r="G67" s="26">
        <f>ROUND('Sum of Billing Determinants'!H78*-1*'Rate Calculations'!$G$8*(1-'Sum of Billing Determinants'!$AC78),0)</f>
        <v>-57140</v>
      </c>
      <c r="H67" s="26">
        <f>ROUND('Sum of Billing Determinants'!I78*-1*'Rate Calculations'!$G$8*(1-'Sum of Billing Determinants'!$AC78),0)</f>
        <v>-45102</v>
      </c>
      <c r="I67" s="26">
        <f>ROUND('Sum of Billing Determinants'!J78*-1*'Rate Calculations'!$G$8*(1-'Sum of Billing Determinants'!$AC78),0)</f>
        <v>-55955</v>
      </c>
      <c r="J67" s="26">
        <f>ROUND('Sum of Billing Determinants'!K78*-1*'Rate Calculations'!$G$8*(1-'Sum of Billing Determinants'!$AC78),0)</f>
        <v>-57169</v>
      </c>
      <c r="K67" s="26">
        <f>ROUND('Sum of Billing Determinants'!L78*-1*'Rate Calculations'!$G$8*(1-'Sum of Billing Determinants'!$AC78),0)</f>
        <v>-49631</v>
      </c>
      <c r="L67" s="26">
        <f>ROUND('Sum of Billing Determinants'!M78*-1*'Rate Calculations'!$G$8*(1-'Sum of Billing Determinants'!$AC78),0)</f>
        <v>-47980</v>
      </c>
      <c r="M67" s="26">
        <f>ROUND('Sum of Billing Determinants'!N78*-1*'Rate Calculations'!$G$8*(1-'Sum of Billing Determinants'!$AC78),0)</f>
        <v>-44151</v>
      </c>
      <c r="N67" s="26">
        <f t="shared" si="0"/>
        <v>-528861</v>
      </c>
    </row>
    <row r="68" spans="2:14" ht="15">
      <c r="B68" s="22">
        <f>'Sum of Billing Determinants'!A79</f>
        <v>10190</v>
      </c>
      <c r="C68" s="22" t="str">
        <f>'Sum of Billing Determinants'!B79</f>
        <v>Grant County PUD #2</v>
      </c>
      <c r="D68" s="26">
        <f>ROUND('Sum of Billing Determinants'!E79*-1*'Rate Calculations'!$G$8*(1-'Sum of Billing Determinants'!$AC79),0)</f>
        <v>-18525</v>
      </c>
      <c r="E68" s="26">
        <f>ROUND('Sum of Billing Determinants'!F79*-1*'Rate Calculations'!$G$8*(1-'Sum of Billing Determinants'!$AC79),0)</f>
        <v>-19250</v>
      </c>
      <c r="F68" s="26">
        <f>ROUND('Sum of Billing Determinants'!G79*-1*'Rate Calculations'!$G$8*(1-'Sum of Billing Determinants'!$AC79),0)</f>
        <v>-16558</v>
      </c>
      <c r="G68" s="26">
        <f>ROUND('Sum of Billing Determinants'!H79*-1*'Rate Calculations'!$G$8*(1-'Sum of Billing Determinants'!$AC79),0)</f>
        <v>-18078</v>
      </c>
      <c r="H68" s="26">
        <f>ROUND('Sum of Billing Determinants'!I79*-1*'Rate Calculations'!$G$8*(1-'Sum of Billing Determinants'!$AC79),0)</f>
        <v>-14269</v>
      </c>
      <c r="I68" s="26">
        <f>ROUND('Sum of Billing Determinants'!J79*-1*'Rate Calculations'!$G$8*(1-'Sum of Billing Determinants'!$AC79),0)</f>
        <v>-17703</v>
      </c>
      <c r="J68" s="26">
        <f>ROUND('Sum of Billing Determinants'!K79*-1*'Rate Calculations'!$G$8*(1-'Sum of Billing Determinants'!$AC79),0)</f>
        <v>-18087</v>
      </c>
      <c r="K68" s="26">
        <f>ROUND('Sum of Billing Determinants'!L79*-1*'Rate Calculations'!$G$8*(1-'Sum of Billing Determinants'!$AC79),0)</f>
        <v>-15702</v>
      </c>
      <c r="L68" s="26">
        <f>ROUND('Sum of Billing Determinants'!M79*-1*'Rate Calculations'!$G$8*(1-'Sum of Billing Determinants'!$AC79),0)</f>
        <v>-15180</v>
      </c>
      <c r="M68" s="26">
        <f>ROUND('Sum of Billing Determinants'!N79*-1*'Rate Calculations'!$G$8*(1-'Sum of Billing Determinants'!$AC79),0)</f>
        <v>-13968</v>
      </c>
      <c r="N68" s="26">
        <f t="shared" si="0"/>
        <v>-167320</v>
      </c>
    </row>
    <row r="69" spans="1:14" ht="15">
      <c r="A69" s="19" t="s">
        <v>193</v>
      </c>
      <c r="B69" s="22">
        <f>'Sum of Billing Determinants'!A80</f>
        <v>10191</v>
      </c>
      <c r="C69" s="22" t="str">
        <f>'Sum of Billing Determinants'!B80</f>
        <v>Grays Harbor PUD #1</v>
      </c>
      <c r="D69" s="26">
        <f>ROUND(('Sum of Billing Determinants'!E80-'Sum of Billing Determinants'!E10)*-1*'Rate Calculations'!$G$8*(1-'Sum of Billing Determinants'!$AC80),0)</f>
        <v>-185841</v>
      </c>
      <c r="E69" s="26">
        <f>ROUND(('Sum of Billing Determinants'!F80-'Sum of Billing Determinants'!F10)*-1*'Rate Calculations'!$G$8*(1-'Sum of Billing Determinants'!$AC80),0)</f>
        <v>-193117</v>
      </c>
      <c r="F69" s="26">
        <f>ROUND(('Sum of Billing Determinants'!G80-'Sum of Billing Determinants'!G10)*-1*'Rate Calculations'!$G$8*(1-'Sum of Billing Determinants'!$AC80),0)</f>
        <v>-166107</v>
      </c>
      <c r="G69" s="26">
        <f>ROUND(('Sum of Billing Determinants'!H80-'Sum of Billing Determinants'!H10)*-1*'Rate Calculations'!$G$8*(1-'Sum of Billing Determinants'!$AC80),0)</f>
        <v>-181356</v>
      </c>
      <c r="H69" s="26">
        <f>ROUND(('Sum of Billing Determinants'!I80-'Sum of Billing Determinants'!I10)*-1*'Rate Calculations'!$G$8*(1-'Sum of Billing Determinants'!$AC80),0)</f>
        <v>-143150</v>
      </c>
      <c r="I69" s="26">
        <f>ROUND(('Sum of Billing Determinants'!J80-'Sum of Billing Determinants'!J10)*-1*'Rate Calculations'!$G$8*(1-'Sum of Billing Determinants'!$AC80),0)</f>
        <v>-177596</v>
      </c>
      <c r="J69" s="26">
        <f>ROUND(('Sum of Billing Determinants'!K80-'Sum of Billing Determinants'!K10)*-1*'Rate Calculations'!$G$8*(1-'Sum of Billing Determinants'!$AC80),0)</f>
        <v>-181450</v>
      </c>
      <c r="K69" s="26">
        <f>ROUND(('Sum of Billing Determinants'!L80-'Sum of Billing Determinants'!L10)*-1*'Rate Calculations'!$G$8*(1-'Sum of Billing Determinants'!$AC80),0)</f>
        <v>-157525</v>
      </c>
      <c r="L69" s="26">
        <f>ROUND(('Sum of Billing Determinants'!M80-'Sum of Billing Determinants'!M10)*-1*'Rate Calculations'!$G$8*(1-'Sum of Billing Determinants'!$AC80),0)</f>
        <v>-152284</v>
      </c>
      <c r="M69" s="26">
        <f>ROUND(('Sum of Billing Determinants'!N80-'Sum of Billing Determinants'!N10)*-1*'Rate Calculations'!$G$8*(1-'Sum of Billing Determinants'!$AC80),0)</f>
        <v>-140131</v>
      </c>
      <c r="N69" s="26">
        <f t="shared" si="0"/>
        <v>-1678557</v>
      </c>
    </row>
    <row r="70" spans="2:14" ht="15">
      <c r="B70" s="22">
        <f>'Sum of Billing Determinants'!A81</f>
        <v>10197</v>
      </c>
      <c r="C70" s="22" t="str">
        <f>'Sum of Billing Determinants'!B81</f>
        <v>Harney Elec Coop</v>
      </c>
      <c r="D70" s="26">
        <f>ROUND('Sum of Billing Determinants'!E81*-1*'Rate Calculations'!$G$8*(1-'Sum of Billing Determinants'!$AC81),0)</f>
        <v>-74126</v>
      </c>
      <c r="E70" s="26">
        <f>ROUND('Sum of Billing Determinants'!F81*-1*'Rate Calculations'!$G$8*(1-'Sum of Billing Determinants'!$AC81),0)</f>
        <v>-77028</v>
      </c>
      <c r="F70" s="26">
        <f>ROUND('Sum of Billing Determinants'!G81*-1*'Rate Calculations'!$G$8*(1-'Sum of Billing Determinants'!$AC81),0)</f>
        <v>-66255</v>
      </c>
      <c r="G70" s="26">
        <f>ROUND('Sum of Billing Determinants'!H81*-1*'Rate Calculations'!$G$8*(1-'Sum of Billing Determinants'!$AC81),0)</f>
        <v>-72337</v>
      </c>
      <c r="H70" s="26">
        <f>ROUND('Sum of Billing Determinants'!I81*-1*'Rate Calculations'!$G$8*(1-'Sum of Billing Determinants'!$AC81),0)</f>
        <v>-57098</v>
      </c>
      <c r="I70" s="26">
        <f>ROUND('Sum of Billing Determinants'!J81*-1*'Rate Calculations'!$G$8*(1-'Sum of Billing Determinants'!$AC81),0)</f>
        <v>-70838</v>
      </c>
      <c r="J70" s="26">
        <f>ROUND('Sum of Billing Determinants'!K81*-1*'Rate Calculations'!$G$8*(1-'Sum of Billing Determinants'!$AC81),0)</f>
        <v>-72375</v>
      </c>
      <c r="K70" s="26">
        <f>ROUND('Sum of Billing Determinants'!L81*-1*'Rate Calculations'!$G$8*(1-'Sum of Billing Determinants'!$AC81),0)</f>
        <v>-62832</v>
      </c>
      <c r="L70" s="26">
        <f>ROUND('Sum of Billing Determinants'!M81*-1*'Rate Calculations'!$G$8*(1-'Sum of Billing Determinants'!$AC81),0)</f>
        <v>-60741</v>
      </c>
      <c r="M70" s="26">
        <f>ROUND('Sum of Billing Determinants'!N81*-1*'Rate Calculations'!$G$8*(1-'Sum of Billing Determinants'!$AC81),0)</f>
        <v>-55894</v>
      </c>
      <c r="N70" s="26">
        <f aca="true" t="shared" si="1" ref="N70:N133">SUM(D70:M70)</f>
        <v>-669524</v>
      </c>
    </row>
    <row r="71" spans="2:14" ht="15">
      <c r="B71" s="22">
        <f>'Sum of Billing Determinants'!A82</f>
        <v>10202</v>
      </c>
      <c r="C71" s="22" t="str">
        <f>'Sum of Billing Determinants'!B82</f>
        <v>Hood River Elec Coop</v>
      </c>
      <c r="D71" s="26">
        <f>ROUND('Sum of Billing Determinants'!E82*-1*'Rate Calculations'!$G$8*(1-'Sum of Billing Determinants'!$AC82),0)</f>
        <v>-46734</v>
      </c>
      <c r="E71" s="26">
        <f>ROUND('Sum of Billing Determinants'!F82*-1*'Rate Calculations'!$G$8*(1-'Sum of Billing Determinants'!$AC82),0)</f>
        <v>-48563</v>
      </c>
      <c r="F71" s="26">
        <f>ROUND('Sum of Billing Determinants'!G82*-1*'Rate Calculations'!$G$8*(1-'Sum of Billing Determinants'!$AC82),0)</f>
        <v>-41771</v>
      </c>
      <c r="G71" s="26">
        <f>ROUND('Sum of Billing Determinants'!H82*-1*'Rate Calculations'!$G$8*(1-'Sum of Billing Determinants'!$AC82),0)</f>
        <v>-45606</v>
      </c>
      <c r="H71" s="26">
        <f>ROUND('Sum of Billing Determinants'!I82*-1*'Rate Calculations'!$G$8*(1-'Sum of Billing Determinants'!$AC82),0)</f>
        <v>-35998</v>
      </c>
      <c r="I71" s="26">
        <f>ROUND('Sum of Billing Determinants'!J82*-1*'Rate Calculations'!$G$8*(1-'Sum of Billing Determinants'!$AC82),0)</f>
        <v>-44660</v>
      </c>
      <c r="J71" s="26">
        <f>ROUND('Sum of Billing Determinants'!K82*-1*'Rate Calculations'!$G$8*(1-'Sum of Billing Determinants'!$AC82),0)</f>
        <v>-45629</v>
      </c>
      <c r="K71" s="26">
        <f>ROUND('Sum of Billing Determinants'!L82*-1*'Rate Calculations'!$G$8*(1-'Sum of Billing Determinants'!$AC82),0)</f>
        <v>-39613</v>
      </c>
      <c r="L71" s="26">
        <f>ROUND('Sum of Billing Determinants'!M82*-1*'Rate Calculations'!$G$8*(1-'Sum of Billing Determinants'!$AC82),0)</f>
        <v>-38295</v>
      </c>
      <c r="M71" s="26">
        <f>ROUND('Sum of Billing Determinants'!N82*-1*'Rate Calculations'!$G$8*(1-'Sum of Billing Determinants'!$AC82),0)</f>
        <v>-35239</v>
      </c>
      <c r="N71" s="26">
        <f t="shared" si="1"/>
        <v>-422108</v>
      </c>
    </row>
    <row r="72" spans="2:14" ht="15">
      <c r="B72" s="22">
        <f>'Sum of Billing Determinants'!A83</f>
        <v>10203</v>
      </c>
      <c r="C72" s="22" t="str">
        <f>'Sum of Billing Determinants'!B83</f>
        <v>Idaho County L &amp; P</v>
      </c>
      <c r="D72" s="26">
        <f>ROUND('Sum of Billing Determinants'!E83*-1*'Rate Calculations'!$G$8*(1-'Sum of Billing Determinants'!$AC83),0)</f>
        <v>-20486</v>
      </c>
      <c r="E72" s="26">
        <f>ROUND('Sum of Billing Determinants'!F83*-1*'Rate Calculations'!$G$8*(1-'Sum of Billing Determinants'!$AC83),0)</f>
        <v>-21288</v>
      </c>
      <c r="F72" s="26">
        <f>ROUND('Sum of Billing Determinants'!G83*-1*'Rate Calculations'!$G$8*(1-'Sum of Billing Determinants'!$AC83),0)</f>
        <v>-18310</v>
      </c>
      <c r="G72" s="26">
        <f>ROUND('Sum of Billing Determinants'!H83*-1*'Rate Calculations'!$G$8*(1-'Sum of Billing Determinants'!$AC83),0)</f>
        <v>-19991</v>
      </c>
      <c r="H72" s="26">
        <f>ROUND('Sum of Billing Determinants'!I83*-1*'Rate Calculations'!$G$8*(1-'Sum of Billing Determinants'!$AC83),0)</f>
        <v>-15780</v>
      </c>
      <c r="I72" s="26">
        <f>ROUND('Sum of Billing Determinants'!J83*-1*'Rate Calculations'!$G$8*(1-'Sum of Billing Determinants'!$AC83),0)</f>
        <v>-19577</v>
      </c>
      <c r="J72" s="26">
        <f>ROUND('Sum of Billing Determinants'!K83*-1*'Rate Calculations'!$G$8*(1-'Sum of Billing Determinants'!$AC83),0)</f>
        <v>-20002</v>
      </c>
      <c r="K72" s="26">
        <f>ROUND('Sum of Billing Determinants'!L83*-1*'Rate Calculations'!$G$8*(1-'Sum of Billing Determinants'!$AC83),0)</f>
        <v>-17364</v>
      </c>
      <c r="L72" s="26">
        <f>ROUND('Sum of Billing Determinants'!M83*-1*'Rate Calculations'!$G$8*(1-'Sum of Billing Determinants'!$AC83),0)</f>
        <v>-16787</v>
      </c>
      <c r="M72" s="26">
        <f>ROUND('Sum of Billing Determinants'!N83*-1*'Rate Calculations'!$G$8*(1-'Sum of Billing Determinants'!$AC83),0)</f>
        <v>-15447</v>
      </c>
      <c r="N72" s="26">
        <f t="shared" si="1"/>
        <v>-185032</v>
      </c>
    </row>
    <row r="73" spans="2:14" ht="15">
      <c r="B73" s="22">
        <f>'Sum of Billing Determinants'!A84</f>
        <v>10204</v>
      </c>
      <c r="C73" s="22" t="str">
        <f>'Sum of Billing Determinants'!B84</f>
        <v>Idaho Falls Power</v>
      </c>
      <c r="D73" s="26">
        <f>ROUND('Sum of Billing Determinants'!E84*-1*'Rate Calculations'!$G$8*(1-'Sum of Billing Determinants'!$AC84),0)</f>
        <v>-145533</v>
      </c>
      <c r="E73" s="26">
        <f>ROUND('Sum of Billing Determinants'!F84*-1*'Rate Calculations'!$G$8*(1-'Sum of Billing Determinants'!$AC84),0)</f>
        <v>-151232</v>
      </c>
      <c r="F73" s="26">
        <f>ROUND('Sum of Billing Determinants'!G84*-1*'Rate Calculations'!$G$8*(1-'Sum of Billing Determinants'!$AC84),0)</f>
        <v>-130079</v>
      </c>
      <c r="G73" s="26">
        <f>ROUND('Sum of Billing Determinants'!H84*-1*'Rate Calculations'!$G$8*(1-'Sum of Billing Determinants'!$AC84),0)</f>
        <v>-142021</v>
      </c>
      <c r="H73" s="26">
        <f>ROUND('Sum of Billing Determinants'!I84*-1*'Rate Calculations'!$G$8*(1-'Sum of Billing Determinants'!$AC84),0)</f>
        <v>-112101</v>
      </c>
      <c r="I73" s="26">
        <f>ROUND('Sum of Billing Determinants'!J84*-1*'Rate Calculations'!$G$8*(1-'Sum of Billing Determinants'!$AC84),0)</f>
        <v>-139077</v>
      </c>
      <c r="J73" s="26">
        <f>ROUND('Sum of Billing Determinants'!K84*-1*'Rate Calculations'!$G$8*(1-'Sum of Billing Determinants'!$AC84),0)</f>
        <v>-142095</v>
      </c>
      <c r="K73" s="26">
        <f>ROUND('Sum of Billing Determinants'!L84*-1*'Rate Calculations'!$G$8*(1-'Sum of Billing Determinants'!$AC84),0)</f>
        <v>-123359</v>
      </c>
      <c r="L73" s="26">
        <f>ROUND('Sum of Billing Determinants'!M84*-1*'Rate Calculations'!$G$8*(1-'Sum of Billing Determinants'!$AC84),0)</f>
        <v>-119255</v>
      </c>
      <c r="M73" s="26">
        <f>ROUND('Sum of Billing Determinants'!N84*-1*'Rate Calculations'!$G$8*(1-'Sum of Billing Determinants'!$AC84),0)</f>
        <v>-109738</v>
      </c>
      <c r="N73" s="26">
        <f t="shared" si="1"/>
        <v>-1314490</v>
      </c>
    </row>
    <row r="74" spans="2:14" ht="15">
      <c r="B74" s="22">
        <f>'Sum of Billing Determinants'!A85</f>
        <v>10209</v>
      </c>
      <c r="C74" s="22" t="str">
        <f>'Sum of Billing Determinants'!B85</f>
        <v>Inland P &amp; L</v>
      </c>
      <c r="D74" s="26">
        <f>ROUND('Sum of Billing Determinants'!E85*-1*'Rate Calculations'!$G$8*(1-'Sum of Billing Determinants'!$AC85),0)</f>
        <v>-342280</v>
      </c>
      <c r="E74" s="26">
        <f>ROUND('Sum of Billing Determinants'!F85*-1*'Rate Calculations'!$G$8*(1-'Sum of Billing Determinants'!$AC85),0)</f>
        <v>-355681</v>
      </c>
      <c r="F74" s="26">
        <f>ROUND('Sum of Billing Determinants'!G85*-1*'Rate Calculations'!$G$8*(1-'Sum of Billing Determinants'!$AC85),0)</f>
        <v>-305933</v>
      </c>
      <c r="G74" s="26">
        <f>ROUND('Sum of Billing Determinants'!H85*-1*'Rate Calculations'!$G$8*(1-'Sum of Billing Determinants'!$AC85),0)</f>
        <v>-334019</v>
      </c>
      <c r="H74" s="26">
        <f>ROUND('Sum of Billing Determinants'!I85*-1*'Rate Calculations'!$G$8*(1-'Sum of Billing Determinants'!$AC85),0)</f>
        <v>-263652</v>
      </c>
      <c r="I74" s="26">
        <f>ROUND('Sum of Billing Determinants'!J85*-1*'Rate Calculations'!$G$8*(1-'Sum of Billing Determinants'!$AC85),0)</f>
        <v>-327095</v>
      </c>
      <c r="J74" s="26">
        <f>ROUND('Sum of Billing Determinants'!K85*-1*'Rate Calculations'!$G$8*(1-'Sum of Billing Determinants'!$AC85),0)</f>
        <v>-334192</v>
      </c>
      <c r="K74" s="26">
        <f>ROUND('Sum of Billing Determinants'!L85*-1*'Rate Calculations'!$G$8*(1-'Sum of Billing Determinants'!$AC85),0)</f>
        <v>-290127</v>
      </c>
      <c r="L74" s="26">
        <f>ROUND('Sum of Billing Determinants'!M85*-1*'Rate Calculations'!$G$8*(1-'Sum of Billing Determinants'!$AC85),0)</f>
        <v>-280476</v>
      </c>
      <c r="M74" s="26">
        <f>ROUND('Sum of Billing Determinants'!N85*-1*'Rate Calculations'!$G$8*(1-'Sum of Billing Determinants'!$AC85),0)</f>
        <v>-258092</v>
      </c>
      <c r="N74" s="26">
        <f t="shared" si="1"/>
        <v>-3091547</v>
      </c>
    </row>
    <row r="75" spans="2:14" ht="15">
      <c r="B75" s="22">
        <f>'Sum of Billing Determinants'!A86</f>
        <v>10230</v>
      </c>
      <c r="C75" s="22" t="str">
        <f>'Sum of Billing Determinants'!B86</f>
        <v>Kittitas County PUD #1</v>
      </c>
      <c r="D75" s="26">
        <f>ROUND('Sum of Billing Determinants'!E86*-1*'Rate Calculations'!$G$8*(1-'Sum of Billing Determinants'!$AC86),0)</f>
        <v>-31533</v>
      </c>
      <c r="E75" s="26">
        <f>ROUND('Sum of Billing Determinants'!F86*-1*'Rate Calculations'!$G$8*(1-'Sum of Billing Determinants'!$AC86),0)</f>
        <v>-32768</v>
      </c>
      <c r="F75" s="26">
        <f>ROUND('Sum of Billing Determinants'!G86*-1*'Rate Calculations'!$G$8*(1-'Sum of Billing Determinants'!$AC86),0)</f>
        <v>-28185</v>
      </c>
      <c r="G75" s="26">
        <f>ROUND('Sum of Billing Determinants'!H86*-1*'Rate Calculations'!$G$8*(1-'Sum of Billing Determinants'!$AC86),0)</f>
        <v>-30772</v>
      </c>
      <c r="H75" s="26">
        <f>ROUND('Sum of Billing Determinants'!I86*-1*'Rate Calculations'!$G$8*(1-'Sum of Billing Determinants'!$AC86),0)</f>
        <v>-24290</v>
      </c>
      <c r="I75" s="26">
        <f>ROUND('Sum of Billing Determinants'!J86*-1*'Rate Calculations'!$G$8*(1-'Sum of Billing Determinants'!$AC86),0)</f>
        <v>-30135</v>
      </c>
      <c r="J75" s="26">
        <f>ROUND('Sum of Billing Determinants'!K86*-1*'Rate Calculations'!$G$8*(1-'Sum of Billing Determinants'!$AC86),0)</f>
        <v>-30788</v>
      </c>
      <c r="K75" s="26">
        <f>ROUND('Sum of Billing Determinants'!L86*-1*'Rate Calculations'!$G$8*(1-'Sum of Billing Determinants'!$AC86),0)</f>
        <v>-26729</v>
      </c>
      <c r="L75" s="26">
        <f>ROUND('Sum of Billing Determinants'!M86*-1*'Rate Calculations'!$G$8*(1-'Sum of Billing Determinants'!$AC86),0)</f>
        <v>-25840</v>
      </c>
      <c r="M75" s="26">
        <f>ROUND('Sum of Billing Determinants'!N86*-1*'Rate Calculations'!$G$8*(1-'Sum of Billing Determinants'!$AC86),0)</f>
        <v>-23777</v>
      </c>
      <c r="N75" s="26">
        <f t="shared" si="1"/>
        <v>-284817</v>
      </c>
    </row>
    <row r="76" spans="2:14" ht="15">
      <c r="B76" s="22">
        <f>'Sum of Billing Determinants'!A87</f>
        <v>10231</v>
      </c>
      <c r="C76" s="22" t="str">
        <f>'Sum of Billing Determinants'!B87</f>
        <v>Klickitat County PUD #1</v>
      </c>
      <c r="D76" s="26">
        <f>ROUND('Sum of Billing Determinants'!E87*-1*'Rate Calculations'!$G$8*(1-'Sum of Billing Determinants'!$AC87),0)</f>
        <v>-118706</v>
      </c>
      <c r="E76" s="26">
        <f>ROUND('Sum of Billing Determinants'!F87*-1*'Rate Calculations'!$G$8*(1-'Sum of Billing Determinants'!$AC87),0)</f>
        <v>-123354</v>
      </c>
      <c r="F76" s="26">
        <f>ROUND('Sum of Billing Determinants'!G87*-1*'Rate Calculations'!$G$8*(1-'Sum of Billing Determinants'!$AC87),0)</f>
        <v>-106101</v>
      </c>
      <c r="G76" s="26">
        <f>ROUND('Sum of Billing Determinants'!H87*-1*'Rate Calculations'!$G$8*(1-'Sum of Billing Determinants'!$AC87),0)</f>
        <v>-115841</v>
      </c>
      <c r="H76" s="26">
        <f>ROUND('Sum of Billing Determinants'!I87*-1*'Rate Calculations'!$G$8*(1-'Sum of Billing Determinants'!$AC87),0)</f>
        <v>-91437</v>
      </c>
      <c r="I76" s="26">
        <f>ROUND('Sum of Billing Determinants'!J87*-1*'Rate Calculations'!$G$8*(1-'Sum of Billing Determinants'!$AC87),0)</f>
        <v>-113440</v>
      </c>
      <c r="J76" s="26">
        <f>ROUND('Sum of Billing Determinants'!K87*-1*'Rate Calculations'!$G$8*(1-'Sum of Billing Determinants'!$AC87),0)</f>
        <v>-115902</v>
      </c>
      <c r="K76" s="26">
        <f>ROUND('Sum of Billing Determinants'!L87*-1*'Rate Calculations'!$G$8*(1-'Sum of Billing Determinants'!$AC87),0)</f>
        <v>-100619</v>
      </c>
      <c r="L76" s="26">
        <f>ROUND('Sum of Billing Determinants'!M87*-1*'Rate Calculations'!$G$8*(1-'Sum of Billing Determinants'!$AC87),0)</f>
        <v>-97272</v>
      </c>
      <c r="M76" s="26">
        <f>ROUND('Sum of Billing Determinants'!N87*-1*'Rate Calculations'!$G$8*(1-'Sum of Billing Determinants'!$AC87),0)</f>
        <v>-89509</v>
      </c>
      <c r="N76" s="26">
        <f t="shared" si="1"/>
        <v>-1072181</v>
      </c>
    </row>
    <row r="77" spans="2:14" ht="15">
      <c r="B77" s="22">
        <f>'Sum of Billing Determinants'!A88</f>
        <v>10234</v>
      </c>
      <c r="C77" s="22" t="str">
        <f>'Sum of Billing Determinants'!B88</f>
        <v>Kootenai Electric Coop</v>
      </c>
      <c r="D77" s="26">
        <f>ROUND('Sum of Billing Determinants'!E88*-1*'Rate Calculations'!$G$8*(1-'Sum of Billing Determinants'!$AC88),0)</f>
        <v>-181950</v>
      </c>
      <c r="E77" s="26">
        <f>ROUND('Sum of Billing Determinants'!F88*-1*'Rate Calculations'!$G$8*(1-'Sum of Billing Determinants'!$AC88),0)</f>
        <v>-189074</v>
      </c>
      <c r="F77" s="26">
        <f>ROUND('Sum of Billing Determinants'!G88*-1*'Rate Calculations'!$G$8*(1-'Sum of Billing Determinants'!$AC88),0)</f>
        <v>-162629</v>
      </c>
      <c r="G77" s="26">
        <f>ROUND('Sum of Billing Determinants'!H88*-1*'Rate Calculations'!$G$8*(1-'Sum of Billing Determinants'!$AC88),0)</f>
        <v>-177559</v>
      </c>
      <c r="H77" s="26">
        <f>ROUND('Sum of Billing Determinants'!I88*-1*'Rate Calculations'!$G$8*(1-'Sum of Billing Determinants'!$AC88),0)</f>
        <v>-140153</v>
      </c>
      <c r="I77" s="26">
        <f>ROUND('Sum of Billing Determinants'!J88*-1*'Rate Calculations'!$G$8*(1-'Sum of Billing Determinants'!$AC88),0)</f>
        <v>-173878</v>
      </c>
      <c r="J77" s="26">
        <f>ROUND('Sum of Billing Determinants'!K88*-1*'Rate Calculations'!$G$8*(1-'Sum of Billing Determinants'!$AC88),0)</f>
        <v>-177651</v>
      </c>
      <c r="K77" s="26">
        <f>ROUND('Sum of Billing Determinants'!L88*-1*'Rate Calculations'!$G$8*(1-'Sum of Billing Determinants'!$AC88),0)</f>
        <v>-154226</v>
      </c>
      <c r="L77" s="26">
        <f>ROUND('Sum of Billing Determinants'!M88*-1*'Rate Calculations'!$G$8*(1-'Sum of Billing Determinants'!$AC88),0)</f>
        <v>-149096</v>
      </c>
      <c r="M77" s="26">
        <f>ROUND('Sum of Billing Determinants'!N88*-1*'Rate Calculations'!$G$8*(1-'Sum of Billing Determinants'!$AC88),0)</f>
        <v>-137197</v>
      </c>
      <c r="N77" s="26">
        <f t="shared" si="1"/>
        <v>-1643413</v>
      </c>
    </row>
    <row r="78" spans="2:14" ht="15">
      <c r="B78" s="22">
        <f>'Sum of Billing Determinants'!A89</f>
        <v>10235</v>
      </c>
      <c r="C78" s="22" t="str">
        <f>'Sum of Billing Determinants'!B89</f>
        <v>Lakeview L &amp; P (WA)</v>
      </c>
      <c r="D78" s="26">
        <f>ROUND('Sum of Billing Determinants'!E89*-1*'Rate Calculations'!$G$8*(1-'Sum of Billing Determinants'!$AC89),0)</f>
        <v>-107874</v>
      </c>
      <c r="E78" s="26">
        <f>ROUND('Sum of Billing Determinants'!F89*-1*'Rate Calculations'!$G$8*(1-'Sum of Billing Determinants'!$AC89),0)</f>
        <v>-112098</v>
      </c>
      <c r="F78" s="26">
        <f>ROUND('Sum of Billing Determinants'!G89*-1*'Rate Calculations'!$G$8*(1-'Sum of Billing Determinants'!$AC89),0)</f>
        <v>-96419</v>
      </c>
      <c r="G78" s="26">
        <f>ROUND('Sum of Billing Determinants'!H89*-1*'Rate Calculations'!$G$8*(1-'Sum of Billing Determinants'!$AC89),0)</f>
        <v>-105271</v>
      </c>
      <c r="H78" s="26">
        <f>ROUND('Sum of Billing Determinants'!I89*-1*'Rate Calculations'!$G$8*(1-'Sum of Billing Determinants'!$AC89),0)</f>
        <v>-83093</v>
      </c>
      <c r="I78" s="26">
        <f>ROUND('Sum of Billing Determinants'!J89*-1*'Rate Calculations'!$G$8*(1-'Sum of Billing Determinants'!$AC89),0)</f>
        <v>-103089</v>
      </c>
      <c r="J78" s="26">
        <f>ROUND('Sum of Billing Determinants'!K89*-1*'Rate Calculations'!$G$8*(1-'Sum of Billing Determinants'!$AC89),0)</f>
        <v>-105325</v>
      </c>
      <c r="K78" s="26">
        <f>ROUND('Sum of Billing Determinants'!L89*-1*'Rate Calculations'!$G$8*(1-'Sum of Billing Determinants'!$AC89),0)</f>
        <v>-91438</v>
      </c>
      <c r="L78" s="26">
        <f>ROUND('Sum of Billing Determinants'!M89*-1*'Rate Calculations'!$G$8*(1-'Sum of Billing Determinants'!$AC89),0)</f>
        <v>-88396</v>
      </c>
      <c r="M78" s="26">
        <f>ROUND('Sum of Billing Determinants'!N89*-1*'Rate Calculations'!$G$8*(1-'Sum of Billing Determinants'!$AC89),0)</f>
        <v>-81341</v>
      </c>
      <c r="N78" s="26">
        <f t="shared" si="1"/>
        <v>-974344</v>
      </c>
    </row>
    <row r="79" spans="2:14" ht="15">
      <c r="B79" s="22">
        <f>'Sum of Billing Determinants'!A90</f>
        <v>10236</v>
      </c>
      <c r="C79" s="22" t="str">
        <f>'Sum of Billing Determinants'!B90</f>
        <v>Lane County Elec Coop</v>
      </c>
      <c r="D79" s="26">
        <f>ROUND('Sum of Billing Determinants'!E90*-1*'Rate Calculations'!$G$8*(1-'Sum of Billing Determinants'!$AC90),0)</f>
        <v>-93648</v>
      </c>
      <c r="E79" s="26">
        <f>ROUND('Sum of Billing Determinants'!F90*-1*'Rate Calculations'!$G$8*(1-'Sum of Billing Determinants'!$AC90),0)</f>
        <v>-97314</v>
      </c>
      <c r="F79" s="26">
        <f>ROUND('Sum of Billing Determinants'!G90*-1*'Rate Calculations'!$G$8*(1-'Sum of Billing Determinants'!$AC90),0)</f>
        <v>-83703</v>
      </c>
      <c r="G79" s="26">
        <f>ROUND('Sum of Billing Determinants'!H90*-1*'Rate Calculations'!$G$8*(1-'Sum of Billing Determinants'!$AC90),0)</f>
        <v>-91387</v>
      </c>
      <c r="H79" s="26">
        <f>ROUND('Sum of Billing Determinants'!I90*-1*'Rate Calculations'!$G$8*(1-'Sum of Billing Determinants'!$AC90),0)</f>
        <v>-72135</v>
      </c>
      <c r="I79" s="26">
        <f>ROUND('Sum of Billing Determinants'!J90*-1*'Rate Calculations'!$G$8*(1-'Sum of Billing Determinants'!$AC90),0)</f>
        <v>-89493</v>
      </c>
      <c r="J79" s="26">
        <f>ROUND('Sum of Billing Determinants'!K90*-1*'Rate Calculations'!$G$8*(1-'Sum of Billing Determinants'!$AC90),0)</f>
        <v>-91435</v>
      </c>
      <c r="K79" s="26">
        <f>ROUND('Sum of Billing Determinants'!L90*-1*'Rate Calculations'!$G$8*(1-'Sum of Billing Determinants'!$AC90),0)</f>
        <v>-79379</v>
      </c>
      <c r="L79" s="26">
        <f>ROUND('Sum of Billing Determinants'!M90*-1*'Rate Calculations'!$G$8*(1-'Sum of Billing Determinants'!$AC90),0)</f>
        <v>-76738</v>
      </c>
      <c r="M79" s="26">
        <f>ROUND('Sum of Billing Determinants'!N90*-1*'Rate Calculations'!$G$8*(1-'Sum of Billing Determinants'!$AC90),0)</f>
        <v>-70614</v>
      </c>
      <c r="N79" s="26">
        <f t="shared" si="1"/>
        <v>-845846</v>
      </c>
    </row>
    <row r="80" spans="2:14" ht="15">
      <c r="B80" s="22">
        <f>'Sum of Billing Determinants'!A91</f>
        <v>10237</v>
      </c>
      <c r="C80" s="22" t="str">
        <f>'Sum of Billing Determinants'!B91</f>
        <v>Lewis County PUD #1</v>
      </c>
      <c r="D80" s="26">
        <f>ROUND('Sum of Billing Determinants'!E91*-1*'Rate Calculations'!$G$8*(1-'Sum of Billing Determinants'!$AC91),0)</f>
        <v>-156226</v>
      </c>
      <c r="E80" s="26">
        <f>ROUND('Sum of Billing Determinants'!F91*-1*'Rate Calculations'!$G$8*(1-'Sum of Billing Determinants'!$AC91),0)</f>
        <v>-162343</v>
      </c>
      <c r="F80" s="26">
        <f>ROUND('Sum of Billing Determinants'!G91*-1*'Rate Calculations'!$G$8*(1-'Sum of Billing Determinants'!$AC91),0)</f>
        <v>-139637</v>
      </c>
      <c r="G80" s="26">
        <f>ROUND('Sum of Billing Determinants'!H91*-1*'Rate Calculations'!$G$8*(1-'Sum of Billing Determinants'!$AC91),0)</f>
        <v>-152456</v>
      </c>
      <c r="H80" s="26">
        <f>ROUND('Sum of Billing Determinants'!I91*-1*'Rate Calculations'!$G$8*(1-'Sum of Billing Determinants'!$AC91),0)</f>
        <v>-120338</v>
      </c>
      <c r="I80" s="26">
        <f>ROUND('Sum of Billing Determinants'!J91*-1*'Rate Calculations'!$G$8*(1-'Sum of Billing Determinants'!$AC91),0)</f>
        <v>-149296</v>
      </c>
      <c r="J80" s="26">
        <f>ROUND('Sum of Billing Determinants'!K91*-1*'Rate Calculations'!$G$8*(1-'Sum of Billing Determinants'!$AC91),0)</f>
        <v>-152535</v>
      </c>
      <c r="K80" s="26">
        <f>ROUND('Sum of Billing Determinants'!L91*-1*'Rate Calculations'!$G$8*(1-'Sum of Billing Determinants'!$AC91),0)</f>
        <v>-132422</v>
      </c>
      <c r="L80" s="26">
        <f>ROUND('Sum of Billing Determinants'!M91*-1*'Rate Calculations'!$G$8*(1-'Sum of Billing Determinants'!$AC91),0)</f>
        <v>-128017</v>
      </c>
      <c r="M80" s="26">
        <f>ROUND('Sum of Billing Determinants'!N91*-1*'Rate Calculations'!$G$8*(1-'Sum of Billing Determinants'!$AC91),0)</f>
        <v>-117801</v>
      </c>
      <c r="N80" s="26">
        <f t="shared" si="1"/>
        <v>-1411071</v>
      </c>
    </row>
    <row r="81" spans="2:14" ht="15">
      <c r="B81" s="22">
        <f>'Sum of Billing Determinants'!A92</f>
        <v>10239</v>
      </c>
      <c r="C81" s="22" t="str">
        <f>'Sum of Billing Determinants'!B92</f>
        <v>Lincoln Elec Coop (MT)</v>
      </c>
      <c r="D81" s="26">
        <f>ROUND('Sum of Billing Determinants'!E92*-1*'Rate Calculations'!$G$8*(1-'Sum of Billing Determinants'!$AC92),0)</f>
        <v>-46180</v>
      </c>
      <c r="E81" s="26">
        <f>ROUND('Sum of Billing Determinants'!F92*-1*'Rate Calculations'!$G$8*(1-'Sum of Billing Determinants'!$AC92),0)</f>
        <v>-47989</v>
      </c>
      <c r="F81" s="26">
        <f>ROUND('Sum of Billing Determinants'!G92*-1*'Rate Calculations'!$G$8*(1-'Sum of Billing Determinants'!$AC92),0)</f>
        <v>-41277</v>
      </c>
      <c r="G81" s="26">
        <f>ROUND('Sum of Billing Determinants'!H92*-1*'Rate Calculations'!$G$8*(1-'Sum of Billing Determinants'!$AC92),0)</f>
        <v>-45066</v>
      </c>
      <c r="H81" s="26">
        <f>ROUND('Sum of Billing Determinants'!I92*-1*'Rate Calculations'!$G$8*(1-'Sum of Billing Determinants'!$AC92),0)</f>
        <v>-35572</v>
      </c>
      <c r="I81" s="26">
        <f>ROUND('Sum of Billing Determinants'!J92*-1*'Rate Calculations'!$G$8*(1-'Sum of Billing Determinants'!$AC92),0)</f>
        <v>-44132</v>
      </c>
      <c r="J81" s="26">
        <f>ROUND('Sum of Billing Determinants'!K92*-1*'Rate Calculations'!$G$8*(1-'Sum of Billing Determinants'!$AC92),0)</f>
        <v>-45089</v>
      </c>
      <c r="K81" s="26">
        <f>ROUND('Sum of Billing Determinants'!L92*-1*'Rate Calculations'!$G$8*(1-'Sum of Billing Determinants'!$AC92),0)</f>
        <v>-39144</v>
      </c>
      <c r="L81" s="26">
        <f>ROUND('Sum of Billing Determinants'!M92*-1*'Rate Calculations'!$G$8*(1-'Sum of Billing Determinants'!$AC92),0)</f>
        <v>-37842</v>
      </c>
      <c r="M81" s="26">
        <f>ROUND('Sum of Billing Determinants'!N92*-1*'Rate Calculations'!$G$8*(1-'Sum of Billing Determinants'!$AC92),0)</f>
        <v>-34822</v>
      </c>
      <c r="N81" s="26">
        <f t="shared" si="1"/>
        <v>-417113</v>
      </c>
    </row>
    <row r="82" spans="2:14" ht="15">
      <c r="B82" s="22">
        <f>'Sum of Billing Determinants'!A93</f>
        <v>10242</v>
      </c>
      <c r="C82" s="22" t="str">
        <f>'Sum of Billing Determinants'!B93</f>
        <v>Lost River Elec Coop</v>
      </c>
      <c r="D82" s="26">
        <f>ROUND('Sum of Billing Determinants'!E93*-1*'Rate Calculations'!$G$8*(1-'Sum of Billing Determinants'!$AC93),0)</f>
        <v>-31162</v>
      </c>
      <c r="E82" s="26">
        <f>ROUND('Sum of Billing Determinants'!F93*-1*'Rate Calculations'!$G$8*(1-'Sum of Billing Determinants'!$AC93),0)</f>
        <v>-32382</v>
      </c>
      <c r="F82" s="26">
        <f>ROUND('Sum of Billing Determinants'!G93*-1*'Rate Calculations'!$G$8*(1-'Sum of Billing Determinants'!$AC93),0)</f>
        <v>-27853</v>
      </c>
      <c r="G82" s="26">
        <f>ROUND('Sum of Billing Determinants'!H93*-1*'Rate Calculations'!$G$8*(1-'Sum of Billing Determinants'!$AC93),0)</f>
        <v>-30410</v>
      </c>
      <c r="H82" s="26">
        <f>ROUND('Sum of Billing Determinants'!I93*-1*'Rate Calculations'!$G$8*(1-'Sum of Billing Determinants'!$AC93),0)</f>
        <v>-24004</v>
      </c>
      <c r="I82" s="26">
        <f>ROUND('Sum of Billing Determinants'!J93*-1*'Rate Calculations'!$G$8*(1-'Sum of Billing Determinants'!$AC93),0)</f>
        <v>-29780</v>
      </c>
      <c r="J82" s="26">
        <f>ROUND('Sum of Billing Determinants'!K93*-1*'Rate Calculations'!$G$8*(1-'Sum of Billing Determinants'!$AC93),0)</f>
        <v>-30426</v>
      </c>
      <c r="K82" s="26">
        <f>ROUND('Sum of Billing Determinants'!L93*-1*'Rate Calculations'!$G$8*(1-'Sum of Billing Determinants'!$AC93),0)</f>
        <v>-26414</v>
      </c>
      <c r="L82" s="26">
        <f>ROUND('Sum of Billing Determinants'!M93*-1*'Rate Calculations'!$G$8*(1-'Sum of Billing Determinants'!$AC93),0)</f>
        <v>-25535</v>
      </c>
      <c r="M82" s="26">
        <f>ROUND('Sum of Billing Determinants'!N93*-1*'Rate Calculations'!$G$8*(1-'Sum of Billing Determinants'!$AC93),0)</f>
        <v>-23497</v>
      </c>
      <c r="N82" s="26">
        <f t="shared" si="1"/>
        <v>-281463</v>
      </c>
    </row>
    <row r="83" spans="2:14" ht="15">
      <c r="B83" s="22">
        <f>'Sum of Billing Determinants'!A94</f>
        <v>10244</v>
      </c>
      <c r="C83" s="22" t="str">
        <f>'Sum of Billing Determinants'!B94</f>
        <v>Lower Valley Energy</v>
      </c>
      <c r="D83" s="26">
        <f>ROUND('Sum of Billing Determinants'!E94*-1*'Rate Calculations'!$G$8*(1-'Sum of Billing Determinants'!$AC94),0)</f>
        <v>-285562</v>
      </c>
      <c r="E83" s="26">
        <f>ROUND('Sum of Billing Determinants'!F94*-1*'Rate Calculations'!$G$8*(1-'Sum of Billing Determinants'!$AC94),0)</f>
        <v>-296743</v>
      </c>
      <c r="F83" s="26">
        <f>ROUND('Sum of Billing Determinants'!G94*-1*'Rate Calculations'!$G$8*(1-'Sum of Billing Determinants'!$AC94),0)</f>
        <v>-255239</v>
      </c>
      <c r="G83" s="26">
        <f>ROUND('Sum of Billing Determinants'!H94*-1*'Rate Calculations'!$G$8*(1-'Sum of Billing Determinants'!$AC94),0)</f>
        <v>-278670</v>
      </c>
      <c r="H83" s="26">
        <f>ROUND('Sum of Billing Determinants'!I94*-1*'Rate Calculations'!$G$8*(1-'Sum of Billing Determinants'!$AC94),0)</f>
        <v>-219963</v>
      </c>
      <c r="I83" s="26">
        <f>ROUND('Sum of Billing Determinants'!J94*-1*'Rate Calculations'!$G$8*(1-'Sum of Billing Determinants'!$AC94),0)</f>
        <v>-272894</v>
      </c>
      <c r="J83" s="26">
        <f>ROUND('Sum of Billing Determinants'!K94*-1*'Rate Calculations'!$G$8*(1-'Sum of Billing Determinants'!$AC94),0)</f>
        <v>-278815</v>
      </c>
      <c r="K83" s="26">
        <f>ROUND('Sum of Billing Determinants'!L94*-1*'Rate Calculations'!$G$8*(1-'Sum of Billing Determinants'!$AC94),0)</f>
        <v>-242051</v>
      </c>
      <c r="L83" s="26">
        <f>ROUND('Sum of Billing Determinants'!M94*-1*'Rate Calculations'!$G$8*(1-'Sum of Billing Determinants'!$AC94),0)</f>
        <v>-233999</v>
      </c>
      <c r="M83" s="26">
        <f>ROUND('Sum of Billing Determinants'!N94*-1*'Rate Calculations'!$G$8*(1-'Sum of Billing Determinants'!$AC94),0)</f>
        <v>-215325</v>
      </c>
      <c r="N83" s="26">
        <f t="shared" si="1"/>
        <v>-2579261</v>
      </c>
    </row>
    <row r="84" spans="2:14" ht="15">
      <c r="B84" s="22">
        <f>'Sum of Billing Determinants'!A95</f>
        <v>10246</v>
      </c>
      <c r="C84" s="22" t="str">
        <f>'Sum of Billing Determinants'!B95</f>
        <v>Mason County PUD #1</v>
      </c>
      <c r="D84" s="26">
        <f>ROUND('Sum of Billing Determinants'!E95*-1*'Rate Calculations'!$G$8*(1-'Sum of Billing Determinants'!$AC95),0)</f>
        <v>-32062</v>
      </c>
      <c r="E84" s="26">
        <f>ROUND('Sum of Billing Determinants'!F95*-1*'Rate Calculations'!$G$8*(1-'Sum of Billing Determinants'!$AC95),0)</f>
        <v>-33317</v>
      </c>
      <c r="F84" s="26">
        <f>ROUND('Sum of Billing Determinants'!G95*-1*'Rate Calculations'!$G$8*(1-'Sum of Billing Determinants'!$AC95),0)</f>
        <v>-28657</v>
      </c>
      <c r="G84" s="26">
        <f>ROUND('Sum of Billing Determinants'!H95*-1*'Rate Calculations'!$G$8*(1-'Sum of Billing Determinants'!$AC95),0)</f>
        <v>-31288</v>
      </c>
      <c r="H84" s="26">
        <f>ROUND('Sum of Billing Determinants'!I95*-1*'Rate Calculations'!$G$8*(1-'Sum of Billing Determinants'!$AC95),0)</f>
        <v>-24697</v>
      </c>
      <c r="I84" s="26">
        <f>ROUND('Sum of Billing Determinants'!J95*-1*'Rate Calculations'!$G$8*(1-'Sum of Billing Determinants'!$AC95),0)</f>
        <v>-30640</v>
      </c>
      <c r="J84" s="26">
        <f>ROUND('Sum of Billing Determinants'!K95*-1*'Rate Calculations'!$G$8*(1-'Sum of Billing Determinants'!$AC95),0)</f>
        <v>-31305</v>
      </c>
      <c r="K84" s="26">
        <f>ROUND('Sum of Billing Determinants'!L95*-1*'Rate Calculations'!$G$8*(1-'Sum of Billing Determinants'!$AC95),0)</f>
        <v>-27177</v>
      </c>
      <c r="L84" s="26">
        <f>ROUND('Sum of Billing Determinants'!M95*-1*'Rate Calculations'!$G$8*(1-'Sum of Billing Determinants'!$AC95),0)</f>
        <v>-26273</v>
      </c>
      <c r="M84" s="26">
        <f>ROUND('Sum of Billing Determinants'!N95*-1*'Rate Calculations'!$G$8*(1-'Sum of Billing Determinants'!$AC95),0)</f>
        <v>-24176</v>
      </c>
      <c r="N84" s="26">
        <f t="shared" si="1"/>
        <v>-289592</v>
      </c>
    </row>
    <row r="85" spans="2:14" ht="15">
      <c r="B85" s="22">
        <f>'Sum of Billing Determinants'!A96</f>
        <v>10247</v>
      </c>
      <c r="C85" s="22" t="str">
        <f>'Sum of Billing Determinants'!B96</f>
        <v>Mason County PUD #3</v>
      </c>
      <c r="D85" s="26">
        <f>ROUND('Sum of Billing Determinants'!E96*-1*'Rate Calculations'!$G$8*(1-'Sum of Billing Determinants'!$AC96),0)</f>
        <v>-285165</v>
      </c>
      <c r="E85" s="26">
        <f>ROUND('Sum of Billing Determinants'!F96*-1*'Rate Calculations'!$G$8*(1-'Sum of Billing Determinants'!$AC96),0)</f>
        <v>-296330</v>
      </c>
      <c r="F85" s="26">
        <f>ROUND('Sum of Billing Determinants'!G96*-1*'Rate Calculations'!$G$8*(1-'Sum of Billing Determinants'!$AC96),0)</f>
        <v>-254883</v>
      </c>
      <c r="G85" s="26">
        <f>ROUND('Sum of Billing Determinants'!H96*-1*'Rate Calculations'!$G$8*(1-'Sum of Billing Determinants'!$AC96),0)</f>
        <v>-278282</v>
      </c>
      <c r="H85" s="26">
        <f>ROUND('Sum of Billing Determinants'!I96*-1*'Rate Calculations'!$G$8*(1-'Sum of Billing Determinants'!$AC96),0)</f>
        <v>-219657</v>
      </c>
      <c r="I85" s="26">
        <f>ROUND('Sum of Billing Determinants'!J96*-1*'Rate Calculations'!$G$8*(1-'Sum of Billing Determinants'!$AC96),0)</f>
        <v>-272514</v>
      </c>
      <c r="J85" s="26">
        <f>ROUND('Sum of Billing Determinants'!K96*-1*'Rate Calculations'!$G$8*(1-'Sum of Billing Determinants'!$AC96),0)</f>
        <v>-278427</v>
      </c>
      <c r="K85" s="26">
        <f>ROUND('Sum of Billing Determinants'!L96*-1*'Rate Calculations'!$G$8*(1-'Sum of Billing Determinants'!$AC96),0)</f>
        <v>-241714</v>
      </c>
      <c r="L85" s="26">
        <f>ROUND('Sum of Billing Determinants'!M96*-1*'Rate Calculations'!$G$8*(1-'Sum of Billing Determinants'!$AC96),0)</f>
        <v>-233674</v>
      </c>
      <c r="M85" s="26">
        <f>ROUND('Sum of Billing Determinants'!N96*-1*'Rate Calculations'!$G$8*(1-'Sum of Billing Determinants'!$AC96),0)</f>
        <v>-215025</v>
      </c>
      <c r="N85" s="26">
        <f t="shared" si="1"/>
        <v>-2575671</v>
      </c>
    </row>
    <row r="86" spans="2:14" ht="15">
      <c r="B86" s="22">
        <f>'Sum of Billing Determinants'!A97</f>
        <v>10256</v>
      </c>
      <c r="C86" s="22" t="str">
        <f>'Sum of Billing Determinants'!B97</f>
        <v>Midstate Elec Coop</v>
      </c>
      <c r="D86" s="26">
        <f>ROUND('Sum of Billing Determinants'!E97*-1*'Rate Calculations'!$G$8*(1-'Sum of Billing Determinants'!$AC97),0)</f>
        <v>-153420</v>
      </c>
      <c r="E86" s="26">
        <f>ROUND('Sum of Billing Determinants'!F97*-1*'Rate Calculations'!$G$8*(1-'Sum of Billing Determinants'!$AC97),0)</f>
        <v>-159427</v>
      </c>
      <c r="F86" s="26">
        <f>ROUND('Sum of Billing Determinants'!G97*-1*'Rate Calculations'!$G$8*(1-'Sum of Billing Determinants'!$AC97),0)</f>
        <v>-137128</v>
      </c>
      <c r="G86" s="26">
        <f>ROUND('Sum of Billing Determinants'!H97*-1*'Rate Calculations'!$G$8*(1-'Sum of Billing Determinants'!$AC97),0)</f>
        <v>-149717</v>
      </c>
      <c r="H86" s="26">
        <f>ROUND('Sum of Billing Determinants'!I97*-1*'Rate Calculations'!$G$8*(1-'Sum of Billing Determinants'!$AC97),0)</f>
        <v>-118176</v>
      </c>
      <c r="I86" s="26">
        <f>ROUND('Sum of Billing Determinants'!J97*-1*'Rate Calculations'!$G$8*(1-'Sum of Billing Determinants'!$AC97),0)</f>
        <v>-146614</v>
      </c>
      <c r="J86" s="26">
        <f>ROUND('Sum of Billing Determinants'!K97*-1*'Rate Calculations'!$G$8*(1-'Sum of Billing Determinants'!$AC97),0)</f>
        <v>-149795</v>
      </c>
      <c r="K86" s="26">
        <f>ROUND('Sum of Billing Determinants'!L97*-1*'Rate Calculations'!$G$8*(1-'Sum of Billing Determinants'!$AC97),0)</f>
        <v>-130043</v>
      </c>
      <c r="L86" s="26">
        <f>ROUND('Sum of Billing Determinants'!M97*-1*'Rate Calculations'!$G$8*(1-'Sum of Billing Determinants'!$AC97),0)</f>
        <v>-125717</v>
      </c>
      <c r="M86" s="26">
        <f>ROUND('Sum of Billing Determinants'!N97*-1*'Rate Calculations'!$G$8*(1-'Sum of Billing Determinants'!$AC97),0)</f>
        <v>-115684</v>
      </c>
      <c r="N86" s="26">
        <f t="shared" si="1"/>
        <v>-1385721</v>
      </c>
    </row>
    <row r="87" spans="2:14" ht="15">
      <c r="B87" s="22">
        <f>'Sum of Billing Determinants'!A98</f>
        <v>10258</v>
      </c>
      <c r="C87" s="22" t="str">
        <f>'Sum of Billing Determinants'!B98</f>
        <v>Mission Valley</v>
      </c>
      <c r="D87" s="26">
        <f>ROUND('Sum of Billing Determinants'!E98*-1*'Rate Calculations'!$G$8*(1-'Sum of Billing Determinants'!$AC98),0)</f>
        <v>-128052</v>
      </c>
      <c r="E87" s="26">
        <f>ROUND('Sum of Billing Determinants'!F98*-1*'Rate Calculations'!$G$8*(1-'Sum of Billing Determinants'!$AC98),0)</f>
        <v>-133066</v>
      </c>
      <c r="F87" s="26">
        <f>ROUND('Sum of Billing Determinants'!G98*-1*'Rate Calculations'!$G$8*(1-'Sum of Billing Determinants'!$AC98),0)</f>
        <v>-114454</v>
      </c>
      <c r="G87" s="26">
        <f>ROUND('Sum of Billing Determinants'!H98*-1*'Rate Calculations'!$G$8*(1-'Sum of Billing Determinants'!$AC98),0)</f>
        <v>-124961</v>
      </c>
      <c r="H87" s="26">
        <f>ROUND('Sum of Billing Determinants'!I98*-1*'Rate Calculations'!$G$8*(1-'Sum of Billing Determinants'!$AC98),0)</f>
        <v>-98636</v>
      </c>
      <c r="I87" s="26">
        <f>ROUND('Sum of Billing Determinants'!J98*-1*'Rate Calculations'!$G$8*(1-'Sum of Billing Determinants'!$AC98),0)</f>
        <v>-122371</v>
      </c>
      <c r="J87" s="26">
        <f>ROUND('Sum of Billing Determinants'!K98*-1*'Rate Calculations'!$G$8*(1-'Sum of Billing Determinants'!$AC98),0)</f>
        <v>-125026</v>
      </c>
      <c r="K87" s="26">
        <f>ROUND('Sum of Billing Determinants'!L98*-1*'Rate Calculations'!$G$8*(1-'Sum of Billing Determinants'!$AC98),0)</f>
        <v>-108541</v>
      </c>
      <c r="L87" s="26">
        <f>ROUND('Sum of Billing Determinants'!M98*-1*'Rate Calculations'!$G$8*(1-'Sum of Billing Determinants'!$AC98),0)</f>
        <v>-104930</v>
      </c>
      <c r="M87" s="26">
        <f>ROUND('Sum of Billing Determinants'!N98*-1*'Rate Calculations'!$G$8*(1-'Sum of Billing Determinants'!$AC98),0)</f>
        <v>-96556</v>
      </c>
      <c r="N87" s="26">
        <f t="shared" si="1"/>
        <v>-1156593</v>
      </c>
    </row>
    <row r="88" spans="2:14" ht="15">
      <c r="B88" s="22">
        <f>'Sum of Billing Determinants'!A99</f>
        <v>10259</v>
      </c>
      <c r="C88" s="22" t="str">
        <f>'Sum of Billing Determinants'!B99</f>
        <v>Missoula Elec Coop</v>
      </c>
      <c r="D88" s="26">
        <f>ROUND('Sum of Billing Determinants'!E99*-1*'Rate Calculations'!$G$8*(1-'Sum of Billing Determinants'!$AC99),0)</f>
        <v>-88513</v>
      </c>
      <c r="E88" s="26">
        <f>ROUND('Sum of Billing Determinants'!F99*-1*'Rate Calculations'!$G$8*(1-'Sum of Billing Determinants'!$AC99),0)</f>
        <v>-91979</v>
      </c>
      <c r="F88" s="26">
        <f>ROUND('Sum of Billing Determinants'!G99*-1*'Rate Calculations'!$G$8*(1-'Sum of Billing Determinants'!$AC99),0)</f>
        <v>-79114</v>
      </c>
      <c r="G88" s="26">
        <f>ROUND('Sum of Billing Determinants'!H99*-1*'Rate Calculations'!$G$8*(1-'Sum of Billing Determinants'!$AC99),0)</f>
        <v>-86377</v>
      </c>
      <c r="H88" s="26">
        <f>ROUND('Sum of Billing Determinants'!I99*-1*'Rate Calculations'!$G$8*(1-'Sum of Billing Determinants'!$AC99),0)</f>
        <v>-68180</v>
      </c>
      <c r="I88" s="26">
        <f>ROUND('Sum of Billing Determinants'!J99*-1*'Rate Calculations'!$G$8*(1-'Sum of Billing Determinants'!$AC99),0)</f>
        <v>-84586</v>
      </c>
      <c r="J88" s="26">
        <f>ROUND('Sum of Billing Determinants'!K99*-1*'Rate Calculations'!$G$8*(1-'Sum of Billing Determinants'!$AC99),0)</f>
        <v>-86421</v>
      </c>
      <c r="K88" s="26">
        <f>ROUND('Sum of Billing Determinants'!L99*-1*'Rate Calculations'!$G$8*(1-'Sum of Billing Determinants'!$AC99),0)</f>
        <v>-75026</v>
      </c>
      <c r="L88" s="26">
        <f>ROUND('Sum of Billing Determinants'!M99*-1*'Rate Calculations'!$G$8*(1-'Sum of Billing Determinants'!$AC99),0)</f>
        <v>-72530</v>
      </c>
      <c r="M88" s="26">
        <f>ROUND('Sum of Billing Determinants'!N99*-1*'Rate Calculations'!$G$8*(1-'Sum of Billing Determinants'!$AC99),0)</f>
        <v>-66742</v>
      </c>
      <c r="N88" s="26">
        <f t="shared" si="1"/>
        <v>-799468</v>
      </c>
    </row>
    <row r="89" spans="2:14" ht="15">
      <c r="B89" s="22">
        <f>'Sum of Billing Determinants'!A100</f>
        <v>10260</v>
      </c>
      <c r="C89" s="22" t="str">
        <f>'Sum of Billing Determinants'!B100</f>
        <v>Modern Elec Coop</v>
      </c>
      <c r="D89" s="26">
        <f>ROUND('Sum of Billing Determinants'!E100*-1*'Rate Calculations'!$G$8*(1-'Sum of Billing Determinants'!$AC100),0)</f>
        <v>-93777</v>
      </c>
      <c r="E89" s="26">
        <f>ROUND('Sum of Billing Determinants'!F100*-1*'Rate Calculations'!$G$8*(1-'Sum of Billing Determinants'!$AC100),0)</f>
        <v>-97449</v>
      </c>
      <c r="F89" s="26">
        <f>ROUND('Sum of Billing Determinants'!G100*-1*'Rate Calculations'!$G$8*(1-'Sum of Billing Determinants'!$AC100),0)</f>
        <v>-83819</v>
      </c>
      <c r="G89" s="26">
        <f>ROUND('Sum of Billing Determinants'!H100*-1*'Rate Calculations'!$G$8*(1-'Sum of Billing Determinants'!$AC100),0)</f>
        <v>-91514</v>
      </c>
      <c r="H89" s="26">
        <f>ROUND('Sum of Billing Determinants'!I100*-1*'Rate Calculations'!$G$8*(1-'Sum of Billing Determinants'!$AC100),0)</f>
        <v>-72235</v>
      </c>
      <c r="I89" s="26">
        <f>ROUND('Sum of Billing Determinants'!J100*-1*'Rate Calculations'!$G$8*(1-'Sum of Billing Determinants'!$AC100),0)</f>
        <v>-89617</v>
      </c>
      <c r="J89" s="26">
        <f>ROUND('Sum of Billing Determinants'!K100*-1*'Rate Calculations'!$G$8*(1-'Sum of Billing Determinants'!$AC100),0)</f>
        <v>-91561</v>
      </c>
      <c r="K89" s="26">
        <f>ROUND('Sum of Billing Determinants'!L100*-1*'Rate Calculations'!$G$8*(1-'Sum of Billing Determinants'!$AC100),0)</f>
        <v>-79489</v>
      </c>
      <c r="L89" s="26">
        <f>ROUND('Sum of Billing Determinants'!M100*-1*'Rate Calculations'!$G$8*(1-'Sum of Billing Determinants'!$AC100),0)</f>
        <v>-76844</v>
      </c>
      <c r="M89" s="26">
        <f>ROUND('Sum of Billing Determinants'!N100*-1*'Rate Calculations'!$G$8*(1-'Sum of Billing Determinants'!$AC100),0)</f>
        <v>-70712</v>
      </c>
      <c r="N89" s="26">
        <f t="shared" si="1"/>
        <v>-847017</v>
      </c>
    </row>
    <row r="90" spans="2:14" ht="15">
      <c r="B90" s="22">
        <f>'Sum of Billing Determinants'!A101</f>
        <v>10273</v>
      </c>
      <c r="C90" s="22" t="str">
        <f>'Sum of Billing Determinants'!B101</f>
        <v>Nespelem Valley Elec Coop</v>
      </c>
      <c r="D90" s="26">
        <f>ROUND('Sum of Billing Determinants'!E101*-1*'Rate Calculations'!$G$8*(1-'Sum of Billing Determinants'!$AC101),0)</f>
        <v>-18963</v>
      </c>
      <c r="E90" s="26">
        <f>ROUND('Sum of Billing Determinants'!F101*-1*'Rate Calculations'!$G$8*(1-'Sum of Billing Determinants'!$AC101),0)</f>
        <v>-19705</v>
      </c>
      <c r="F90" s="26">
        <f>ROUND('Sum of Billing Determinants'!G101*-1*'Rate Calculations'!$G$8*(1-'Sum of Billing Determinants'!$AC101),0)</f>
        <v>-16949</v>
      </c>
      <c r="G90" s="26">
        <f>ROUND('Sum of Billing Determinants'!H101*-1*'Rate Calculations'!$G$8*(1-'Sum of Billing Determinants'!$AC101),0)</f>
        <v>-18505</v>
      </c>
      <c r="H90" s="26">
        <f>ROUND('Sum of Billing Determinants'!I101*-1*'Rate Calculations'!$G$8*(1-'Sum of Billing Determinants'!$AC101),0)</f>
        <v>-14607</v>
      </c>
      <c r="I90" s="26">
        <f>ROUND('Sum of Billing Determinants'!J101*-1*'Rate Calculations'!$G$8*(1-'Sum of Billing Determinants'!$AC101),0)</f>
        <v>-18121</v>
      </c>
      <c r="J90" s="26">
        <f>ROUND('Sum of Billing Determinants'!K101*-1*'Rate Calculations'!$G$8*(1-'Sum of Billing Determinants'!$AC101),0)</f>
        <v>-18515</v>
      </c>
      <c r="K90" s="26">
        <f>ROUND('Sum of Billing Determinants'!L101*-1*'Rate Calculations'!$G$8*(1-'Sum of Billing Determinants'!$AC101),0)</f>
        <v>-16073</v>
      </c>
      <c r="L90" s="26">
        <f>ROUND('Sum of Billing Determinants'!M101*-1*'Rate Calculations'!$G$8*(1-'Sum of Billing Determinants'!$AC101),0)</f>
        <v>-15539</v>
      </c>
      <c r="M90" s="26">
        <f>ROUND('Sum of Billing Determinants'!N101*-1*'Rate Calculations'!$G$8*(1-'Sum of Billing Determinants'!$AC101),0)</f>
        <v>-14298</v>
      </c>
      <c r="N90" s="26">
        <f t="shared" si="1"/>
        <v>-171275</v>
      </c>
    </row>
    <row r="91" spans="2:14" ht="15">
      <c r="B91" s="22">
        <f>'Sum of Billing Determinants'!A102</f>
        <v>10278</v>
      </c>
      <c r="C91" s="22" t="str">
        <f>'Sum of Billing Determinants'!B102</f>
        <v>Northern Lights</v>
      </c>
      <c r="D91" s="26">
        <f>ROUND('Sum of Billing Determinants'!E102*-1*'Rate Calculations'!$G$8*(1-'Sum of Billing Determinants'!$AC102),0)</f>
        <v>-119013</v>
      </c>
      <c r="E91" s="26">
        <f>ROUND('Sum of Billing Determinants'!F102*-1*'Rate Calculations'!$G$8*(1-'Sum of Billing Determinants'!$AC102),0)</f>
        <v>-123673</v>
      </c>
      <c r="F91" s="26">
        <f>ROUND('Sum of Billing Determinants'!G102*-1*'Rate Calculations'!$G$8*(1-'Sum of Billing Determinants'!$AC102),0)</f>
        <v>-106375</v>
      </c>
      <c r="G91" s="26">
        <f>ROUND('Sum of Billing Determinants'!H102*-1*'Rate Calculations'!$G$8*(1-'Sum of Billing Determinants'!$AC102),0)</f>
        <v>-116141</v>
      </c>
      <c r="H91" s="26">
        <f>ROUND('Sum of Billing Determinants'!I102*-1*'Rate Calculations'!$G$8*(1-'Sum of Billing Determinants'!$AC102),0)</f>
        <v>-91673</v>
      </c>
      <c r="I91" s="26">
        <f>ROUND('Sum of Billing Determinants'!J102*-1*'Rate Calculations'!$G$8*(1-'Sum of Billing Determinants'!$AC102),0)</f>
        <v>-113733</v>
      </c>
      <c r="J91" s="26">
        <f>ROUND('Sum of Billing Determinants'!K102*-1*'Rate Calculations'!$G$8*(1-'Sum of Billing Determinants'!$AC102),0)</f>
        <v>-116201</v>
      </c>
      <c r="K91" s="26">
        <f>ROUND('Sum of Billing Determinants'!L102*-1*'Rate Calculations'!$G$8*(1-'Sum of Billing Determinants'!$AC102),0)</f>
        <v>-100879</v>
      </c>
      <c r="L91" s="26">
        <f>ROUND('Sum of Billing Determinants'!M102*-1*'Rate Calculations'!$G$8*(1-'Sum of Billing Determinants'!$AC102),0)</f>
        <v>-97523</v>
      </c>
      <c r="M91" s="26">
        <f>ROUND('Sum of Billing Determinants'!N102*-1*'Rate Calculations'!$G$8*(1-'Sum of Billing Determinants'!$AC102),0)</f>
        <v>-89740</v>
      </c>
      <c r="N91" s="26">
        <f t="shared" si="1"/>
        <v>-1074951</v>
      </c>
    </row>
    <row r="92" spans="2:14" ht="15">
      <c r="B92" s="22">
        <f>'Sum of Billing Determinants'!A103</f>
        <v>10279</v>
      </c>
      <c r="C92" s="22" t="str">
        <f>'Sum of Billing Determinants'!B103</f>
        <v>Northern Wasco County PUD</v>
      </c>
      <c r="D92" s="26">
        <f>ROUND('Sum of Billing Determinants'!E103*-1*'Rate Calculations'!$G$8*(1-'Sum of Billing Determinants'!$AC103),0)</f>
        <v>-231062</v>
      </c>
      <c r="E92" s="26">
        <f>ROUND('Sum of Billing Determinants'!F103*-1*'Rate Calculations'!$G$8*(1-'Sum of Billing Determinants'!$AC103),0)</f>
        <v>-240110</v>
      </c>
      <c r="F92" s="26">
        <f>ROUND('Sum of Billing Determinants'!G103*-1*'Rate Calculations'!$G$8*(1-'Sum of Billing Determinants'!$AC103),0)</f>
        <v>-206526</v>
      </c>
      <c r="G92" s="26">
        <f>ROUND('Sum of Billing Determinants'!H103*-1*'Rate Calculations'!$G$8*(1-'Sum of Billing Determinants'!$AC103),0)</f>
        <v>-225486</v>
      </c>
      <c r="H92" s="26">
        <f>ROUND('Sum of Billing Determinants'!I103*-1*'Rate Calculations'!$G$8*(1-'Sum of Billing Determinants'!$AC103),0)</f>
        <v>-177983</v>
      </c>
      <c r="I92" s="26">
        <f>ROUND('Sum of Billing Determinants'!J103*-1*'Rate Calculations'!$G$8*(1-'Sum of Billing Determinants'!$AC103),0)</f>
        <v>-220812</v>
      </c>
      <c r="J92" s="26">
        <f>ROUND('Sum of Billing Determinants'!K103*-1*'Rate Calculations'!$G$8*(1-'Sum of Billing Determinants'!$AC103),0)</f>
        <v>-225603</v>
      </c>
      <c r="K92" s="26">
        <f>ROUND('Sum of Billing Determinants'!L103*-1*'Rate Calculations'!$G$8*(1-'Sum of Billing Determinants'!$AC103),0)</f>
        <v>-195856</v>
      </c>
      <c r="L92" s="26">
        <f>ROUND('Sum of Billing Determinants'!M103*-1*'Rate Calculations'!$G$8*(1-'Sum of Billing Determinants'!$AC103),0)</f>
        <v>-189340</v>
      </c>
      <c r="M92" s="26">
        <f>ROUND('Sum of Billing Determinants'!N103*-1*'Rate Calculations'!$G$8*(1-'Sum of Billing Determinants'!$AC103),0)</f>
        <v>-174230</v>
      </c>
      <c r="N92" s="26">
        <f t="shared" si="1"/>
        <v>-2087008</v>
      </c>
    </row>
    <row r="93" spans="2:14" ht="15">
      <c r="B93" s="22">
        <f>'Sum of Billing Determinants'!A104</f>
        <v>10284</v>
      </c>
      <c r="C93" s="22" t="str">
        <f>'Sum of Billing Determinants'!B104</f>
        <v>Ohop Mutual Light Company</v>
      </c>
      <c r="D93" s="26">
        <f>ROUND('Sum of Billing Determinants'!E104*-1*'Rate Calculations'!$G$8*(1-'Sum of Billing Determinants'!$AC104),0)</f>
        <v>-34305</v>
      </c>
      <c r="E93" s="26">
        <f>ROUND('Sum of Billing Determinants'!F104*-1*'Rate Calculations'!$G$8*(1-'Sum of Billing Determinants'!$AC104),0)</f>
        <v>-35648</v>
      </c>
      <c r="F93" s="26">
        <f>ROUND('Sum of Billing Determinants'!G104*-1*'Rate Calculations'!$G$8*(1-'Sum of Billing Determinants'!$AC104),0)</f>
        <v>-30662</v>
      </c>
      <c r="G93" s="26">
        <f>ROUND('Sum of Billing Determinants'!H104*-1*'Rate Calculations'!$G$8*(1-'Sum of Billing Determinants'!$AC104),0)</f>
        <v>-33477</v>
      </c>
      <c r="H93" s="26">
        <f>ROUND('Sum of Billing Determinants'!I104*-1*'Rate Calculations'!$G$8*(1-'Sum of Billing Determinants'!$AC104),0)</f>
        <v>-26425</v>
      </c>
      <c r="I93" s="26">
        <f>ROUND('Sum of Billing Determinants'!J104*-1*'Rate Calculations'!$G$8*(1-'Sum of Billing Determinants'!$AC104),0)</f>
        <v>-32783</v>
      </c>
      <c r="J93" s="26">
        <f>ROUND('Sum of Billing Determinants'!K104*-1*'Rate Calculations'!$G$8*(1-'Sum of Billing Determinants'!$AC104),0)</f>
        <v>-33494</v>
      </c>
      <c r="K93" s="26">
        <f>ROUND('Sum of Billing Determinants'!L104*-1*'Rate Calculations'!$G$8*(1-'Sum of Billing Determinants'!$AC104),0)</f>
        <v>-29078</v>
      </c>
      <c r="L93" s="26">
        <f>ROUND('Sum of Billing Determinants'!M104*-1*'Rate Calculations'!$G$8*(1-'Sum of Billing Determinants'!$AC104),0)</f>
        <v>-28111</v>
      </c>
      <c r="M93" s="26">
        <f>ROUND('Sum of Billing Determinants'!N104*-1*'Rate Calculations'!$G$8*(1-'Sum of Billing Determinants'!$AC104),0)</f>
        <v>-25867</v>
      </c>
      <c r="N93" s="26">
        <f t="shared" si="1"/>
        <v>-309850</v>
      </c>
    </row>
    <row r="94" spans="2:14" ht="15">
      <c r="B94" s="22">
        <f>'Sum of Billing Determinants'!A105</f>
        <v>10285</v>
      </c>
      <c r="C94" s="22" t="str">
        <f>'Sum of Billing Determinants'!B105</f>
        <v>Okanogan County Elec Coop</v>
      </c>
      <c r="D94" s="26">
        <f>ROUND('Sum of Billing Determinants'!E105*-1*'Rate Calculations'!$G$8*(1-'Sum of Billing Determinants'!$AC105),0)</f>
        <v>-21488</v>
      </c>
      <c r="E94" s="26">
        <f>ROUND('Sum of Billing Determinants'!F105*-1*'Rate Calculations'!$G$8*(1-'Sum of Billing Determinants'!$AC105),0)</f>
        <v>-22329</v>
      </c>
      <c r="F94" s="26">
        <f>ROUND('Sum of Billing Determinants'!G105*-1*'Rate Calculations'!$G$8*(1-'Sum of Billing Determinants'!$AC105),0)</f>
        <v>-19206</v>
      </c>
      <c r="G94" s="26">
        <f>ROUND('Sum of Billing Determinants'!H105*-1*'Rate Calculations'!$G$8*(1-'Sum of Billing Determinants'!$AC105),0)</f>
        <v>-20969</v>
      </c>
      <c r="H94" s="26">
        <f>ROUND('Sum of Billing Determinants'!I105*-1*'Rate Calculations'!$G$8*(1-'Sum of Billing Determinants'!$AC105),0)</f>
        <v>-16552</v>
      </c>
      <c r="I94" s="26">
        <f>ROUND('Sum of Billing Determinants'!J105*-1*'Rate Calculations'!$G$8*(1-'Sum of Billing Determinants'!$AC105),0)</f>
        <v>-20535</v>
      </c>
      <c r="J94" s="26">
        <f>ROUND('Sum of Billing Determinants'!K105*-1*'Rate Calculations'!$G$8*(1-'Sum of Billing Determinants'!$AC105),0)</f>
        <v>-20980</v>
      </c>
      <c r="K94" s="26">
        <f>ROUND('Sum of Billing Determinants'!L105*-1*'Rate Calculations'!$G$8*(1-'Sum of Billing Determinants'!$AC105),0)</f>
        <v>-18214</v>
      </c>
      <c r="L94" s="26">
        <f>ROUND('Sum of Billing Determinants'!M105*-1*'Rate Calculations'!$G$8*(1-'Sum of Billing Determinants'!$AC105),0)</f>
        <v>-17608</v>
      </c>
      <c r="M94" s="26">
        <f>ROUND('Sum of Billing Determinants'!N105*-1*'Rate Calculations'!$G$8*(1-'Sum of Billing Determinants'!$AC105),0)</f>
        <v>-16203</v>
      </c>
      <c r="N94" s="26">
        <f t="shared" si="1"/>
        <v>-194084</v>
      </c>
    </row>
    <row r="95" spans="2:14" ht="15">
      <c r="B95" s="22">
        <f>'Sum of Billing Determinants'!A106</f>
        <v>10286</v>
      </c>
      <c r="C95" s="22" t="str">
        <f>'Sum of Billing Determinants'!B106</f>
        <v>Okanogan County PUD #1</v>
      </c>
      <c r="D95" s="26">
        <f>ROUND('Sum of Billing Determinants'!E106*-1*'Rate Calculations'!$G$8*(1-'Sum of Billing Determinants'!$AC106),0)</f>
        <v>-163798</v>
      </c>
      <c r="E95" s="26">
        <f>ROUND('Sum of Billing Determinants'!F106*-1*'Rate Calculations'!$G$8*(1-'Sum of Billing Determinants'!$AC106),0)</f>
        <v>-170212</v>
      </c>
      <c r="F95" s="26">
        <f>ROUND('Sum of Billing Determinants'!G106*-1*'Rate Calculations'!$G$8*(1-'Sum of Billing Determinants'!$AC106),0)</f>
        <v>-146405</v>
      </c>
      <c r="G95" s="26">
        <f>ROUND('Sum of Billing Determinants'!H106*-1*'Rate Calculations'!$G$8*(1-'Sum of Billing Determinants'!$AC106),0)</f>
        <v>-159845</v>
      </c>
      <c r="H95" s="26">
        <f>ROUND('Sum of Billing Determinants'!I106*-1*'Rate Calculations'!$G$8*(1-'Sum of Billing Determinants'!$AC106),0)</f>
        <v>-126171</v>
      </c>
      <c r="I95" s="26">
        <f>ROUND('Sum of Billing Determinants'!J106*-1*'Rate Calculations'!$G$8*(1-'Sum of Billing Determinants'!$AC106),0)</f>
        <v>-156532</v>
      </c>
      <c r="J95" s="26">
        <f>ROUND('Sum of Billing Determinants'!K106*-1*'Rate Calculations'!$G$8*(1-'Sum of Billing Determinants'!$AC106),0)</f>
        <v>-159928</v>
      </c>
      <c r="K95" s="26">
        <f>ROUND('Sum of Billing Determinants'!L106*-1*'Rate Calculations'!$G$8*(1-'Sum of Billing Determinants'!$AC106),0)</f>
        <v>-138841</v>
      </c>
      <c r="L95" s="26">
        <f>ROUND('Sum of Billing Determinants'!M106*-1*'Rate Calculations'!$G$8*(1-'Sum of Billing Determinants'!$AC106),0)</f>
        <v>-134222</v>
      </c>
      <c r="M95" s="26">
        <f>ROUND('Sum of Billing Determinants'!N106*-1*'Rate Calculations'!$G$8*(1-'Sum of Billing Determinants'!$AC106),0)</f>
        <v>-123510</v>
      </c>
      <c r="N95" s="26">
        <f t="shared" si="1"/>
        <v>-1479464</v>
      </c>
    </row>
    <row r="96" spans="2:14" ht="15">
      <c r="B96" s="22">
        <f>'Sum of Billing Determinants'!A107</f>
        <v>10288</v>
      </c>
      <c r="C96" s="22" t="str">
        <f>'Sum of Billing Determinants'!B107</f>
        <v>Orcas P &amp; L</v>
      </c>
      <c r="D96" s="26">
        <f>ROUND('Sum of Billing Determinants'!E107*-1*'Rate Calculations'!$G$8*(1-'Sum of Billing Determinants'!$AC107),0)</f>
        <v>-82541</v>
      </c>
      <c r="E96" s="26">
        <f>ROUND('Sum of Billing Determinants'!F107*-1*'Rate Calculations'!$G$8*(1-'Sum of Billing Determinants'!$AC107),0)</f>
        <v>-85773</v>
      </c>
      <c r="F96" s="26">
        <f>ROUND('Sum of Billing Determinants'!G107*-1*'Rate Calculations'!$G$8*(1-'Sum of Billing Determinants'!$AC107),0)</f>
        <v>-73776</v>
      </c>
      <c r="G96" s="26">
        <f>ROUND('Sum of Billing Determinants'!H107*-1*'Rate Calculations'!$G$8*(1-'Sum of Billing Determinants'!$AC107),0)</f>
        <v>-80549</v>
      </c>
      <c r="H96" s="26">
        <f>ROUND('Sum of Billing Determinants'!I107*-1*'Rate Calculations'!$G$8*(1-'Sum of Billing Determinants'!$AC107),0)</f>
        <v>-63580</v>
      </c>
      <c r="I96" s="26">
        <f>ROUND('Sum of Billing Determinants'!J107*-1*'Rate Calculations'!$G$8*(1-'Sum of Billing Determinants'!$AC107),0)</f>
        <v>-78879</v>
      </c>
      <c r="J96" s="26">
        <f>ROUND('Sum of Billing Determinants'!K107*-1*'Rate Calculations'!$G$8*(1-'Sum of Billing Determinants'!$AC107),0)</f>
        <v>-80591</v>
      </c>
      <c r="K96" s="26">
        <f>ROUND('Sum of Billing Determinants'!L107*-1*'Rate Calculations'!$G$8*(1-'Sum of Billing Determinants'!$AC107),0)</f>
        <v>-69965</v>
      </c>
      <c r="L96" s="26">
        <f>ROUND('Sum of Billing Determinants'!M107*-1*'Rate Calculations'!$G$8*(1-'Sum of Billing Determinants'!$AC107),0)</f>
        <v>-67637</v>
      </c>
      <c r="M96" s="26">
        <f>ROUND('Sum of Billing Determinants'!N107*-1*'Rate Calculations'!$G$8*(1-'Sum of Billing Determinants'!$AC107),0)</f>
        <v>-62239</v>
      </c>
      <c r="N96" s="26">
        <f t="shared" si="1"/>
        <v>-745530</v>
      </c>
    </row>
    <row r="97" spans="2:14" ht="15">
      <c r="B97" s="22">
        <f>'Sum of Billing Determinants'!A108</f>
        <v>10291</v>
      </c>
      <c r="C97" s="22" t="str">
        <f>'Sum of Billing Determinants'!B108</f>
        <v>Oregon Trail Elec Coop</v>
      </c>
      <c r="D97" s="26">
        <f>ROUND('Sum of Billing Determinants'!E108*-1*'Rate Calculations'!$G$8*(1-'Sum of Billing Determinants'!$AC108),0)</f>
        <v>-264991</v>
      </c>
      <c r="E97" s="26">
        <f>ROUND('Sum of Billing Determinants'!F108*-1*'Rate Calculations'!$G$8*(1-'Sum of Billing Determinants'!$AC108),0)</f>
        <v>-275366</v>
      </c>
      <c r="F97" s="26">
        <f>ROUND('Sum of Billing Determinants'!G108*-1*'Rate Calculations'!$G$8*(1-'Sum of Billing Determinants'!$AC108),0)</f>
        <v>-236852</v>
      </c>
      <c r="G97" s="26">
        <f>ROUND('Sum of Billing Determinants'!H108*-1*'Rate Calculations'!$G$8*(1-'Sum of Billing Determinants'!$AC108),0)</f>
        <v>-258595</v>
      </c>
      <c r="H97" s="26">
        <f>ROUND('Sum of Billing Determinants'!I108*-1*'Rate Calculations'!$G$8*(1-'Sum of Billing Determinants'!$AC108),0)</f>
        <v>-204117</v>
      </c>
      <c r="I97" s="26">
        <f>ROUND('Sum of Billing Determinants'!J108*-1*'Rate Calculations'!$G$8*(1-'Sum of Billing Determinants'!$AC108),0)</f>
        <v>-253235</v>
      </c>
      <c r="J97" s="26">
        <f>ROUND('Sum of Billing Determinants'!K108*-1*'Rate Calculations'!$G$8*(1-'Sum of Billing Determinants'!$AC108),0)</f>
        <v>-258729</v>
      </c>
      <c r="K97" s="26">
        <f>ROUND('Sum of Billing Determinants'!L108*-1*'Rate Calculations'!$G$8*(1-'Sum of Billing Determinants'!$AC108),0)</f>
        <v>-224614</v>
      </c>
      <c r="L97" s="26">
        <f>ROUND('Sum of Billing Determinants'!M108*-1*'Rate Calculations'!$G$8*(1-'Sum of Billing Determinants'!$AC108),0)</f>
        <v>-217142</v>
      </c>
      <c r="M97" s="26">
        <f>ROUND('Sum of Billing Determinants'!N108*-1*'Rate Calculations'!$G$8*(1-'Sum of Billing Determinants'!$AC108),0)</f>
        <v>-199813</v>
      </c>
      <c r="N97" s="26">
        <f t="shared" si="1"/>
        <v>-2393454</v>
      </c>
    </row>
    <row r="98" spans="1:14" ht="15">
      <c r="A98" s="19" t="s">
        <v>193</v>
      </c>
      <c r="B98" s="22">
        <f>'Sum of Billing Determinants'!A109</f>
        <v>10294</v>
      </c>
      <c r="C98" s="22" t="str">
        <f>'Sum of Billing Determinants'!B109</f>
        <v>Pacific County PUD #2</v>
      </c>
      <c r="D98" s="26">
        <f>ROUND(('Sum of Billing Determinants'!E109-'Sum of Billing Determinants'!E11)*-1*'Rate Calculations'!$G$8*(1-'Sum of Billing Determinants'!$AC109),0)</f>
        <v>-58658</v>
      </c>
      <c r="E98" s="26">
        <f>ROUND(('Sum of Billing Determinants'!F109-'Sum of Billing Determinants'!F11)*-1*'Rate Calculations'!$G$8*(1-'Sum of Billing Determinants'!$AC109),0)</f>
        <v>-60955</v>
      </c>
      <c r="F98" s="26">
        <f>ROUND(('Sum of Billing Determinants'!G109-'Sum of Billing Determinants'!G11)*-1*'Rate Calculations'!$G$8*(1-'Sum of Billing Determinants'!$AC109),0)</f>
        <v>-52429</v>
      </c>
      <c r="G98" s="26">
        <f>ROUND(('Sum of Billing Determinants'!H109-'Sum of Billing Determinants'!H11)*-1*'Rate Calculations'!$G$8*(1-'Sum of Billing Determinants'!$AC109),0)</f>
        <v>-57243</v>
      </c>
      <c r="H98" s="26">
        <f>ROUND(('Sum of Billing Determinants'!I109-'Sum of Billing Determinants'!I11)*-1*'Rate Calculations'!$G$8*(1-'Sum of Billing Determinants'!$AC109),0)</f>
        <v>-45183</v>
      </c>
      <c r="I98" s="26">
        <f>ROUND(('Sum of Billing Determinants'!J109-'Sum of Billing Determinants'!J11)*-1*'Rate Calculations'!$G$8*(1-'Sum of Billing Determinants'!$AC109),0)</f>
        <v>-56056</v>
      </c>
      <c r="J98" s="26">
        <f>ROUND(('Sum of Billing Determinants'!K109-'Sum of Billing Determinants'!K11)*-1*'Rate Calculations'!$G$8*(1-'Sum of Billing Determinants'!$AC109),0)</f>
        <v>-57272</v>
      </c>
      <c r="K98" s="26">
        <f>ROUND(('Sum of Billing Determinants'!L109-'Sum of Billing Determinants'!L11)*-1*'Rate Calculations'!$G$8*(1-'Sum of Billing Determinants'!$AC109),0)</f>
        <v>-49721</v>
      </c>
      <c r="L98" s="26">
        <f>ROUND(('Sum of Billing Determinants'!M109-'Sum of Billing Determinants'!M11)*-1*'Rate Calculations'!$G$8*(1-'Sum of Billing Determinants'!$AC109),0)</f>
        <v>-48067</v>
      </c>
      <c r="M98" s="26">
        <f>ROUND(('Sum of Billing Determinants'!N109-'Sum of Billing Determinants'!N11)*-1*'Rate Calculations'!$G$8*(1-'Sum of Billing Determinants'!$AC109),0)</f>
        <v>-44231</v>
      </c>
      <c r="N98" s="26">
        <f t="shared" si="1"/>
        <v>-529815</v>
      </c>
    </row>
    <row r="99" spans="2:14" ht="15">
      <c r="B99" s="22">
        <f>'Sum of Billing Determinants'!A110</f>
        <v>10304</v>
      </c>
      <c r="C99" s="22" t="str">
        <f>'Sum of Billing Determinants'!B110</f>
        <v>Parkland L &amp; W</v>
      </c>
      <c r="D99" s="26">
        <f>ROUND('Sum of Billing Determinants'!E110*-1*'Rate Calculations'!$G$8*(1-'Sum of Billing Determinants'!$AC110),0)</f>
        <v>-47858</v>
      </c>
      <c r="E99" s="26">
        <f>ROUND('Sum of Billing Determinants'!F110*-1*'Rate Calculations'!$G$8*(1-'Sum of Billing Determinants'!$AC110),0)</f>
        <v>-49731</v>
      </c>
      <c r="F99" s="26">
        <f>ROUND('Sum of Billing Determinants'!G110*-1*'Rate Calculations'!$G$8*(1-'Sum of Billing Determinants'!$AC110),0)</f>
        <v>-42776</v>
      </c>
      <c r="G99" s="26">
        <f>ROUND('Sum of Billing Determinants'!H110*-1*'Rate Calculations'!$G$8*(1-'Sum of Billing Determinants'!$AC110),0)</f>
        <v>-46703</v>
      </c>
      <c r="H99" s="26">
        <f>ROUND('Sum of Billing Determinants'!I110*-1*'Rate Calculations'!$G$8*(1-'Sum of Billing Determinants'!$AC110),0)</f>
        <v>-36864</v>
      </c>
      <c r="I99" s="26">
        <f>ROUND('Sum of Billing Determinants'!J110*-1*'Rate Calculations'!$G$8*(1-'Sum of Billing Determinants'!$AC110),0)</f>
        <v>-45734</v>
      </c>
      <c r="J99" s="26">
        <f>ROUND('Sum of Billing Determinants'!K110*-1*'Rate Calculations'!$G$8*(1-'Sum of Billing Determinants'!$AC110),0)</f>
        <v>-46727</v>
      </c>
      <c r="K99" s="26">
        <f>ROUND('Sum of Billing Determinants'!L110*-1*'Rate Calculations'!$G$8*(1-'Sum of Billing Determinants'!$AC110),0)</f>
        <v>-40566</v>
      </c>
      <c r="L99" s="26">
        <f>ROUND('Sum of Billing Determinants'!M110*-1*'Rate Calculations'!$G$8*(1-'Sum of Billing Determinants'!$AC110),0)</f>
        <v>-39216</v>
      </c>
      <c r="M99" s="26">
        <f>ROUND('Sum of Billing Determinants'!N110*-1*'Rate Calculations'!$G$8*(1-'Sum of Billing Determinants'!$AC110),0)</f>
        <v>-36086</v>
      </c>
      <c r="N99" s="26">
        <f t="shared" si="1"/>
        <v>-432261</v>
      </c>
    </row>
    <row r="100" spans="2:14" ht="15">
      <c r="B100" s="22">
        <f>'Sum of Billing Determinants'!A111</f>
        <v>10306</v>
      </c>
      <c r="C100" s="22" t="str">
        <f>'Sum of Billing Determinants'!B111</f>
        <v>Pend Oreille County PUD  #1</v>
      </c>
      <c r="D100" s="26">
        <f>ROUND('Sum of Billing Determinants'!E111*-1*'Rate Calculations'!$G$8*(1-'Sum of Billing Determinants'!$AC111),0)</f>
        <v>-41089</v>
      </c>
      <c r="E100" s="26">
        <f>ROUND('Sum of Billing Determinants'!F111*-1*'Rate Calculations'!$G$8*(1-'Sum of Billing Determinants'!$AC111),0)</f>
        <v>-42698</v>
      </c>
      <c r="F100" s="26">
        <f>ROUND('Sum of Billing Determinants'!G111*-1*'Rate Calculations'!$G$8*(1-'Sum of Billing Determinants'!$AC111),0)</f>
        <v>-36726</v>
      </c>
      <c r="G100" s="26">
        <f>ROUND('Sum of Billing Determinants'!H111*-1*'Rate Calculations'!$G$8*(1-'Sum of Billing Determinants'!$AC111),0)</f>
        <v>-40097</v>
      </c>
      <c r="H100" s="26">
        <f>ROUND('Sum of Billing Determinants'!I111*-1*'Rate Calculations'!$G$8*(1-'Sum of Billing Determinants'!$AC111),0)</f>
        <v>-31650</v>
      </c>
      <c r="I100" s="26">
        <f>ROUND('Sum of Billing Determinants'!J111*-1*'Rate Calculations'!$G$8*(1-'Sum of Billing Determinants'!$AC111),0)</f>
        <v>-39266</v>
      </c>
      <c r="J100" s="26">
        <f>ROUND('Sum of Billing Determinants'!K111*-1*'Rate Calculations'!$G$8*(1-'Sum of Billing Determinants'!$AC111),0)</f>
        <v>-40118</v>
      </c>
      <c r="K100" s="26">
        <f>ROUND('Sum of Billing Determinants'!L111*-1*'Rate Calculations'!$G$8*(1-'Sum of Billing Determinants'!$AC111),0)</f>
        <v>-34828</v>
      </c>
      <c r="L100" s="26">
        <f>ROUND('Sum of Billing Determinants'!M111*-1*'Rate Calculations'!$G$8*(1-'Sum of Billing Determinants'!$AC111),0)</f>
        <v>-33670</v>
      </c>
      <c r="M100" s="26">
        <f>ROUND('Sum of Billing Determinants'!N111*-1*'Rate Calculations'!$G$8*(1-'Sum of Billing Determinants'!$AC111),0)</f>
        <v>-30983</v>
      </c>
      <c r="N100" s="26">
        <f t="shared" si="1"/>
        <v>-371125</v>
      </c>
    </row>
    <row r="101" spans="2:14" ht="15">
      <c r="B101" s="22">
        <f>'Sum of Billing Determinants'!A112</f>
        <v>10307</v>
      </c>
      <c r="C101" s="22" t="str">
        <f>'Sum of Billing Determinants'!B112</f>
        <v>Peninsula Light Company</v>
      </c>
      <c r="D101" s="26">
        <f>ROUND('Sum of Billing Determinants'!E112*-1*'Rate Calculations'!$G$8*(1-'Sum of Billing Determinants'!$AC112),0)</f>
        <v>-244978</v>
      </c>
      <c r="E101" s="26">
        <f>ROUND('Sum of Billing Determinants'!F112*-1*'Rate Calculations'!$G$8*(1-'Sum of Billing Determinants'!$AC112),0)</f>
        <v>-254570</v>
      </c>
      <c r="F101" s="26">
        <f>ROUND('Sum of Billing Determinants'!G112*-1*'Rate Calculations'!$G$8*(1-'Sum of Billing Determinants'!$AC112),0)</f>
        <v>-218964</v>
      </c>
      <c r="G101" s="26">
        <f>ROUND('Sum of Billing Determinants'!H112*-1*'Rate Calculations'!$G$8*(1-'Sum of Billing Determinants'!$AC112),0)</f>
        <v>-239065</v>
      </c>
      <c r="H101" s="26">
        <f>ROUND('Sum of Billing Determinants'!I112*-1*'Rate Calculations'!$G$8*(1-'Sum of Billing Determinants'!$AC112),0)</f>
        <v>-188702</v>
      </c>
      <c r="I101" s="26">
        <f>ROUND('Sum of Billing Determinants'!J112*-1*'Rate Calculations'!$G$8*(1-'Sum of Billing Determinants'!$AC112),0)</f>
        <v>-234110</v>
      </c>
      <c r="J101" s="26">
        <f>ROUND('Sum of Billing Determinants'!K112*-1*'Rate Calculations'!$G$8*(1-'Sum of Billing Determinants'!$AC112),0)</f>
        <v>-239190</v>
      </c>
      <c r="K101" s="26">
        <f>ROUND('Sum of Billing Determinants'!L112*-1*'Rate Calculations'!$G$8*(1-'Sum of Billing Determinants'!$AC112),0)</f>
        <v>-207651</v>
      </c>
      <c r="L101" s="26">
        <f>ROUND('Sum of Billing Determinants'!M112*-1*'Rate Calculations'!$G$8*(1-'Sum of Billing Determinants'!$AC112),0)</f>
        <v>-200743</v>
      </c>
      <c r="M101" s="26">
        <f>ROUND('Sum of Billing Determinants'!N112*-1*'Rate Calculations'!$G$8*(1-'Sum of Billing Determinants'!$AC112),0)</f>
        <v>-184723</v>
      </c>
      <c r="N101" s="26">
        <f t="shared" si="1"/>
        <v>-2212696</v>
      </c>
    </row>
    <row r="102" spans="2:14" ht="15">
      <c r="B102" s="22">
        <f>'Sum of Billing Determinants'!A113</f>
        <v>10326</v>
      </c>
      <c r="C102" s="22" t="str">
        <f>'Sum of Billing Determinants'!B113</f>
        <v>U.S. Naval Base,  Bremerton</v>
      </c>
      <c r="D102" s="26">
        <f>ROUND('Sum of Billing Determinants'!E113*-1*'Rate Calculations'!$G$8*(1-'Sum of Billing Determinants'!$AC113),0)</f>
        <v>-108673</v>
      </c>
      <c r="E102" s="26">
        <f>ROUND('Sum of Billing Determinants'!F113*-1*'Rate Calculations'!$G$8*(1-'Sum of Billing Determinants'!$AC113),0)</f>
        <v>-112928</v>
      </c>
      <c r="F102" s="26">
        <f>ROUND('Sum of Billing Determinants'!G113*-1*'Rate Calculations'!$G$8*(1-'Sum of Billing Determinants'!$AC113),0)</f>
        <v>-97133</v>
      </c>
      <c r="G102" s="26">
        <f>ROUND('Sum of Billing Determinants'!H113*-1*'Rate Calculations'!$G$8*(1-'Sum of Billing Determinants'!$AC113),0)</f>
        <v>-106050</v>
      </c>
      <c r="H102" s="26">
        <f>ROUND('Sum of Billing Determinants'!I113*-1*'Rate Calculations'!$G$8*(1-'Sum of Billing Determinants'!$AC113),0)</f>
        <v>-83709</v>
      </c>
      <c r="I102" s="26">
        <f>ROUND('Sum of Billing Determinants'!J113*-1*'Rate Calculations'!$G$8*(1-'Sum of Billing Determinants'!$AC113),0)</f>
        <v>-103852</v>
      </c>
      <c r="J102" s="26">
        <f>ROUND('Sum of Billing Determinants'!K113*-1*'Rate Calculations'!$G$8*(1-'Sum of Billing Determinants'!$AC113),0)</f>
        <v>-106105</v>
      </c>
      <c r="K102" s="26">
        <f>ROUND('Sum of Billing Determinants'!L113*-1*'Rate Calculations'!$G$8*(1-'Sum of Billing Determinants'!$AC113),0)</f>
        <v>-92115</v>
      </c>
      <c r="L102" s="26">
        <f>ROUND('Sum of Billing Determinants'!M113*-1*'Rate Calculations'!$G$8*(1-'Sum of Billing Determinants'!$AC113),0)</f>
        <v>-89050</v>
      </c>
      <c r="M102" s="26">
        <f>ROUND('Sum of Billing Determinants'!N113*-1*'Rate Calculations'!$G$8*(1-'Sum of Billing Determinants'!$AC113),0)</f>
        <v>-81944</v>
      </c>
      <c r="N102" s="26">
        <f t="shared" si="1"/>
        <v>-981559</v>
      </c>
    </row>
    <row r="103" spans="2:14" ht="15">
      <c r="B103" s="22">
        <f>'Sum of Billing Determinants'!A114</f>
        <v>10331</v>
      </c>
      <c r="C103" s="22" t="str">
        <f>'Sum of Billing Determinants'!B114</f>
        <v>Raft River Elec Coop</v>
      </c>
      <c r="D103" s="26">
        <f>ROUND('Sum of Billing Determinants'!E114*-1*'Rate Calculations'!$G$8*(1-'Sum of Billing Determinants'!$AC114),0)</f>
        <v>-117324</v>
      </c>
      <c r="E103" s="26">
        <f>ROUND('Sum of Billing Determinants'!F114*-1*'Rate Calculations'!$G$8*(1-'Sum of Billing Determinants'!$AC114),0)</f>
        <v>-121917</v>
      </c>
      <c r="F103" s="26">
        <f>ROUND('Sum of Billing Determinants'!G114*-1*'Rate Calculations'!$G$8*(1-'Sum of Billing Determinants'!$AC114),0)</f>
        <v>-104865</v>
      </c>
      <c r="G103" s="26">
        <f>ROUND('Sum of Billing Determinants'!H114*-1*'Rate Calculations'!$G$8*(1-'Sum of Billing Determinants'!$AC114),0)</f>
        <v>-114492</v>
      </c>
      <c r="H103" s="26">
        <f>ROUND('Sum of Billing Determinants'!I114*-1*'Rate Calculations'!$G$8*(1-'Sum of Billing Determinants'!$AC114),0)</f>
        <v>-90372</v>
      </c>
      <c r="I103" s="26">
        <f>ROUND('Sum of Billing Determinants'!J114*-1*'Rate Calculations'!$G$8*(1-'Sum of Billing Determinants'!$AC114),0)</f>
        <v>-112119</v>
      </c>
      <c r="J103" s="26">
        <f>ROUND('Sum of Billing Determinants'!K114*-1*'Rate Calculations'!$G$8*(1-'Sum of Billing Determinants'!$AC114),0)</f>
        <v>-114551</v>
      </c>
      <c r="K103" s="26">
        <f>ROUND('Sum of Billing Determinants'!L114*-1*'Rate Calculations'!$G$8*(1-'Sum of Billing Determinants'!$AC114),0)</f>
        <v>-99447</v>
      </c>
      <c r="L103" s="26">
        <f>ROUND('Sum of Billing Determinants'!M114*-1*'Rate Calculations'!$G$8*(1-'Sum of Billing Determinants'!$AC114),0)</f>
        <v>-96139</v>
      </c>
      <c r="M103" s="26">
        <f>ROUND('Sum of Billing Determinants'!N114*-1*'Rate Calculations'!$G$8*(1-'Sum of Billing Determinants'!$AC114),0)</f>
        <v>-88466</v>
      </c>
      <c r="N103" s="26">
        <f t="shared" si="1"/>
        <v>-1059692</v>
      </c>
    </row>
    <row r="104" spans="2:14" ht="15">
      <c r="B104" s="22">
        <f>'Sum of Billing Determinants'!A115</f>
        <v>10333</v>
      </c>
      <c r="C104" s="22" t="str">
        <f>'Sum of Billing Determinants'!B115</f>
        <v>Ravalli County Elec Coop</v>
      </c>
      <c r="D104" s="26">
        <f>ROUND('Sum of Billing Determinants'!E115*-1*'Rate Calculations'!$G$8*(1-'Sum of Billing Determinants'!$AC115),0)</f>
        <v>-61390</v>
      </c>
      <c r="E104" s="26">
        <f>ROUND('Sum of Billing Determinants'!F115*-1*'Rate Calculations'!$G$8*(1-'Sum of Billing Determinants'!$AC115),0)</f>
        <v>-63794</v>
      </c>
      <c r="F104" s="26">
        <f>ROUND('Sum of Billing Determinants'!G115*-1*'Rate Calculations'!$G$8*(1-'Sum of Billing Determinants'!$AC115),0)</f>
        <v>-54871</v>
      </c>
      <c r="G104" s="26">
        <f>ROUND('Sum of Billing Determinants'!H115*-1*'Rate Calculations'!$G$8*(1-'Sum of Billing Determinants'!$AC115),0)</f>
        <v>-59909</v>
      </c>
      <c r="H104" s="26">
        <f>ROUND('Sum of Billing Determinants'!I115*-1*'Rate Calculations'!$G$8*(1-'Sum of Billing Determinants'!$AC115),0)</f>
        <v>-47288</v>
      </c>
      <c r="I104" s="26">
        <f>ROUND('Sum of Billing Determinants'!J115*-1*'Rate Calculations'!$G$8*(1-'Sum of Billing Determinants'!$AC115),0)</f>
        <v>-58667</v>
      </c>
      <c r="J104" s="26">
        <f>ROUND('Sum of Billing Determinants'!K115*-1*'Rate Calculations'!$G$8*(1-'Sum of Billing Determinants'!$AC115),0)</f>
        <v>-59940</v>
      </c>
      <c r="K104" s="26">
        <f>ROUND('Sum of Billing Determinants'!L115*-1*'Rate Calculations'!$G$8*(1-'Sum of Billing Determinants'!$AC115),0)</f>
        <v>-52036</v>
      </c>
      <c r="L104" s="26">
        <f>ROUND('Sum of Billing Determinants'!M115*-1*'Rate Calculations'!$G$8*(1-'Sum of Billing Determinants'!$AC115),0)</f>
        <v>-50305</v>
      </c>
      <c r="M104" s="26">
        <f>ROUND('Sum of Billing Determinants'!N115*-1*'Rate Calculations'!$G$8*(1-'Sum of Billing Determinants'!$AC115),0)</f>
        <v>-46291</v>
      </c>
      <c r="N104" s="26">
        <f t="shared" si="1"/>
        <v>-554491</v>
      </c>
    </row>
    <row r="105" spans="2:14" ht="15">
      <c r="B105" s="22">
        <f>'Sum of Billing Determinants'!A116</f>
        <v>10338</v>
      </c>
      <c r="C105" s="22" t="str">
        <f>'Sum of Billing Determinants'!B116</f>
        <v>Riverside Elec Coop</v>
      </c>
      <c r="D105" s="26">
        <f>ROUND('Sum of Billing Determinants'!E116*-1*'Rate Calculations'!$G$8*(1-'Sum of Billing Determinants'!$AC116),0)</f>
        <v>-8172</v>
      </c>
      <c r="E105" s="26">
        <f>ROUND('Sum of Billing Determinants'!F116*-1*'Rate Calculations'!$G$8*(1-'Sum of Billing Determinants'!$AC116),0)</f>
        <v>-8492</v>
      </c>
      <c r="F105" s="26">
        <f>ROUND('Sum of Billing Determinants'!G116*-1*'Rate Calculations'!$G$8*(1-'Sum of Billing Determinants'!$AC116),0)</f>
        <v>-7305</v>
      </c>
      <c r="G105" s="26">
        <f>ROUND('Sum of Billing Determinants'!H116*-1*'Rate Calculations'!$G$8*(1-'Sum of Billing Determinants'!$AC116),0)</f>
        <v>-7975</v>
      </c>
      <c r="H105" s="26">
        <f>ROUND('Sum of Billing Determinants'!I116*-1*'Rate Calculations'!$G$8*(1-'Sum of Billing Determinants'!$AC116),0)</f>
        <v>-6295</v>
      </c>
      <c r="I105" s="26">
        <f>ROUND('Sum of Billing Determinants'!J116*-1*'Rate Calculations'!$G$8*(1-'Sum of Billing Determinants'!$AC116),0)</f>
        <v>-7810</v>
      </c>
      <c r="J105" s="26">
        <f>ROUND('Sum of Billing Determinants'!K116*-1*'Rate Calculations'!$G$8*(1-'Sum of Billing Determinants'!$AC116),0)</f>
        <v>-7979</v>
      </c>
      <c r="K105" s="26">
        <f>ROUND('Sum of Billing Determinants'!L116*-1*'Rate Calculations'!$G$8*(1-'Sum of Billing Determinants'!$AC116),0)</f>
        <v>-6927</v>
      </c>
      <c r="L105" s="26">
        <f>ROUND('Sum of Billing Determinants'!M116*-1*'Rate Calculations'!$G$8*(1-'Sum of Billing Determinants'!$AC116),0)</f>
        <v>-6697</v>
      </c>
      <c r="M105" s="26">
        <f>ROUND('Sum of Billing Determinants'!N116*-1*'Rate Calculations'!$G$8*(1-'Sum of Billing Determinants'!$AC116),0)</f>
        <v>-6162</v>
      </c>
      <c r="N105" s="26">
        <f t="shared" si="1"/>
        <v>-73814</v>
      </c>
    </row>
    <row r="106" spans="2:14" ht="15">
      <c r="B106" s="22">
        <f>'Sum of Billing Determinants'!A117</f>
        <v>10342</v>
      </c>
      <c r="C106" s="22" t="str">
        <f>'Sum of Billing Determinants'!B117</f>
        <v>Salem Elec Coop</v>
      </c>
      <c r="D106" s="26">
        <f>ROUND('Sum of Billing Determinants'!E117*-1*'Rate Calculations'!$G$8*(1-'Sum of Billing Determinants'!$AC117),0)</f>
        <v>-136348</v>
      </c>
      <c r="E106" s="26">
        <f>ROUND('Sum of Billing Determinants'!F117*-1*'Rate Calculations'!$G$8*(1-'Sum of Billing Determinants'!$AC117),0)</f>
        <v>-141686</v>
      </c>
      <c r="F106" s="26">
        <f>ROUND('Sum of Billing Determinants'!G117*-1*'Rate Calculations'!$G$8*(1-'Sum of Billing Determinants'!$AC117),0)</f>
        <v>-121869</v>
      </c>
      <c r="G106" s="26">
        <f>ROUND('Sum of Billing Determinants'!H117*-1*'Rate Calculations'!$G$8*(1-'Sum of Billing Determinants'!$AC117),0)</f>
        <v>-133057</v>
      </c>
      <c r="H106" s="26">
        <f>ROUND('Sum of Billing Determinants'!I117*-1*'Rate Calculations'!$G$8*(1-'Sum of Billing Determinants'!$AC117),0)</f>
        <v>-105026</v>
      </c>
      <c r="I106" s="26">
        <f>ROUND('Sum of Billing Determinants'!J117*-1*'Rate Calculations'!$G$8*(1-'Sum of Billing Determinants'!$AC117),0)</f>
        <v>-130299</v>
      </c>
      <c r="J106" s="26">
        <f>ROUND('Sum of Billing Determinants'!K117*-1*'Rate Calculations'!$G$8*(1-'Sum of Billing Determinants'!$AC117),0)</f>
        <v>-133126</v>
      </c>
      <c r="K106" s="26">
        <f>ROUND('Sum of Billing Determinants'!L117*-1*'Rate Calculations'!$G$8*(1-'Sum of Billing Determinants'!$AC117),0)</f>
        <v>-115573</v>
      </c>
      <c r="L106" s="26">
        <f>ROUND('Sum of Billing Determinants'!M117*-1*'Rate Calculations'!$G$8*(1-'Sum of Billing Determinants'!$AC117),0)</f>
        <v>-111728</v>
      </c>
      <c r="M106" s="26">
        <f>ROUND('Sum of Billing Determinants'!N117*-1*'Rate Calculations'!$G$8*(1-'Sum of Billing Determinants'!$AC117),0)</f>
        <v>-102811</v>
      </c>
      <c r="N106" s="26">
        <f t="shared" si="1"/>
        <v>-1231523</v>
      </c>
    </row>
    <row r="107" spans="2:14" ht="15">
      <c r="B107" s="22">
        <f>'Sum of Billing Determinants'!A118</f>
        <v>10343</v>
      </c>
      <c r="C107" s="22" t="str">
        <f>'Sum of Billing Determinants'!B118</f>
        <v>Salmon River Elec Coop</v>
      </c>
      <c r="D107" s="26">
        <f>ROUND('Sum of Billing Determinants'!E118*-1*'Rate Calculations'!$G$8*(1-'Sum of Billing Determinants'!$AC118),0)</f>
        <v>-39680</v>
      </c>
      <c r="E107" s="26">
        <f>ROUND('Sum of Billing Determinants'!F118*-1*'Rate Calculations'!$G$8*(1-'Sum of Billing Determinants'!$AC118),0)</f>
        <v>-41233</v>
      </c>
      <c r="F107" s="26">
        <f>ROUND('Sum of Billing Determinants'!G118*-1*'Rate Calculations'!$G$8*(1-'Sum of Billing Determinants'!$AC118),0)</f>
        <v>-35466</v>
      </c>
      <c r="G107" s="26">
        <f>ROUND('Sum of Billing Determinants'!H118*-1*'Rate Calculations'!$G$8*(1-'Sum of Billing Determinants'!$AC118),0)</f>
        <v>-38722</v>
      </c>
      <c r="H107" s="26">
        <f>ROUND('Sum of Billing Determinants'!I118*-1*'Rate Calculations'!$G$8*(1-'Sum of Billing Determinants'!$AC118),0)</f>
        <v>-30565</v>
      </c>
      <c r="I107" s="26">
        <f>ROUND('Sum of Billing Determinants'!J118*-1*'Rate Calculations'!$G$8*(1-'Sum of Billing Determinants'!$AC118),0)</f>
        <v>-37919</v>
      </c>
      <c r="J107" s="26">
        <f>ROUND('Sum of Billing Determinants'!K118*-1*'Rate Calculations'!$G$8*(1-'Sum of Billing Determinants'!$AC118),0)</f>
        <v>-38742</v>
      </c>
      <c r="K107" s="26">
        <f>ROUND('Sum of Billing Determinants'!L118*-1*'Rate Calculations'!$G$8*(1-'Sum of Billing Determinants'!$AC118),0)</f>
        <v>-33634</v>
      </c>
      <c r="L107" s="26">
        <f>ROUND('Sum of Billing Determinants'!M118*-1*'Rate Calculations'!$G$8*(1-'Sum of Billing Determinants'!$AC118),0)</f>
        <v>-32515</v>
      </c>
      <c r="M107" s="26">
        <f>ROUND('Sum of Billing Determinants'!N118*-1*'Rate Calculations'!$G$8*(1-'Sum of Billing Determinants'!$AC118),0)</f>
        <v>-29920</v>
      </c>
      <c r="N107" s="26">
        <f t="shared" si="1"/>
        <v>-358396</v>
      </c>
    </row>
    <row r="108" spans="2:14" ht="15">
      <c r="B108" s="22">
        <f>'Sum of Billing Determinants'!A119</f>
        <v>10349</v>
      </c>
      <c r="C108" s="22" t="str">
        <f>'Sum of Billing Determinants'!B119</f>
        <v>Seattle City Light</v>
      </c>
      <c r="D108" s="26">
        <f>ROUND('Sum of Billing Determinants'!E119*-1*'Rate Calculations'!$G$8*(1-'Sum of Billing Determinants'!$AC119),0)</f>
        <v>-1754120</v>
      </c>
      <c r="E108" s="26">
        <f>ROUND('Sum of Billing Determinants'!F119*-1*'Rate Calculations'!$G$8*(1-'Sum of Billing Determinants'!$AC119),0)</f>
        <v>-1822802</v>
      </c>
      <c r="F108" s="26">
        <f>ROUND('Sum of Billing Determinants'!G119*-1*'Rate Calculations'!$G$8*(1-'Sum of Billing Determinants'!$AC119),0)</f>
        <v>-1567852</v>
      </c>
      <c r="G108" s="26">
        <f>ROUND('Sum of Billing Determinants'!H119*-1*'Rate Calculations'!$G$8*(1-'Sum of Billing Determinants'!$AC119),0)</f>
        <v>-1711784</v>
      </c>
      <c r="H108" s="26">
        <f>ROUND('Sum of Billing Determinants'!I119*-1*'Rate Calculations'!$G$8*(1-'Sum of Billing Determinants'!$AC119),0)</f>
        <v>-1351165</v>
      </c>
      <c r="I108" s="26">
        <f>ROUND('Sum of Billing Determinants'!J119*-1*'Rate Calculations'!$G$8*(1-'Sum of Billing Determinants'!$AC119),0)</f>
        <v>-1676302</v>
      </c>
      <c r="J108" s="26">
        <f>ROUND('Sum of Billing Determinants'!K119*-1*'Rate Calculations'!$G$8*(1-'Sum of Billing Determinants'!$AC119),0)</f>
        <v>-1712673</v>
      </c>
      <c r="K108" s="26">
        <f>ROUND('Sum of Billing Determinants'!L119*-1*'Rate Calculations'!$G$8*(1-'Sum of Billing Determinants'!$AC119),0)</f>
        <v>-1486847</v>
      </c>
      <c r="L108" s="26">
        <f>ROUND('Sum of Billing Determinants'!M119*-1*'Rate Calculations'!$G$8*(1-'Sum of Billing Determinants'!$AC119),0)</f>
        <v>-1437386</v>
      </c>
      <c r="M108" s="26">
        <f>ROUND('Sum of Billing Determinants'!N119*-1*'Rate Calculations'!$G$8*(1-'Sum of Billing Determinants'!$AC119),0)</f>
        <v>-1322673</v>
      </c>
      <c r="N108" s="26">
        <f t="shared" si="1"/>
        <v>-15843604</v>
      </c>
    </row>
    <row r="109" spans="2:14" ht="15">
      <c r="B109" s="22">
        <f>'Sum of Billing Determinants'!A120</f>
        <v>10352</v>
      </c>
      <c r="C109" s="22" t="str">
        <f>'Sum of Billing Determinants'!B120</f>
        <v>Skamania County PUD #1</v>
      </c>
      <c r="D109" s="26">
        <f>ROUND('Sum of Billing Determinants'!E120*-1*'Rate Calculations'!$G$8*(1-'Sum of Billing Determinants'!$AC120),0)</f>
        <v>-53839</v>
      </c>
      <c r="E109" s="26">
        <f>ROUND('Sum of Billing Determinants'!F120*-1*'Rate Calculations'!$G$8*(1-'Sum of Billing Determinants'!$AC120),0)</f>
        <v>-55947</v>
      </c>
      <c r="F109" s="26">
        <f>ROUND('Sum of Billing Determinants'!G120*-1*'Rate Calculations'!$G$8*(1-'Sum of Billing Determinants'!$AC120),0)</f>
        <v>-48122</v>
      </c>
      <c r="G109" s="26">
        <f>ROUND('Sum of Billing Determinants'!H120*-1*'Rate Calculations'!$G$8*(1-'Sum of Billing Determinants'!$AC120),0)</f>
        <v>-52540</v>
      </c>
      <c r="H109" s="26">
        <f>ROUND('Sum of Billing Determinants'!I120*-1*'Rate Calculations'!$G$8*(1-'Sum of Billing Determinants'!$AC120),0)</f>
        <v>-41471</v>
      </c>
      <c r="I109" s="26">
        <f>ROUND('Sum of Billing Determinants'!J120*-1*'Rate Calculations'!$G$8*(1-'Sum of Billing Determinants'!$AC120),0)</f>
        <v>-51450</v>
      </c>
      <c r="J109" s="26">
        <f>ROUND('Sum of Billing Determinants'!K120*-1*'Rate Calculations'!$G$8*(1-'Sum of Billing Determinants'!$AC120),0)</f>
        <v>-52567</v>
      </c>
      <c r="K109" s="26">
        <f>ROUND('Sum of Billing Determinants'!L120*-1*'Rate Calculations'!$G$8*(1-'Sum of Billing Determinants'!$AC120),0)</f>
        <v>-45636</v>
      </c>
      <c r="L109" s="26">
        <f>ROUND('Sum of Billing Determinants'!M120*-1*'Rate Calculations'!$G$8*(1-'Sum of Billing Determinants'!$AC120),0)</f>
        <v>-44117</v>
      </c>
      <c r="M109" s="26">
        <f>ROUND('Sum of Billing Determinants'!N120*-1*'Rate Calculations'!$G$8*(1-'Sum of Billing Determinants'!$AC120),0)</f>
        <v>-40597</v>
      </c>
      <c r="N109" s="26">
        <f t="shared" si="1"/>
        <v>-486286</v>
      </c>
    </row>
    <row r="110" spans="2:14" ht="15">
      <c r="B110" s="22">
        <f>'Sum of Billing Determinants'!A121</f>
        <v>10354</v>
      </c>
      <c r="C110" s="22" t="str">
        <f>'Sum of Billing Determinants'!B121</f>
        <v>Snohomish County PUD #1</v>
      </c>
      <c r="D110" s="26">
        <f>ROUND('Sum of Billing Determinants'!E121*-1*'Rate Calculations'!$G$8*(1-'Sum of Billing Determinants'!$AC121),0)</f>
        <v>-1328835</v>
      </c>
      <c r="E110" s="26">
        <f>ROUND('Sum of Billing Determinants'!F121*-1*'Rate Calculations'!$G$8*(1-'Sum of Billing Determinants'!$AC121),0)</f>
        <v>-1380865</v>
      </c>
      <c r="F110" s="26">
        <f>ROUND('Sum of Billing Determinants'!G121*-1*'Rate Calculations'!$G$8*(1-'Sum of Billing Determinants'!$AC121),0)</f>
        <v>-1187728</v>
      </c>
      <c r="G110" s="26">
        <f>ROUND('Sum of Billing Determinants'!H121*-1*'Rate Calculations'!$G$8*(1-'Sum of Billing Determinants'!$AC121),0)</f>
        <v>-1296764</v>
      </c>
      <c r="H110" s="26">
        <f>ROUND('Sum of Billing Determinants'!I121*-1*'Rate Calculations'!$G$8*(1-'Sum of Billing Determinants'!$AC121),0)</f>
        <v>-1023577</v>
      </c>
      <c r="I110" s="26">
        <f>ROUND('Sum of Billing Determinants'!J121*-1*'Rate Calculations'!$G$8*(1-'Sum of Billing Determinants'!$AC121),0)</f>
        <v>-1269884</v>
      </c>
      <c r="J110" s="26">
        <f>ROUND('Sum of Billing Determinants'!K121*-1*'Rate Calculations'!$G$8*(1-'Sum of Billing Determinants'!$AC121),0)</f>
        <v>-1297437</v>
      </c>
      <c r="K110" s="26">
        <f>ROUND('Sum of Billing Determinants'!L121*-1*'Rate Calculations'!$G$8*(1-'Sum of Billing Determinants'!$AC121),0)</f>
        <v>-1126362</v>
      </c>
      <c r="L110" s="26">
        <f>ROUND('Sum of Billing Determinants'!M121*-1*'Rate Calculations'!$G$8*(1-'Sum of Billing Determinants'!$AC121),0)</f>
        <v>-1088893</v>
      </c>
      <c r="M110" s="26">
        <f>ROUND('Sum of Billing Determinants'!N121*-1*'Rate Calculations'!$G$8*(1-'Sum of Billing Determinants'!$AC121),0)</f>
        <v>-1001992</v>
      </c>
      <c r="N110" s="26">
        <f t="shared" si="1"/>
        <v>-12002337</v>
      </c>
    </row>
    <row r="111" spans="2:14" ht="15">
      <c r="B111" s="22">
        <f>'Sum of Billing Determinants'!A122</f>
        <v>10360</v>
      </c>
      <c r="C111" s="22" t="str">
        <f>'Sum of Billing Determinants'!B122</f>
        <v>South Side Elec</v>
      </c>
      <c r="D111" s="26">
        <f>ROUND('Sum of Billing Determinants'!E122*-1*'Rate Calculations'!$G$8*(1-'Sum of Billing Determinants'!$AC122),0)</f>
        <v>-22770</v>
      </c>
      <c r="E111" s="26">
        <f>ROUND('Sum of Billing Determinants'!F122*-1*'Rate Calculations'!$G$8*(1-'Sum of Billing Determinants'!$AC122),0)</f>
        <v>-23661</v>
      </c>
      <c r="F111" s="26">
        <f>ROUND('Sum of Billing Determinants'!G122*-1*'Rate Calculations'!$G$8*(1-'Sum of Billing Determinants'!$AC122),0)</f>
        <v>-20352</v>
      </c>
      <c r="G111" s="26">
        <f>ROUND('Sum of Billing Determinants'!H122*-1*'Rate Calculations'!$G$8*(1-'Sum of Billing Determinants'!$AC122),0)</f>
        <v>-22220</v>
      </c>
      <c r="H111" s="26">
        <f>ROUND('Sum of Billing Determinants'!I122*-1*'Rate Calculations'!$G$8*(1-'Sum of Billing Determinants'!$AC122),0)</f>
        <v>-17539</v>
      </c>
      <c r="I111" s="26">
        <f>ROUND('Sum of Billing Determinants'!J122*-1*'Rate Calculations'!$G$8*(1-'Sum of Billing Determinants'!$AC122),0)</f>
        <v>-21759</v>
      </c>
      <c r="J111" s="26">
        <f>ROUND('Sum of Billing Determinants'!K122*-1*'Rate Calculations'!$G$8*(1-'Sum of Billing Determinants'!$AC122),0)</f>
        <v>-22232</v>
      </c>
      <c r="K111" s="26">
        <f>ROUND('Sum of Billing Determinants'!L122*-1*'Rate Calculations'!$G$8*(1-'Sum of Billing Determinants'!$AC122),0)</f>
        <v>-19300</v>
      </c>
      <c r="L111" s="26">
        <f>ROUND('Sum of Billing Determinants'!M122*-1*'Rate Calculations'!$G$8*(1-'Sum of Billing Determinants'!$AC122),0)</f>
        <v>-18658</v>
      </c>
      <c r="M111" s="26">
        <f>ROUND('Sum of Billing Determinants'!N122*-1*'Rate Calculations'!$G$8*(1-'Sum of Billing Determinants'!$AC122),0)</f>
        <v>-17169</v>
      </c>
      <c r="N111" s="26">
        <f t="shared" si="1"/>
        <v>-205660</v>
      </c>
    </row>
    <row r="112" spans="2:14" ht="15">
      <c r="B112" s="22">
        <f>'Sum of Billing Determinants'!A123</f>
        <v>10363</v>
      </c>
      <c r="C112" s="22" t="str">
        <f>'Sum of Billing Determinants'!B123</f>
        <v>Springfield Utility Board</v>
      </c>
      <c r="D112" s="26">
        <f>ROUND('Sum of Billing Determinants'!E123*-1*'Rate Calculations'!$G$8*(1-'Sum of Billing Determinants'!$AC123),0)</f>
        <v>-324842</v>
      </c>
      <c r="E112" s="26">
        <f>ROUND('Sum of Billing Determinants'!F123*-1*'Rate Calculations'!$G$8*(1-'Sum of Billing Determinants'!$AC123),0)</f>
        <v>-337561</v>
      </c>
      <c r="F112" s="26">
        <f>ROUND('Sum of Billing Determinants'!G123*-1*'Rate Calculations'!$G$8*(1-'Sum of Billing Determinants'!$AC123),0)</f>
        <v>-290348</v>
      </c>
      <c r="G112" s="26">
        <f>ROUND('Sum of Billing Determinants'!H123*-1*'Rate Calculations'!$G$8*(1-'Sum of Billing Determinants'!$AC123),0)</f>
        <v>-317002</v>
      </c>
      <c r="H112" s="26">
        <f>ROUND('Sum of Billing Determinants'!I123*-1*'Rate Calculations'!$G$8*(1-'Sum of Billing Determinants'!$AC123),0)</f>
        <v>-250220</v>
      </c>
      <c r="I112" s="26">
        <f>ROUND('Sum of Billing Determinants'!J123*-1*'Rate Calculations'!$G$8*(1-'Sum of Billing Determinants'!$AC123),0)</f>
        <v>-310431</v>
      </c>
      <c r="J112" s="26">
        <f>ROUND('Sum of Billing Determinants'!K123*-1*'Rate Calculations'!$G$8*(1-'Sum of Billing Determinants'!$AC123),0)</f>
        <v>-317167</v>
      </c>
      <c r="K112" s="26">
        <f>ROUND('Sum of Billing Determinants'!L123*-1*'Rate Calculations'!$G$8*(1-'Sum of Billing Determinants'!$AC123),0)</f>
        <v>-275346</v>
      </c>
      <c r="L112" s="26">
        <f>ROUND('Sum of Billing Determinants'!M123*-1*'Rate Calculations'!$G$8*(1-'Sum of Billing Determinants'!$AC123),0)</f>
        <v>-266187</v>
      </c>
      <c r="M112" s="26">
        <f>ROUND('Sum of Billing Determinants'!N123*-1*'Rate Calculations'!$G$8*(1-'Sum of Billing Determinants'!$AC123),0)</f>
        <v>-244943</v>
      </c>
      <c r="N112" s="26">
        <f t="shared" si="1"/>
        <v>-2934047</v>
      </c>
    </row>
    <row r="113" spans="2:14" ht="15">
      <c r="B113" s="22">
        <f>'Sum of Billing Determinants'!A124</f>
        <v>10369</v>
      </c>
      <c r="C113" s="22" t="str">
        <f>'Sum of Billing Determinants'!B124</f>
        <v>Surprise Valley Elec Coop</v>
      </c>
      <c r="D113" s="26">
        <f>ROUND('Sum of Billing Determinants'!E124*-1*'Rate Calculations'!$G$8*(1-'Sum of Billing Determinants'!$AC124),0)</f>
        <v>-54036</v>
      </c>
      <c r="E113" s="26">
        <f>ROUND('Sum of Billing Determinants'!F124*-1*'Rate Calculations'!$G$8*(1-'Sum of Billing Determinants'!$AC124),0)</f>
        <v>-56152</v>
      </c>
      <c r="F113" s="26">
        <f>ROUND('Sum of Billing Determinants'!G124*-1*'Rate Calculations'!$G$8*(1-'Sum of Billing Determinants'!$AC124),0)</f>
        <v>-48298</v>
      </c>
      <c r="G113" s="26">
        <f>ROUND('Sum of Billing Determinants'!H124*-1*'Rate Calculations'!$G$8*(1-'Sum of Billing Determinants'!$AC124),0)</f>
        <v>-52732</v>
      </c>
      <c r="H113" s="26">
        <f>ROUND('Sum of Billing Determinants'!I124*-1*'Rate Calculations'!$G$8*(1-'Sum of Billing Determinants'!$AC124),0)</f>
        <v>-41623</v>
      </c>
      <c r="I113" s="26">
        <f>ROUND('Sum of Billing Determinants'!J124*-1*'Rate Calculations'!$G$8*(1-'Sum of Billing Determinants'!$AC124),0)</f>
        <v>-51639</v>
      </c>
      <c r="J113" s="26">
        <f>ROUND('Sum of Billing Determinants'!K124*-1*'Rate Calculations'!$G$8*(1-'Sum of Billing Determinants'!$AC124),0)</f>
        <v>-52759</v>
      </c>
      <c r="K113" s="26">
        <f>ROUND('Sum of Billing Determinants'!L124*-1*'Rate Calculations'!$G$8*(1-'Sum of Billing Determinants'!$AC124),0)</f>
        <v>-45802</v>
      </c>
      <c r="L113" s="26">
        <f>ROUND('Sum of Billing Determinants'!M124*-1*'Rate Calculations'!$G$8*(1-'Sum of Billing Determinants'!$AC124),0)</f>
        <v>-44279</v>
      </c>
      <c r="M113" s="26">
        <f>ROUND('Sum of Billing Determinants'!N124*-1*'Rate Calculations'!$G$8*(1-'Sum of Billing Determinants'!$AC124),0)</f>
        <v>-40745</v>
      </c>
      <c r="N113" s="26">
        <f t="shared" si="1"/>
        <v>-488065</v>
      </c>
    </row>
    <row r="114" spans="2:14" ht="15">
      <c r="B114" s="22">
        <f>'Sum of Billing Determinants'!A125</f>
        <v>10370</v>
      </c>
      <c r="C114" s="22" t="str">
        <f>'Sum of Billing Determinants'!B125</f>
        <v>Tacoma Public Utilities</v>
      </c>
      <c r="D114" s="26">
        <f>ROUND('Sum of Billing Determinants'!E125*-1*'Rate Calculations'!$G$8*(1-'Sum of Billing Determinants'!$AC125),0)</f>
        <v>-494542</v>
      </c>
      <c r="E114" s="26">
        <f>ROUND('Sum of Billing Determinants'!F125*-1*'Rate Calculations'!$G$8*(1-'Sum of Billing Determinants'!$AC125),0)</f>
        <v>-513906</v>
      </c>
      <c r="F114" s="26">
        <f>ROUND('Sum of Billing Determinants'!G125*-1*'Rate Calculations'!$G$8*(1-'Sum of Billing Determinants'!$AC125),0)</f>
        <v>-442028</v>
      </c>
      <c r="G114" s="26">
        <f>ROUND('Sum of Billing Determinants'!H125*-1*'Rate Calculations'!$G$8*(1-'Sum of Billing Determinants'!$AC125),0)</f>
        <v>-482607</v>
      </c>
      <c r="H114" s="26">
        <f>ROUND('Sum of Billing Determinants'!I125*-1*'Rate Calculations'!$G$8*(1-'Sum of Billing Determinants'!$AC125),0)</f>
        <v>-380937</v>
      </c>
      <c r="I114" s="26">
        <f>ROUND('Sum of Billing Determinants'!J125*-1*'Rate Calculations'!$G$8*(1-'Sum of Billing Determinants'!$AC125),0)</f>
        <v>-472603</v>
      </c>
      <c r="J114" s="26">
        <f>ROUND('Sum of Billing Determinants'!K125*-1*'Rate Calculations'!$G$8*(1-'Sum of Billing Determinants'!$AC125),0)</f>
        <v>-482857</v>
      </c>
      <c r="K114" s="26">
        <f>ROUND('Sum of Billing Determinants'!L125*-1*'Rate Calculations'!$G$8*(1-'Sum of Billing Determinants'!$AC125),0)</f>
        <v>-419190</v>
      </c>
      <c r="L114" s="26">
        <f>ROUND('Sum of Billing Determinants'!M125*-1*'Rate Calculations'!$G$8*(1-'Sum of Billing Determinants'!$AC125),0)</f>
        <v>-405245</v>
      </c>
      <c r="M114" s="26">
        <f>ROUND('Sum of Billing Determinants'!N125*-1*'Rate Calculations'!$G$8*(1-'Sum of Billing Determinants'!$AC125),0)</f>
        <v>-372904</v>
      </c>
      <c r="N114" s="26">
        <f t="shared" si="1"/>
        <v>-4466819</v>
      </c>
    </row>
    <row r="115" spans="2:14" ht="15">
      <c r="B115" s="22">
        <f>'Sum of Billing Determinants'!A126</f>
        <v>10371</v>
      </c>
      <c r="C115" s="22" t="str">
        <f>'Sum of Billing Determinants'!B126</f>
        <v>Tanner Elec Coop</v>
      </c>
      <c r="D115" s="26">
        <f>ROUND('Sum of Billing Determinants'!E126*-1*'Rate Calculations'!$G$8*(1-'Sum of Billing Determinants'!$AC126),0)</f>
        <v>-39360</v>
      </c>
      <c r="E115" s="26">
        <f>ROUND('Sum of Billing Determinants'!F126*-1*'Rate Calculations'!$G$8*(1-'Sum of Billing Determinants'!$AC126),0)</f>
        <v>-40901</v>
      </c>
      <c r="F115" s="26">
        <f>ROUND('Sum of Billing Determinants'!G126*-1*'Rate Calculations'!$G$8*(1-'Sum of Billing Determinants'!$AC126),0)</f>
        <v>-35180</v>
      </c>
      <c r="G115" s="26">
        <f>ROUND('Sum of Billing Determinants'!H126*-1*'Rate Calculations'!$G$8*(1-'Sum of Billing Determinants'!$AC126),0)</f>
        <v>-38410</v>
      </c>
      <c r="H115" s="26">
        <f>ROUND('Sum of Billing Determinants'!I126*-1*'Rate Calculations'!$G$8*(1-'Sum of Billing Determinants'!$AC126),0)</f>
        <v>-30318</v>
      </c>
      <c r="I115" s="26">
        <f>ROUND('Sum of Billing Determinants'!J126*-1*'Rate Calculations'!$G$8*(1-'Sum of Billing Determinants'!$AC126),0)</f>
        <v>-37614</v>
      </c>
      <c r="J115" s="26">
        <f>ROUND('Sum of Billing Determinants'!K126*-1*'Rate Calculations'!$G$8*(1-'Sum of Billing Determinants'!$AC126),0)</f>
        <v>-38430</v>
      </c>
      <c r="K115" s="26">
        <f>ROUND('Sum of Billing Determinants'!L126*-1*'Rate Calculations'!$G$8*(1-'Sum of Billing Determinants'!$AC126),0)</f>
        <v>-33363</v>
      </c>
      <c r="L115" s="26">
        <f>ROUND('Sum of Billing Determinants'!M126*-1*'Rate Calculations'!$G$8*(1-'Sum of Billing Determinants'!$AC126),0)</f>
        <v>-32253</v>
      </c>
      <c r="M115" s="26">
        <f>ROUND('Sum of Billing Determinants'!N126*-1*'Rate Calculations'!$G$8*(1-'Sum of Billing Determinants'!$AC126),0)</f>
        <v>-29679</v>
      </c>
      <c r="N115" s="26">
        <f t="shared" si="1"/>
        <v>-355508</v>
      </c>
    </row>
    <row r="116" spans="2:14" ht="15">
      <c r="B116" s="22">
        <f>'Sum of Billing Determinants'!A127</f>
        <v>10376</v>
      </c>
      <c r="C116" s="22" t="str">
        <f>'Sum of Billing Determinants'!B127</f>
        <v>Tillamook PUD #1</v>
      </c>
      <c r="D116" s="26">
        <f>ROUND('Sum of Billing Determinants'!E127*-1*'Rate Calculations'!$G$8*(1-'Sum of Billing Determinants'!$AC127),0)</f>
        <v>-199895</v>
      </c>
      <c r="E116" s="26">
        <f>ROUND('Sum of Billing Determinants'!F127*-1*'Rate Calculations'!$G$8*(1-'Sum of Billing Determinants'!$AC127),0)</f>
        <v>-207722</v>
      </c>
      <c r="F116" s="26">
        <f>ROUND('Sum of Billing Determinants'!G127*-1*'Rate Calculations'!$G$8*(1-'Sum of Billing Determinants'!$AC127),0)</f>
        <v>-178668</v>
      </c>
      <c r="G116" s="26">
        <f>ROUND('Sum of Billing Determinants'!H127*-1*'Rate Calculations'!$G$8*(1-'Sum of Billing Determinants'!$AC127),0)</f>
        <v>-195070</v>
      </c>
      <c r="H116" s="26">
        <f>ROUND('Sum of Billing Determinants'!I127*-1*'Rate Calculations'!$G$8*(1-'Sum of Billing Determinants'!$AC127),0)</f>
        <v>-153975</v>
      </c>
      <c r="I116" s="26">
        <f>ROUND('Sum of Billing Determinants'!J127*-1*'Rate Calculations'!$G$8*(1-'Sum of Billing Determinants'!$AC127),0)</f>
        <v>-191027</v>
      </c>
      <c r="J116" s="26">
        <f>ROUND('Sum of Billing Determinants'!K127*-1*'Rate Calculations'!$G$8*(1-'Sum of Billing Determinants'!$AC127),0)</f>
        <v>-195172</v>
      </c>
      <c r="K116" s="26">
        <f>ROUND('Sum of Billing Determinants'!L127*-1*'Rate Calculations'!$G$8*(1-'Sum of Billing Determinants'!$AC127),0)</f>
        <v>-169437</v>
      </c>
      <c r="L116" s="26">
        <f>ROUND('Sum of Billing Determinants'!M127*-1*'Rate Calculations'!$G$8*(1-'Sum of Billing Determinants'!$AC127),0)</f>
        <v>-163801</v>
      </c>
      <c r="M116" s="26">
        <f>ROUND('Sum of Billing Determinants'!N127*-1*'Rate Calculations'!$G$8*(1-'Sum of Billing Determinants'!$AC127),0)</f>
        <v>-150728</v>
      </c>
      <c r="N116" s="26">
        <f t="shared" si="1"/>
        <v>-1805495</v>
      </c>
    </row>
    <row r="117" spans="2:14" ht="15">
      <c r="B117" s="22">
        <f>'Sum of Billing Determinants'!A128</f>
        <v>10378</v>
      </c>
      <c r="C117" s="22" t="str">
        <f>'Sum of Billing Determinants'!B128</f>
        <v>Coulee Dam, City of</v>
      </c>
      <c r="D117" s="26">
        <f>ROUND('Sum of Billing Determinants'!E128*-1*'Rate Calculations'!$G$8*(1-'Sum of Billing Determinants'!$AC128),0)</f>
        <v>-7210</v>
      </c>
      <c r="E117" s="26">
        <f>ROUND('Sum of Billing Determinants'!F128*-1*'Rate Calculations'!$G$8*(1-'Sum of Billing Determinants'!$AC128),0)</f>
        <v>-7492</v>
      </c>
      <c r="F117" s="26">
        <f>ROUND('Sum of Billing Determinants'!G128*-1*'Rate Calculations'!$G$8*(1-'Sum of Billing Determinants'!$AC128),0)</f>
        <v>-6444</v>
      </c>
      <c r="G117" s="26">
        <f>ROUND('Sum of Billing Determinants'!H128*-1*'Rate Calculations'!$G$8*(1-'Sum of Billing Determinants'!$AC128),0)</f>
        <v>-7036</v>
      </c>
      <c r="H117" s="26">
        <f>ROUND('Sum of Billing Determinants'!I128*-1*'Rate Calculations'!$G$8*(1-'Sum of Billing Determinants'!$AC128),0)</f>
        <v>-5554</v>
      </c>
      <c r="I117" s="26">
        <f>ROUND('Sum of Billing Determinants'!J128*-1*'Rate Calculations'!$G$8*(1-'Sum of Billing Determinants'!$AC128),0)</f>
        <v>-6890</v>
      </c>
      <c r="J117" s="26">
        <f>ROUND('Sum of Billing Determinants'!K128*-1*'Rate Calculations'!$G$8*(1-'Sum of Billing Determinants'!$AC128),0)</f>
        <v>-7039</v>
      </c>
      <c r="K117" s="26">
        <f>ROUND('Sum of Billing Determinants'!L128*-1*'Rate Calculations'!$G$8*(1-'Sum of Billing Determinants'!$AC128),0)</f>
        <v>-6111</v>
      </c>
      <c r="L117" s="26">
        <f>ROUND('Sum of Billing Determinants'!M128*-1*'Rate Calculations'!$G$8*(1-'Sum of Billing Determinants'!$AC128),0)</f>
        <v>-5908</v>
      </c>
      <c r="M117" s="26">
        <f>ROUND('Sum of Billing Determinants'!N128*-1*'Rate Calculations'!$G$8*(1-'Sum of Billing Determinants'!$AC128),0)</f>
        <v>-5436</v>
      </c>
      <c r="N117" s="26">
        <f t="shared" si="1"/>
        <v>-65120</v>
      </c>
    </row>
    <row r="118" spans="2:14" ht="15">
      <c r="B118" s="22">
        <f>'Sum of Billing Determinants'!A129</f>
        <v>10379</v>
      </c>
      <c r="C118" s="22" t="str">
        <f>'Sum of Billing Determinants'!B129</f>
        <v>Steilacoom, Town of</v>
      </c>
      <c r="D118" s="26">
        <f>ROUND('Sum of Billing Determinants'!E129*-1*'Rate Calculations'!$G$8*(1-'Sum of Billing Determinants'!$AC129),0)</f>
        <v>-16375</v>
      </c>
      <c r="E118" s="26">
        <f>ROUND('Sum of Billing Determinants'!F129*-1*'Rate Calculations'!$G$8*(1-'Sum of Billing Determinants'!$AC129),0)</f>
        <v>-17016</v>
      </c>
      <c r="F118" s="26">
        <f>ROUND('Sum of Billing Determinants'!G129*-1*'Rate Calculations'!$G$8*(1-'Sum of Billing Determinants'!$AC129),0)</f>
        <v>-14636</v>
      </c>
      <c r="G118" s="26">
        <f>ROUND('Sum of Billing Determinants'!H129*-1*'Rate Calculations'!$G$8*(1-'Sum of Billing Determinants'!$AC129),0)</f>
        <v>-15980</v>
      </c>
      <c r="H118" s="26">
        <f>ROUND('Sum of Billing Determinants'!I129*-1*'Rate Calculations'!$G$8*(1-'Sum of Billing Determinants'!$AC129),0)</f>
        <v>-12613</v>
      </c>
      <c r="I118" s="26">
        <f>ROUND('Sum of Billing Determinants'!J129*-1*'Rate Calculations'!$G$8*(1-'Sum of Billing Determinants'!$AC129),0)</f>
        <v>-15649</v>
      </c>
      <c r="J118" s="26">
        <f>ROUND('Sum of Billing Determinants'!K129*-1*'Rate Calculations'!$G$8*(1-'Sum of Billing Determinants'!$AC129),0)</f>
        <v>-15988</v>
      </c>
      <c r="K118" s="26">
        <f>ROUND('Sum of Billing Determinants'!L129*-1*'Rate Calculations'!$G$8*(1-'Sum of Billing Determinants'!$AC129),0)</f>
        <v>-13880</v>
      </c>
      <c r="L118" s="26">
        <f>ROUND('Sum of Billing Determinants'!M129*-1*'Rate Calculations'!$G$8*(1-'Sum of Billing Determinants'!$AC129),0)</f>
        <v>-13418</v>
      </c>
      <c r="M118" s="26">
        <f>ROUND('Sum of Billing Determinants'!N129*-1*'Rate Calculations'!$G$8*(1-'Sum of Billing Determinants'!$AC129),0)</f>
        <v>-12347</v>
      </c>
      <c r="N118" s="26">
        <f t="shared" si="1"/>
        <v>-147902</v>
      </c>
    </row>
    <row r="119" spans="2:14" ht="15">
      <c r="B119" s="22">
        <f>'Sum of Billing Determinants'!A130</f>
        <v>10388</v>
      </c>
      <c r="C119" s="22" t="str">
        <f>'Sum of Billing Determinants'!B130</f>
        <v>Umatilla Elec Coop</v>
      </c>
      <c r="D119" s="26">
        <f>ROUND('Sum of Billing Determinants'!E130*-1*'Rate Calculations'!$G$8*(1-'Sum of Billing Determinants'!$AC130),0)</f>
        <v>-376249</v>
      </c>
      <c r="E119" s="26">
        <f>ROUND('Sum of Billing Determinants'!F130*-1*'Rate Calculations'!$G$8*(1-'Sum of Billing Determinants'!$AC130),0)</f>
        <v>-390981</v>
      </c>
      <c r="F119" s="26">
        <f>ROUND('Sum of Billing Determinants'!G130*-1*'Rate Calculations'!$G$8*(1-'Sum of Billing Determinants'!$AC130),0)</f>
        <v>-336296</v>
      </c>
      <c r="G119" s="26">
        <f>ROUND('Sum of Billing Determinants'!H130*-1*'Rate Calculations'!$G$8*(1-'Sum of Billing Determinants'!$AC130),0)</f>
        <v>-367168</v>
      </c>
      <c r="H119" s="26">
        <f>ROUND('Sum of Billing Determinants'!I130*-1*'Rate Calculations'!$G$8*(1-'Sum of Billing Determinants'!$AC130),0)</f>
        <v>-289818</v>
      </c>
      <c r="I119" s="26">
        <f>ROUND('Sum of Billing Determinants'!J130*-1*'Rate Calculations'!$G$8*(1-'Sum of Billing Determinants'!$AC130),0)</f>
        <v>-359558</v>
      </c>
      <c r="J119" s="26">
        <f>ROUND('Sum of Billing Determinants'!K130*-1*'Rate Calculations'!$G$8*(1-'Sum of Billing Determinants'!$AC130),0)</f>
        <v>-367359</v>
      </c>
      <c r="K119" s="26">
        <f>ROUND('Sum of Billing Determinants'!L130*-1*'Rate Calculations'!$G$8*(1-'Sum of Billing Determinants'!$AC130),0)</f>
        <v>-318921</v>
      </c>
      <c r="L119" s="26">
        <f>ROUND('Sum of Billing Determinants'!M130*-1*'Rate Calculations'!$G$8*(1-'Sum of Billing Determinants'!$AC130),0)</f>
        <v>-308311</v>
      </c>
      <c r="M119" s="26">
        <f>ROUND('Sum of Billing Determinants'!N130*-1*'Rate Calculations'!$G$8*(1-'Sum of Billing Determinants'!$AC130),0)</f>
        <v>-283706</v>
      </c>
      <c r="N119" s="26">
        <f t="shared" si="1"/>
        <v>-3398367</v>
      </c>
    </row>
    <row r="120" spans="2:14" ht="15">
      <c r="B120" s="22">
        <f>'Sum of Billing Determinants'!A131</f>
        <v>10391</v>
      </c>
      <c r="C120" s="22" t="str">
        <f>'Sum of Billing Determinants'!B131</f>
        <v>United Electric Coop</v>
      </c>
      <c r="D120" s="26">
        <f>ROUND('Sum of Billing Determinants'!E131*-1*'Rate Calculations'!$G$8*(1-'Sum of Billing Determinants'!$AC131),0)</f>
        <v>-102877</v>
      </c>
      <c r="E120" s="26">
        <f>ROUND('Sum of Billing Determinants'!F131*-1*'Rate Calculations'!$G$8*(1-'Sum of Billing Determinants'!$AC131),0)</f>
        <v>-106905</v>
      </c>
      <c r="F120" s="26">
        <f>ROUND('Sum of Billing Determinants'!G131*-1*'Rate Calculations'!$G$8*(1-'Sum of Billing Determinants'!$AC131),0)</f>
        <v>-91952</v>
      </c>
      <c r="G120" s="26">
        <f>ROUND('Sum of Billing Determinants'!H131*-1*'Rate Calculations'!$G$8*(1-'Sum of Billing Determinants'!$AC131),0)</f>
        <v>-100394</v>
      </c>
      <c r="H120" s="26">
        <f>ROUND('Sum of Billing Determinants'!I131*-1*'Rate Calculations'!$G$8*(1-'Sum of Billing Determinants'!$AC131),0)</f>
        <v>-79244</v>
      </c>
      <c r="I120" s="26">
        <f>ROUND('Sum of Billing Determinants'!J131*-1*'Rate Calculations'!$G$8*(1-'Sum of Billing Determinants'!$AC131),0)</f>
        <v>-98313</v>
      </c>
      <c r="J120" s="26">
        <f>ROUND('Sum of Billing Determinants'!K131*-1*'Rate Calculations'!$G$8*(1-'Sum of Billing Determinants'!$AC131),0)</f>
        <v>-100446</v>
      </c>
      <c r="K120" s="26">
        <f>ROUND('Sum of Billing Determinants'!L131*-1*'Rate Calculations'!$G$8*(1-'Sum of Billing Determinants'!$AC131),0)</f>
        <v>-87202</v>
      </c>
      <c r="L120" s="26">
        <f>ROUND('Sum of Billing Determinants'!M131*-1*'Rate Calculations'!$G$8*(1-'Sum of Billing Determinants'!$AC131),0)</f>
        <v>-84301</v>
      </c>
      <c r="M120" s="26">
        <f>ROUND('Sum of Billing Determinants'!N131*-1*'Rate Calculations'!$G$8*(1-'Sum of Billing Determinants'!$AC131),0)</f>
        <v>-77573</v>
      </c>
      <c r="N120" s="26">
        <f t="shared" si="1"/>
        <v>-929207</v>
      </c>
    </row>
    <row r="121" spans="2:14" ht="15">
      <c r="B121" s="22">
        <f>'Sum of Billing Determinants'!A132</f>
        <v>10406</v>
      </c>
      <c r="C121" s="22" t="str">
        <f>'Sum of Billing Determinants'!B132</f>
        <v>U.S. DOE Albany Research Center</v>
      </c>
      <c r="D121" s="26">
        <f>ROUND('Sum of Billing Determinants'!E132*-1*'Rate Calculations'!$G$8*(1-'Sum of Billing Determinants'!$AC132),0)</f>
        <v>-1633</v>
      </c>
      <c r="E121" s="26">
        <f>ROUND('Sum of Billing Determinants'!F132*-1*'Rate Calculations'!$G$8*(1-'Sum of Billing Determinants'!$AC132),0)</f>
        <v>-1697</v>
      </c>
      <c r="F121" s="26">
        <f>ROUND('Sum of Billing Determinants'!G132*-1*'Rate Calculations'!$G$8*(1-'Sum of Billing Determinants'!$AC132),0)</f>
        <v>-1460</v>
      </c>
      <c r="G121" s="26">
        <f>ROUND('Sum of Billing Determinants'!H132*-1*'Rate Calculations'!$G$8*(1-'Sum of Billing Determinants'!$AC132),0)</f>
        <v>-1594</v>
      </c>
      <c r="H121" s="26">
        <f>ROUND('Sum of Billing Determinants'!I132*-1*'Rate Calculations'!$G$8*(1-'Sum of Billing Determinants'!$AC132),0)</f>
        <v>-1258</v>
      </c>
      <c r="I121" s="26">
        <f>ROUND('Sum of Billing Determinants'!J132*-1*'Rate Calculations'!$G$8*(1-'Sum of Billing Determinants'!$AC132),0)</f>
        <v>-1561</v>
      </c>
      <c r="J121" s="26">
        <f>ROUND('Sum of Billing Determinants'!K132*-1*'Rate Calculations'!$G$8*(1-'Sum of Billing Determinants'!$AC132),0)</f>
        <v>-1594</v>
      </c>
      <c r="K121" s="26">
        <f>ROUND('Sum of Billing Determinants'!L132*-1*'Rate Calculations'!$G$8*(1-'Sum of Billing Determinants'!$AC132),0)</f>
        <v>-1384</v>
      </c>
      <c r="L121" s="26">
        <f>ROUND('Sum of Billing Determinants'!M132*-1*'Rate Calculations'!$G$8*(1-'Sum of Billing Determinants'!$AC132),0)</f>
        <v>-1338</v>
      </c>
      <c r="M121" s="26">
        <f>ROUND('Sum of Billing Determinants'!N132*-1*'Rate Calculations'!$G$8*(1-'Sum of Billing Determinants'!$AC132),0)</f>
        <v>-1231</v>
      </c>
      <c r="N121" s="26">
        <f t="shared" si="1"/>
        <v>-14750</v>
      </c>
    </row>
    <row r="122" spans="2:14" ht="15">
      <c r="B122" s="22">
        <f>'Sum of Billing Determinants'!A133</f>
        <v>10408</v>
      </c>
      <c r="C122" s="22" t="str">
        <f>'Sum of Billing Determinants'!B133</f>
        <v>U.S. Naval Station, Everett (Jim Creek)</v>
      </c>
      <c r="D122" s="26">
        <f>ROUND('Sum of Billing Determinants'!E133*-1*'Rate Calculations'!$G$8*(1-'Sum of Billing Determinants'!$AC133),0)</f>
        <v>-5448</v>
      </c>
      <c r="E122" s="26">
        <f>ROUND('Sum of Billing Determinants'!F133*-1*'Rate Calculations'!$G$8*(1-'Sum of Billing Determinants'!$AC133),0)</f>
        <v>-5662</v>
      </c>
      <c r="F122" s="26">
        <f>ROUND('Sum of Billing Determinants'!G133*-1*'Rate Calculations'!$G$8*(1-'Sum of Billing Determinants'!$AC133),0)</f>
        <v>-4870</v>
      </c>
      <c r="G122" s="26">
        <f>ROUND('Sum of Billing Determinants'!H133*-1*'Rate Calculations'!$G$8*(1-'Sum of Billing Determinants'!$AC133),0)</f>
        <v>-5317</v>
      </c>
      <c r="H122" s="26">
        <f>ROUND('Sum of Billing Determinants'!I133*-1*'Rate Calculations'!$G$8*(1-'Sum of Billing Determinants'!$AC133),0)</f>
        <v>-4197</v>
      </c>
      <c r="I122" s="26">
        <f>ROUND('Sum of Billing Determinants'!J133*-1*'Rate Calculations'!$G$8*(1-'Sum of Billing Determinants'!$AC133),0)</f>
        <v>-5207</v>
      </c>
      <c r="J122" s="26">
        <f>ROUND('Sum of Billing Determinants'!K133*-1*'Rate Calculations'!$G$8*(1-'Sum of Billing Determinants'!$AC133),0)</f>
        <v>-5320</v>
      </c>
      <c r="K122" s="26">
        <f>ROUND('Sum of Billing Determinants'!L133*-1*'Rate Calculations'!$G$8*(1-'Sum of Billing Determinants'!$AC133),0)</f>
        <v>-4618</v>
      </c>
      <c r="L122" s="26">
        <f>ROUND('Sum of Billing Determinants'!M133*-1*'Rate Calculations'!$G$8*(1-'Sum of Billing Determinants'!$AC133),0)</f>
        <v>-4464</v>
      </c>
      <c r="M122" s="26">
        <f>ROUND('Sum of Billing Determinants'!N133*-1*'Rate Calculations'!$G$8*(1-'Sum of Billing Determinants'!$AC133),0)</f>
        <v>-4108</v>
      </c>
      <c r="N122" s="26">
        <f t="shared" si="1"/>
        <v>-49211</v>
      </c>
    </row>
    <row r="123" spans="2:14" ht="15">
      <c r="B123" s="22">
        <f>'Sum of Billing Determinants'!A134</f>
        <v>10409</v>
      </c>
      <c r="C123" s="22" t="str">
        <f>'Sum of Billing Determinants'!B134</f>
        <v>U.S. Naval Submarine Base, Bangor</v>
      </c>
      <c r="D123" s="26">
        <f>ROUND('Sum of Billing Determinants'!E134*-1*'Rate Calculations'!$G$8*(1-'Sum of Billing Determinants'!$AC134),0)</f>
        <v>-72856</v>
      </c>
      <c r="E123" s="26">
        <f>ROUND('Sum of Billing Determinants'!F134*-1*'Rate Calculations'!$G$8*(1-'Sum of Billing Determinants'!$AC134),0)</f>
        <v>-75709</v>
      </c>
      <c r="F123" s="26">
        <f>ROUND('Sum of Billing Determinants'!G134*-1*'Rate Calculations'!$G$8*(1-'Sum of Billing Determinants'!$AC134),0)</f>
        <v>-65120</v>
      </c>
      <c r="G123" s="26">
        <f>ROUND('Sum of Billing Determinants'!H134*-1*'Rate Calculations'!$G$8*(1-'Sum of Billing Determinants'!$AC134),0)</f>
        <v>-71098</v>
      </c>
      <c r="H123" s="26">
        <f>ROUND('Sum of Billing Determinants'!I134*-1*'Rate Calculations'!$G$8*(1-'Sum of Billing Determinants'!$AC134),0)</f>
        <v>-56120</v>
      </c>
      <c r="I123" s="26">
        <f>ROUND('Sum of Billing Determinants'!J134*-1*'Rate Calculations'!$G$8*(1-'Sum of Billing Determinants'!$AC134),0)</f>
        <v>-69624</v>
      </c>
      <c r="J123" s="26">
        <f>ROUND('Sum of Billing Determinants'!K134*-1*'Rate Calculations'!$G$8*(1-'Sum of Billing Determinants'!$AC134),0)</f>
        <v>-71135</v>
      </c>
      <c r="K123" s="26">
        <f>ROUND('Sum of Billing Determinants'!L134*-1*'Rate Calculations'!$G$8*(1-'Sum of Billing Determinants'!$AC134),0)</f>
        <v>-61755</v>
      </c>
      <c r="L123" s="26">
        <f>ROUND('Sum of Billing Determinants'!M134*-1*'Rate Calculations'!$G$8*(1-'Sum of Billing Determinants'!$AC134),0)</f>
        <v>-59701</v>
      </c>
      <c r="M123" s="26">
        <f>ROUND('Sum of Billing Determinants'!N134*-1*'Rate Calculations'!$G$8*(1-'Sum of Billing Determinants'!$AC134),0)</f>
        <v>-54936</v>
      </c>
      <c r="N123" s="26">
        <f t="shared" si="1"/>
        <v>-658054</v>
      </c>
    </row>
    <row r="124" spans="2:14" ht="15">
      <c r="B124" s="22">
        <f>'Sum of Billing Determinants'!A135</f>
        <v>10426</v>
      </c>
      <c r="C124" s="22" t="str">
        <f>'Sum of Billing Determinants'!B135</f>
        <v>U.S. DOE Richland Operations Office</v>
      </c>
      <c r="D124" s="26">
        <f>ROUND('Sum of Billing Determinants'!E135*-1*'Rate Calculations'!$G$8*(1-'Sum of Billing Determinants'!$AC135),0)</f>
        <v>-113083</v>
      </c>
      <c r="E124" s="26">
        <f>ROUND('Sum of Billing Determinants'!F135*-1*'Rate Calculations'!$G$8*(1-'Sum of Billing Determinants'!$AC135),0)</f>
        <v>-117511</v>
      </c>
      <c r="F124" s="26">
        <f>ROUND('Sum of Billing Determinants'!G135*-1*'Rate Calculations'!$G$8*(1-'Sum of Billing Determinants'!$AC135),0)</f>
        <v>-101075</v>
      </c>
      <c r="G124" s="26">
        <f>ROUND('Sum of Billing Determinants'!H135*-1*'Rate Calculations'!$G$8*(1-'Sum of Billing Determinants'!$AC135),0)</f>
        <v>-110354</v>
      </c>
      <c r="H124" s="26">
        <f>ROUND('Sum of Billing Determinants'!I135*-1*'Rate Calculations'!$G$8*(1-'Sum of Billing Determinants'!$AC135),0)</f>
        <v>-87106</v>
      </c>
      <c r="I124" s="26">
        <f>ROUND('Sum of Billing Determinants'!J135*-1*'Rate Calculations'!$G$8*(1-'Sum of Billing Determinants'!$AC135),0)</f>
        <v>-108066</v>
      </c>
      <c r="J124" s="26">
        <f>ROUND('Sum of Billing Determinants'!K135*-1*'Rate Calculations'!$G$8*(1-'Sum of Billing Determinants'!$AC135),0)</f>
        <v>-110411</v>
      </c>
      <c r="K124" s="26">
        <f>ROUND('Sum of Billing Determinants'!L135*-1*'Rate Calculations'!$G$8*(1-'Sum of Billing Determinants'!$AC135),0)</f>
        <v>-95853</v>
      </c>
      <c r="L124" s="26">
        <f>ROUND('Sum of Billing Determinants'!M135*-1*'Rate Calculations'!$G$8*(1-'Sum of Billing Determinants'!$AC135),0)</f>
        <v>-92664</v>
      </c>
      <c r="M124" s="26">
        <f>ROUND('Sum of Billing Determinants'!N135*-1*'Rate Calculations'!$G$8*(1-'Sum of Billing Determinants'!$AC135),0)</f>
        <v>-85269</v>
      </c>
      <c r="N124" s="26">
        <f t="shared" si="1"/>
        <v>-1021392</v>
      </c>
    </row>
    <row r="125" spans="2:14" ht="15">
      <c r="B125" s="22">
        <f>'Sum of Billing Determinants'!A136</f>
        <v>10434</v>
      </c>
      <c r="C125" s="22" t="str">
        <f>'Sum of Billing Determinants'!B136</f>
        <v>Vera Irrigation District</v>
      </c>
      <c r="D125" s="26">
        <f>ROUND('Sum of Billing Determinants'!E136*-1*'Rate Calculations'!$G$8*(1-'Sum of Billing Determinants'!$AC136),0)</f>
        <v>-96889</v>
      </c>
      <c r="E125" s="26">
        <f>ROUND('Sum of Billing Determinants'!F136*-1*'Rate Calculations'!$G$8*(1-'Sum of Billing Determinants'!$AC136),0)</f>
        <v>-100683</v>
      </c>
      <c r="F125" s="26">
        <f>ROUND('Sum of Billing Determinants'!G136*-1*'Rate Calculations'!$G$8*(1-'Sum of Billing Determinants'!$AC136),0)</f>
        <v>-86601</v>
      </c>
      <c r="G125" s="26">
        <f>ROUND('Sum of Billing Determinants'!H136*-1*'Rate Calculations'!$G$8*(1-'Sum of Billing Determinants'!$AC136),0)</f>
        <v>-94551</v>
      </c>
      <c r="H125" s="26">
        <f>ROUND('Sum of Billing Determinants'!I136*-1*'Rate Calculations'!$G$8*(1-'Sum of Billing Determinants'!$AC136),0)</f>
        <v>-74632</v>
      </c>
      <c r="I125" s="26">
        <f>ROUND('Sum of Billing Determinants'!J136*-1*'Rate Calculations'!$G$8*(1-'Sum of Billing Determinants'!$AC136),0)</f>
        <v>-92591</v>
      </c>
      <c r="J125" s="26">
        <f>ROUND('Sum of Billing Determinants'!K136*-1*'Rate Calculations'!$G$8*(1-'Sum of Billing Determinants'!$AC136),0)</f>
        <v>-94600</v>
      </c>
      <c r="K125" s="26">
        <f>ROUND('Sum of Billing Determinants'!L136*-1*'Rate Calculations'!$G$8*(1-'Sum of Billing Determinants'!$AC136),0)</f>
        <v>-82127</v>
      </c>
      <c r="L125" s="26">
        <f>ROUND('Sum of Billing Determinants'!M136*-1*'Rate Calculations'!$G$8*(1-'Sum of Billing Determinants'!$AC136),0)</f>
        <v>-79395</v>
      </c>
      <c r="M125" s="26">
        <f>ROUND('Sum of Billing Determinants'!N136*-1*'Rate Calculations'!$G$8*(1-'Sum of Billing Determinants'!$AC136),0)</f>
        <v>-73058</v>
      </c>
      <c r="N125" s="26">
        <f t="shared" si="1"/>
        <v>-875127</v>
      </c>
    </row>
    <row r="126" spans="2:14" ht="15">
      <c r="B126" s="22">
        <f>'Sum of Billing Determinants'!A137</f>
        <v>10436</v>
      </c>
      <c r="C126" s="22" t="str">
        <f>'Sum of Billing Determinants'!B137</f>
        <v>Vigilante Elec Coop</v>
      </c>
      <c r="D126" s="26">
        <f>ROUND('Sum of Billing Determinants'!E137*-1*'Rate Calculations'!$G$8*(1-'Sum of Billing Determinants'!$AC137),0)</f>
        <v>-62112</v>
      </c>
      <c r="E126" s="26">
        <f>ROUND('Sum of Billing Determinants'!F137*-1*'Rate Calculations'!$G$8*(1-'Sum of Billing Determinants'!$AC137),0)</f>
        <v>-64544</v>
      </c>
      <c r="F126" s="26">
        <f>ROUND('Sum of Billing Determinants'!G137*-1*'Rate Calculations'!$G$8*(1-'Sum of Billing Determinants'!$AC137),0)</f>
        <v>-55516</v>
      </c>
      <c r="G126" s="26">
        <f>ROUND('Sum of Billing Determinants'!H137*-1*'Rate Calculations'!$G$8*(1-'Sum of Billing Determinants'!$AC137),0)</f>
        <v>-60613</v>
      </c>
      <c r="H126" s="26">
        <f>ROUND('Sum of Billing Determinants'!I137*-1*'Rate Calculations'!$G$8*(1-'Sum of Billing Determinants'!$AC137),0)</f>
        <v>-47844</v>
      </c>
      <c r="I126" s="26">
        <f>ROUND('Sum of Billing Determinants'!J137*-1*'Rate Calculations'!$G$8*(1-'Sum of Billing Determinants'!$AC137),0)</f>
        <v>-59357</v>
      </c>
      <c r="J126" s="26">
        <f>ROUND('Sum of Billing Determinants'!K137*-1*'Rate Calculations'!$G$8*(1-'Sum of Billing Determinants'!$AC137),0)</f>
        <v>-60644</v>
      </c>
      <c r="K126" s="26">
        <f>ROUND('Sum of Billing Determinants'!L137*-1*'Rate Calculations'!$G$8*(1-'Sum of Billing Determinants'!$AC137),0)</f>
        <v>-52648</v>
      </c>
      <c r="L126" s="26">
        <f>ROUND('Sum of Billing Determinants'!M137*-1*'Rate Calculations'!$G$8*(1-'Sum of Billing Determinants'!$AC137),0)</f>
        <v>-50897</v>
      </c>
      <c r="M126" s="26">
        <f>ROUND('Sum of Billing Determinants'!N137*-1*'Rate Calculations'!$G$8*(1-'Sum of Billing Determinants'!$AC137),0)</f>
        <v>-46835</v>
      </c>
      <c r="N126" s="26">
        <f t="shared" si="1"/>
        <v>-561010</v>
      </c>
    </row>
    <row r="127" spans="2:14" ht="15">
      <c r="B127" s="22">
        <f>'Sum of Billing Determinants'!A138</f>
        <v>10440</v>
      </c>
      <c r="C127" s="22" t="str">
        <f>'Sum of Billing Determinants'!B138</f>
        <v>Wahkiakum County PUD #1</v>
      </c>
      <c r="D127" s="26">
        <f>ROUND('Sum of Billing Determinants'!E138*-1*'Rate Calculations'!$G$8*(1-'Sum of Billing Determinants'!$AC138),0)</f>
        <v>-16826</v>
      </c>
      <c r="E127" s="26">
        <f>ROUND('Sum of Billing Determinants'!F138*-1*'Rate Calculations'!$G$8*(1-'Sum of Billing Determinants'!$AC138),0)</f>
        <v>-17485</v>
      </c>
      <c r="F127" s="26">
        <f>ROUND('Sum of Billing Determinants'!G138*-1*'Rate Calculations'!$G$8*(1-'Sum of Billing Determinants'!$AC138),0)</f>
        <v>-15040</v>
      </c>
      <c r="G127" s="26">
        <f>ROUND('Sum of Billing Determinants'!H138*-1*'Rate Calculations'!$G$8*(1-'Sum of Billing Determinants'!$AC138),0)</f>
        <v>-16420</v>
      </c>
      <c r="H127" s="26">
        <f>ROUND('Sum of Billing Determinants'!I138*-1*'Rate Calculations'!$G$8*(1-'Sum of Billing Determinants'!$AC138),0)</f>
        <v>-12961</v>
      </c>
      <c r="I127" s="26">
        <f>ROUND('Sum of Billing Determinants'!J138*-1*'Rate Calculations'!$G$8*(1-'Sum of Billing Determinants'!$AC138),0)</f>
        <v>-16080</v>
      </c>
      <c r="J127" s="26">
        <f>ROUND('Sum of Billing Determinants'!K138*-1*'Rate Calculations'!$G$8*(1-'Sum of Billing Determinants'!$AC138),0)</f>
        <v>-16429</v>
      </c>
      <c r="K127" s="26">
        <f>ROUND('Sum of Billing Determinants'!L138*-1*'Rate Calculations'!$G$8*(1-'Sum of Billing Determinants'!$AC138),0)</f>
        <v>-14262</v>
      </c>
      <c r="L127" s="26">
        <f>ROUND('Sum of Billing Determinants'!M138*-1*'Rate Calculations'!$G$8*(1-'Sum of Billing Determinants'!$AC138),0)</f>
        <v>-13788</v>
      </c>
      <c r="M127" s="26">
        <f>ROUND('Sum of Billing Determinants'!N138*-1*'Rate Calculations'!$G$8*(1-'Sum of Billing Determinants'!$AC138),0)</f>
        <v>-12688</v>
      </c>
      <c r="N127" s="26">
        <f t="shared" si="1"/>
        <v>-151979</v>
      </c>
    </row>
    <row r="128" spans="2:14" ht="15">
      <c r="B128" s="22">
        <f>'Sum of Billing Determinants'!A139</f>
        <v>10442</v>
      </c>
      <c r="C128" s="22" t="str">
        <f>'Sum of Billing Determinants'!B139</f>
        <v>Wasco Elec Coop</v>
      </c>
      <c r="D128" s="26">
        <f>ROUND('Sum of Billing Determinants'!E139*-1*'Rate Calculations'!$G$8*(1-'Sum of Billing Determinants'!$AC139),0)</f>
        <v>-41756</v>
      </c>
      <c r="E128" s="26">
        <f>ROUND('Sum of Billing Determinants'!F139*-1*'Rate Calculations'!$G$8*(1-'Sum of Billing Determinants'!$AC139),0)</f>
        <v>-43391</v>
      </c>
      <c r="F128" s="26">
        <f>ROUND('Sum of Billing Determinants'!G139*-1*'Rate Calculations'!$G$8*(1-'Sum of Billing Determinants'!$AC139),0)</f>
        <v>-37322</v>
      </c>
      <c r="G128" s="26">
        <f>ROUND('Sum of Billing Determinants'!H139*-1*'Rate Calculations'!$G$8*(1-'Sum of Billing Determinants'!$AC139),0)</f>
        <v>-40748</v>
      </c>
      <c r="H128" s="26">
        <f>ROUND('Sum of Billing Determinants'!I139*-1*'Rate Calculations'!$G$8*(1-'Sum of Billing Determinants'!$AC139),0)</f>
        <v>-32164</v>
      </c>
      <c r="I128" s="26">
        <f>ROUND('Sum of Billing Determinants'!J139*-1*'Rate Calculations'!$G$8*(1-'Sum of Billing Determinants'!$AC139),0)</f>
        <v>-39904</v>
      </c>
      <c r="J128" s="26">
        <f>ROUND('Sum of Billing Determinants'!K139*-1*'Rate Calculations'!$G$8*(1-'Sum of Billing Determinants'!$AC139),0)</f>
        <v>-40769</v>
      </c>
      <c r="K128" s="26">
        <f>ROUND('Sum of Billing Determinants'!L139*-1*'Rate Calculations'!$G$8*(1-'Sum of Billing Determinants'!$AC139),0)</f>
        <v>-35394</v>
      </c>
      <c r="L128" s="26">
        <f>ROUND('Sum of Billing Determinants'!M139*-1*'Rate Calculations'!$G$8*(1-'Sum of Billing Determinants'!$AC139),0)</f>
        <v>-34216</v>
      </c>
      <c r="M128" s="26">
        <f>ROUND('Sum of Billing Determinants'!N139*-1*'Rate Calculations'!$G$8*(1-'Sum of Billing Determinants'!$AC139),0)</f>
        <v>-31486</v>
      </c>
      <c r="N128" s="26">
        <f t="shared" si="1"/>
        <v>-377150</v>
      </c>
    </row>
    <row r="129" spans="2:14" ht="15">
      <c r="B129" s="22">
        <f>'Sum of Billing Determinants'!A140</f>
        <v>10446</v>
      </c>
      <c r="C129" s="22" t="str">
        <f>'Sum of Billing Determinants'!B140</f>
        <v>Wells Rural Elec Coop</v>
      </c>
      <c r="D129" s="26">
        <f>ROUND('Sum of Billing Determinants'!E140*-1*'Rate Calculations'!$G$8*(1-'Sum of Billing Determinants'!$AC140),0)</f>
        <v>-319187</v>
      </c>
      <c r="E129" s="26">
        <f>ROUND('Sum of Billing Determinants'!F140*-1*'Rate Calculations'!$G$8*(1-'Sum of Billing Determinants'!$AC140),0)</f>
        <v>-331685</v>
      </c>
      <c r="F129" s="26">
        <f>ROUND('Sum of Billing Determinants'!G140*-1*'Rate Calculations'!$G$8*(1-'Sum of Billing Determinants'!$AC140),0)</f>
        <v>-285293</v>
      </c>
      <c r="G129" s="26">
        <f>ROUND('Sum of Billing Determinants'!H140*-1*'Rate Calculations'!$G$8*(1-'Sum of Billing Determinants'!$AC140),0)</f>
        <v>-311483</v>
      </c>
      <c r="H129" s="26">
        <f>ROUND('Sum of Billing Determinants'!I140*-1*'Rate Calculations'!$G$8*(1-'Sum of Billing Determinants'!$AC140),0)</f>
        <v>-245864</v>
      </c>
      <c r="I129" s="26">
        <f>ROUND('Sum of Billing Determinants'!J140*-1*'Rate Calculations'!$G$8*(1-'Sum of Billing Determinants'!$AC140),0)</f>
        <v>-305027</v>
      </c>
      <c r="J129" s="26">
        <f>ROUND('Sum of Billing Determinants'!K140*-1*'Rate Calculations'!$G$8*(1-'Sum of Billing Determinants'!$AC140),0)</f>
        <v>-311645</v>
      </c>
      <c r="K129" s="26">
        <f>ROUND('Sum of Billing Determinants'!L140*-1*'Rate Calculations'!$G$8*(1-'Sum of Billing Determinants'!$AC140),0)</f>
        <v>-270553</v>
      </c>
      <c r="L129" s="26">
        <f>ROUND('Sum of Billing Determinants'!M140*-1*'Rate Calculations'!$G$8*(1-'Sum of Billing Determinants'!$AC140),0)</f>
        <v>-261553</v>
      </c>
      <c r="M129" s="26">
        <f>ROUND('Sum of Billing Determinants'!N140*-1*'Rate Calculations'!$G$8*(1-'Sum of Billing Determinants'!$AC140),0)</f>
        <v>-240679</v>
      </c>
      <c r="N129" s="26">
        <f t="shared" si="1"/>
        <v>-2882969</v>
      </c>
    </row>
    <row r="130" spans="2:14" ht="15">
      <c r="B130" s="22">
        <f>'Sum of Billing Determinants'!A141</f>
        <v>10448</v>
      </c>
      <c r="C130" s="22" t="str">
        <f>'Sum of Billing Determinants'!B141</f>
        <v>West Oregon Elec Coop</v>
      </c>
      <c r="D130" s="26">
        <f>ROUND('Sum of Billing Determinants'!E141*-1*'Rate Calculations'!$G$8*(1-'Sum of Billing Determinants'!$AC141),0)</f>
        <v>-27343</v>
      </c>
      <c r="E130" s="26">
        <f>ROUND('Sum of Billing Determinants'!F141*-1*'Rate Calculations'!$G$8*(1-'Sum of Billing Determinants'!$AC141),0)</f>
        <v>-28414</v>
      </c>
      <c r="F130" s="26">
        <f>ROUND('Sum of Billing Determinants'!G141*-1*'Rate Calculations'!$G$8*(1-'Sum of Billing Determinants'!$AC141),0)</f>
        <v>-24439</v>
      </c>
      <c r="G130" s="26">
        <f>ROUND('Sum of Billing Determinants'!H141*-1*'Rate Calculations'!$G$8*(1-'Sum of Billing Determinants'!$AC141),0)</f>
        <v>-26683</v>
      </c>
      <c r="H130" s="26">
        <f>ROUND('Sum of Billing Determinants'!I141*-1*'Rate Calculations'!$G$8*(1-'Sum of Billing Determinants'!$AC141),0)</f>
        <v>-21062</v>
      </c>
      <c r="I130" s="26">
        <f>ROUND('Sum of Billing Determinants'!J141*-1*'Rate Calculations'!$G$8*(1-'Sum of Billing Determinants'!$AC141),0)</f>
        <v>-26130</v>
      </c>
      <c r="J130" s="26">
        <f>ROUND('Sum of Billing Determinants'!K141*-1*'Rate Calculations'!$G$8*(1-'Sum of Billing Determinants'!$AC141),0)</f>
        <v>-26697</v>
      </c>
      <c r="K130" s="26">
        <f>ROUND('Sum of Billing Determinants'!L141*-1*'Rate Calculations'!$G$8*(1-'Sum of Billing Determinants'!$AC141),0)</f>
        <v>-23177</v>
      </c>
      <c r="L130" s="26">
        <f>ROUND('Sum of Billing Determinants'!M141*-1*'Rate Calculations'!$G$8*(1-'Sum of Billing Determinants'!$AC141),0)</f>
        <v>-22406</v>
      </c>
      <c r="M130" s="26">
        <f>ROUND('Sum of Billing Determinants'!N141*-1*'Rate Calculations'!$G$8*(1-'Sum of Billing Determinants'!$AC141),0)</f>
        <v>-20618</v>
      </c>
      <c r="N130" s="26">
        <f t="shared" si="1"/>
        <v>-246969</v>
      </c>
    </row>
    <row r="131" spans="2:14" ht="15">
      <c r="B131" s="22">
        <f>'Sum of Billing Determinants'!A142</f>
        <v>10451</v>
      </c>
      <c r="C131" s="22" t="str">
        <f>'Sum of Billing Determinants'!B142</f>
        <v>Whatcom County PUD #1</v>
      </c>
      <c r="D131" s="26">
        <f>ROUND('Sum of Billing Determinants'!E142*-1*'Rate Calculations'!$G$8*(1-'Sum of Billing Determinants'!$AC142),0)</f>
        <v>-93623</v>
      </c>
      <c r="E131" s="26">
        <f>ROUND('Sum of Billing Determinants'!F142*-1*'Rate Calculations'!$G$8*(1-'Sum of Billing Determinants'!$AC142),0)</f>
        <v>-97289</v>
      </c>
      <c r="F131" s="26">
        <f>ROUND('Sum of Billing Determinants'!G142*-1*'Rate Calculations'!$G$8*(1-'Sum of Billing Determinants'!$AC142),0)</f>
        <v>-83682</v>
      </c>
      <c r="G131" s="26">
        <f>ROUND('Sum of Billing Determinants'!H142*-1*'Rate Calculations'!$G$8*(1-'Sum of Billing Determinants'!$AC142),0)</f>
        <v>-91364</v>
      </c>
      <c r="H131" s="26">
        <f>ROUND('Sum of Billing Determinants'!I142*-1*'Rate Calculations'!$G$8*(1-'Sum of Billing Determinants'!$AC142),0)</f>
        <v>-72116</v>
      </c>
      <c r="I131" s="26">
        <f>ROUND('Sum of Billing Determinants'!J142*-1*'Rate Calculations'!$G$8*(1-'Sum of Billing Determinants'!$AC142),0)</f>
        <v>-89470</v>
      </c>
      <c r="J131" s="26">
        <f>ROUND('Sum of Billing Determinants'!K142*-1*'Rate Calculations'!$G$8*(1-'Sum of Billing Determinants'!$AC142),0)</f>
        <v>-91411</v>
      </c>
      <c r="K131" s="26">
        <f>ROUND('Sum of Billing Determinants'!L142*-1*'Rate Calculations'!$G$8*(1-'Sum of Billing Determinants'!$AC142),0)</f>
        <v>-79358</v>
      </c>
      <c r="L131" s="26">
        <f>ROUND('Sum of Billing Determinants'!M142*-1*'Rate Calculations'!$G$8*(1-'Sum of Billing Determinants'!$AC142),0)</f>
        <v>-76718</v>
      </c>
      <c r="M131" s="26">
        <f>ROUND('Sum of Billing Determinants'!N142*-1*'Rate Calculations'!$G$8*(1-'Sum of Billing Determinants'!$AC142),0)</f>
        <v>-70596</v>
      </c>
      <c r="N131" s="26">
        <f t="shared" si="1"/>
        <v>-845627</v>
      </c>
    </row>
    <row r="132" spans="2:14" ht="15">
      <c r="B132" s="22">
        <f>'Sum of Billing Determinants'!A143</f>
        <v>10482</v>
      </c>
      <c r="C132" s="22" t="str">
        <f>'Sum of Billing Determinants'!B143</f>
        <v>Umpqua Indian Utility Cooperative</v>
      </c>
      <c r="D132" s="26">
        <f>ROUND('Sum of Billing Determinants'!E143*-1*'Rate Calculations'!$G$8*(1-'Sum of Billing Determinants'!$AC143),0)</f>
        <v>-9901</v>
      </c>
      <c r="E132" s="26">
        <f>ROUND('Sum of Billing Determinants'!F143*-1*'Rate Calculations'!$G$8*(1-'Sum of Billing Determinants'!$AC143),0)</f>
        <v>-10289</v>
      </c>
      <c r="F132" s="26">
        <f>ROUND('Sum of Billing Determinants'!G143*-1*'Rate Calculations'!$G$8*(1-'Sum of Billing Determinants'!$AC143),0)</f>
        <v>-8850</v>
      </c>
      <c r="G132" s="26">
        <f>ROUND('Sum of Billing Determinants'!H143*-1*'Rate Calculations'!$G$8*(1-'Sum of Billing Determinants'!$AC143),0)</f>
        <v>-9662</v>
      </c>
      <c r="H132" s="26">
        <f>ROUND('Sum of Billing Determinants'!I143*-1*'Rate Calculations'!$G$8*(1-'Sum of Billing Determinants'!$AC143),0)</f>
        <v>-7627</v>
      </c>
      <c r="I132" s="26">
        <f>ROUND('Sum of Billing Determinants'!J143*-1*'Rate Calculations'!$G$8*(1-'Sum of Billing Determinants'!$AC143),0)</f>
        <v>-9462</v>
      </c>
      <c r="J132" s="26">
        <f>ROUND('Sum of Billing Determinants'!K143*-1*'Rate Calculations'!$G$8*(1-'Sum of Billing Determinants'!$AC143),0)</f>
        <v>-9667</v>
      </c>
      <c r="K132" s="26">
        <f>ROUND('Sum of Billing Determinants'!L143*-1*'Rate Calculations'!$G$8*(1-'Sum of Billing Determinants'!$AC143),0)</f>
        <v>-8393</v>
      </c>
      <c r="L132" s="26">
        <f>ROUND('Sum of Billing Determinants'!M143*-1*'Rate Calculations'!$G$8*(1-'Sum of Billing Determinants'!$AC143),0)</f>
        <v>-8113</v>
      </c>
      <c r="M132" s="26">
        <f>ROUND('Sum of Billing Determinants'!N143*-1*'Rate Calculations'!$G$8*(1-'Sum of Billing Determinants'!$AC143),0)</f>
        <v>-7466</v>
      </c>
      <c r="N132" s="26">
        <f t="shared" si="1"/>
        <v>-89430</v>
      </c>
    </row>
    <row r="133" spans="2:14" ht="15">
      <c r="B133" s="22">
        <f>'Sum of Billing Determinants'!A144</f>
        <v>10502</v>
      </c>
      <c r="C133" s="22" t="str">
        <f>'Sum of Billing Determinants'!B144</f>
        <v>Yakama Power</v>
      </c>
      <c r="D133" s="26">
        <f>ROUND('Sum of Billing Determinants'!E144*-1*'Rate Calculations'!$G$8*(1-'Sum of Billing Determinants'!$AC144),0)</f>
        <v>-61764</v>
      </c>
      <c r="E133" s="26">
        <f>ROUND('Sum of Billing Determinants'!F144*-1*'Rate Calculations'!$G$8*(1-'Sum of Billing Determinants'!$AC144),0)</f>
        <v>-64182</v>
      </c>
      <c r="F133" s="26">
        <f>ROUND('Sum of Billing Determinants'!G144*-1*'Rate Calculations'!$G$8*(1-'Sum of Billing Determinants'!$AC144),0)</f>
        <v>-55205</v>
      </c>
      <c r="G133" s="26">
        <f>ROUND('Sum of Billing Determinants'!H144*-1*'Rate Calculations'!$G$8*(1-'Sum of Billing Determinants'!$AC144),0)</f>
        <v>-60273</v>
      </c>
      <c r="H133" s="26">
        <f>ROUND('Sum of Billing Determinants'!I144*-1*'Rate Calculations'!$G$8*(1-'Sum of Billing Determinants'!$AC144),0)</f>
        <v>-47575</v>
      </c>
      <c r="I133" s="26">
        <f>ROUND('Sum of Billing Determinants'!J144*-1*'Rate Calculations'!$G$8*(1-'Sum of Billing Determinants'!$AC144),0)</f>
        <v>-59024</v>
      </c>
      <c r="J133" s="26">
        <f>ROUND('Sum of Billing Determinants'!K144*-1*'Rate Calculations'!$G$8*(1-'Sum of Billing Determinants'!$AC144),0)</f>
        <v>-60304</v>
      </c>
      <c r="K133" s="26">
        <f>ROUND('Sum of Billing Determinants'!L144*-1*'Rate Calculations'!$G$8*(1-'Sum of Billing Determinants'!$AC144),0)</f>
        <v>-52353</v>
      </c>
      <c r="L133" s="26">
        <f>ROUND('Sum of Billing Determinants'!M144*-1*'Rate Calculations'!$G$8*(1-'Sum of Billing Determinants'!$AC144),0)</f>
        <v>-50611</v>
      </c>
      <c r="M133" s="26">
        <f>ROUND('Sum of Billing Determinants'!N144*-1*'Rate Calculations'!$G$8*(1-'Sum of Billing Determinants'!$AC144),0)</f>
        <v>-46572</v>
      </c>
      <c r="N133" s="26">
        <f t="shared" si="1"/>
        <v>-557863</v>
      </c>
    </row>
    <row r="134" spans="2:14" ht="15">
      <c r="B134" s="22">
        <f>'Sum of Billing Determinants'!A145</f>
        <v>13927</v>
      </c>
      <c r="C134" s="22" t="str">
        <f>'Sum of Billing Determinants'!B145</f>
        <v>Kalispel Tribe Utility</v>
      </c>
      <c r="D134" s="26">
        <f>ROUND('Sum of Billing Determinants'!E145*-1*'Rate Calculations'!$G$8*(1-'Sum of Billing Determinants'!$AC145),0)</f>
        <v>-12724</v>
      </c>
      <c r="E134" s="26">
        <f>ROUND('Sum of Billing Determinants'!F145*-1*'Rate Calculations'!$G$8*(1-'Sum of Billing Determinants'!$AC145),0)</f>
        <v>-13222</v>
      </c>
      <c r="F134" s="26">
        <f>ROUND('Sum of Billing Determinants'!G145*-1*'Rate Calculations'!$G$8*(1-'Sum of Billing Determinants'!$AC145),0)</f>
        <v>-11372</v>
      </c>
      <c r="G134" s="26">
        <f>ROUND('Sum of Billing Determinants'!H145*-1*'Rate Calculations'!$G$8*(1-'Sum of Billing Determinants'!$AC145),0)</f>
        <v>-12416</v>
      </c>
      <c r="H134" s="26">
        <f>ROUND('Sum of Billing Determinants'!I145*-1*'Rate Calculations'!$G$8*(1-'Sum of Billing Determinants'!$AC145),0)</f>
        <v>-9801</v>
      </c>
      <c r="I134" s="26">
        <f>ROUND('Sum of Billing Determinants'!J145*-1*'Rate Calculations'!$G$8*(1-'Sum of Billing Determinants'!$AC145),0)</f>
        <v>-12159</v>
      </c>
      <c r="J134" s="26">
        <f>ROUND('Sum of Billing Determinants'!K145*-1*'Rate Calculations'!$G$8*(1-'Sum of Billing Determinants'!$AC145),0)</f>
        <v>-12423</v>
      </c>
      <c r="K134" s="26">
        <f>ROUND('Sum of Billing Determinants'!L145*-1*'Rate Calculations'!$G$8*(1-'Sum of Billing Determinants'!$AC145),0)</f>
        <v>-10785</v>
      </c>
      <c r="L134" s="26">
        <f>ROUND('Sum of Billing Determinants'!M145*-1*'Rate Calculations'!$G$8*(1-'Sum of Billing Determinants'!$AC145),0)</f>
        <v>-10426</v>
      </c>
      <c r="M134" s="26">
        <f>ROUND('Sum of Billing Determinants'!N145*-1*'Rate Calculations'!$G$8*(1-'Sum of Billing Determinants'!$AC145),0)</f>
        <v>-9594</v>
      </c>
      <c r="N134" s="26">
        <f aca="true" t="shared" si="2" ref="N134:N138">SUM(D134:M134)</f>
        <v>-114922</v>
      </c>
    </row>
    <row r="135" spans="2:14" ht="15">
      <c r="B135" s="22">
        <f>'Sum of Billing Determinants'!A146</f>
        <v>10597</v>
      </c>
      <c r="C135" s="22" t="str">
        <f>'Sum of Billing Determinants'!B146</f>
        <v>Hermiston, City of</v>
      </c>
      <c r="D135" s="26">
        <f>ROUND('Sum of Billing Determinants'!E146*-1*'Rate Calculations'!$G$8*(1-'Sum of Billing Determinants'!$AC146),0)</f>
        <v>-43936</v>
      </c>
      <c r="E135" s="26">
        <f>ROUND('Sum of Billing Determinants'!F146*-1*'Rate Calculations'!$G$8*(1-'Sum of Billing Determinants'!$AC146),0)</f>
        <v>-45657</v>
      </c>
      <c r="F135" s="26">
        <f>ROUND('Sum of Billing Determinants'!G146*-1*'Rate Calculations'!$G$8*(1-'Sum of Billing Determinants'!$AC146),0)</f>
        <v>-39271</v>
      </c>
      <c r="G135" s="26">
        <f>ROUND('Sum of Billing Determinants'!H146*-1*'Rate Calculations'!$G$8*(1-'Sum of Billing Determinants'!$AC146),0)</f>
        <v>-42876</v>
      </c>
      <c r="H135" s="26">
        <f>ROUND('Sum of Billing Determinants'!I146*-1*'Rate Calculations'!$G$8*(1-'Sum of Billing Determinants'!$AC146),0)</f>
        <v>-33843</v>
      </c>
      <c r="I135" s="26">
        <f>ROUND('Sum of Billing Determinants'!J146*-1*'Rate Calculations'!$G$8*(1-'Sum of Billing Determinants'!$AC146),0)</f>
        <v>-41987</v>
      </c>
      <c r="J135" s="26">
        <f>ROUND('Sum of Billing Determinants'!K146*-1*'Rate Calculations'!$G$8*(1-'Sum of Billing Determinants'!$AC146),0)</f>
        <v>-42898</v>
      </c>
      <c r="K135" s="26">
        <f>ROUND('Sum of Billing Determinants'!L146*-1*'Rate Calculations'!$G$8*(1-'Sum of Billing Determinants'!$AC146),0)</f>
        <v>-37242</v>
      </c>
      <c r="L135" s="26">
        <f>ROUND('Sum of Billing Determinants'!M146*-1*'Rate Calculations'!$G$8*(1-'Sum of Billing Determinants'!$AC146),0)</f>
        <v>-36003</v>
      </c>
      <c r="M135" s="26">
        <f>ROUND('Sum of Billing Determinants'!N146*-1*'Rate Calculations'!$G$8*(1-'Sum of Billing Determinants'!$AC146),0)</f>
        <v>-33130</v>
      </c>
      <c r="N135" s="26">
        <f t="shared" si="2"/>
        <v>-396843</v>
      </c>
    </row>
    <row r="136" spans="2:14" ht="15">
      <c r="B136" s="22">
        <f>'Sum of Billing Determinants'!A147</f>
        <v>10706</v>
      </c>
      <c r="C136" s="22" t="str">
        <f>'Sum of Billing Determinants'!B147</f>
        <v>Port of Seattle - SETAC In'tl. Airport</v>
      </c>
      <c r="D136" s="26">
        <f>ROUND('Sum of Billing Determinants'!E147*-1*'Rate Calculations'!$G$8*(1-'Sum of Billing Determinants'!$AC147),0)</f>
        <v>-59770</v>
      </c>
      <c r="E136" s="26">
        <f>ROUND('Sum of Billing Determinants'!F147*-1*'Rate Calculations'!$G$8*(1-'Sum of Billing Determinants'!$AC147),0)</f>
        <v>-62110</v>
      </c>
      <c r="F136" s="26">
        <f>ROUND('Sum of Billing Determinants'!G147*-1*'Rate Calculations'!$G$8*(1-'Sum of Billing Determinants'!$AC147),0)</f>
        <v>-53423</v>
      </c>
      <c r="G136" s="26">
        <f>ROUND('Sum of Billing Determinants'!H147*-1*'Rate Calculations'!$G$8*(1-'Sum of Billing Determinants'!$AC147),0)</f>
        <v>-58327</v>
      </c>
      <c r="H136" s="26">
        <f>ROUND('Sum of Billing Determinants'!I147*-1*'Rate Calculations'!$G$8*(1-'Sum of Billing Determinants'!$AC147),0)</f>
        <v>-46039</v>
      </c>
      <c r="I136" s="26">
        <f>ROUND('Sum of Billing Determinants'!J147*-1*'Rate Calculations'!$G$8*(1-'Sum of Billing Determinants'!$AC147),0)</f>
        <v>-57118</v>
      </c>
      <c r="J136" s="26">
        <f>ROUND('Sum of Billing Determinants'!K147*-1*'Rate Calculations'!$G$8*(1-'Sum of Billing Determinants'!$AC147),0)</f>
        <v>-58357</v>
      </c>
      <c r="K136" s="26">
        <f>ROUND('Sum of Billing Determinants'!L147*-1*'Rate Calculations'!$G$8*(1-'Sum of Billing Determinants'!$AC147),0)</f>
        <v>-50663</v>
      </c>
      <c r="L136" s="26">
        <f>ROUND('Sum of Billing Determinants'!M147*-1*'Rate Calculations'!$G$8*(1-'Sum of Billing Determinants'!$AC147),0)</f>
        <v>-48977</v>
      </c>
      <c r="M136" s="26">
        <f>ROUND('Sum of Billing Determinants'!N147*-1*'Rate Calculations'!$G$8*(1-'Sum of Billing Determinants'!$AC147),0)</f>
        <v>-45069</v>
      </c>
      <c r="N136" s="26">
        <f t="shared" si="2"/>
        <v>-539853</v>
      </c>
    </row>
    <row r="137" spans="2:14" ht="15">
      <c r="B137" s="22">
        <f>'Sum of Billing Determinants'!A148</f>
        <v>11680</v>
      </c>
      <c r="C137" s="22" t="str">
        <f>'Sum of Billing Determinants'!B148</f>
        <v>Weiser, City of</v>
      </c>
      <c r="D137" s="26">
        <f>ROUND('Sum of Billing Determinants'!E148*-1*'Rate Calculations'!$G$8*(1-'Sum of Billing Determinants'!$AC148),0)</f>
        <v>-22579</v>
      </c>
      <c r="E137" s="26">
        <f>ROUND('Sum of Billing Determinants'!F148*-1*'Rate Calculations'!$G$8*(1-'Sum of Billing Determinants'!$AC148),0)</f>
        <v>-23463</v>
      </c>
      <c r="F137" s="26">
        <f>ROUND('Sum of Billing Determinants'!G148*-1*'Rate Calculations'!$G$8*(1-'Sum of Billing Determinants'!$AC148),0)</f>
        <v>-20182</v>
      </c>
      <c r="G137" s="26">
        <f>ROUND('Sum of Billing Determinants'!H148*-1*'Rate Calculations'!$G$8*(1-'Sum of Billing Determinants'!$AC148),0)</f>
        <v>-22034</v>
      </c>
      <c r="H137" s="26">
        <f>ROUND('Sum of Billing Determinants'!I148*-1*'Rate Calculations'!$G$8*(1-'Sum of Billing Determinants'!$AC148),0)</f>
        <v>-17392</v>
      </c>
      <c r="I137" s="26">
        <f>ROUND('Sum of Billing Determinants'!J148*-1*'Rate Calculations'!$G$8*(1-'Sum of Billing Determinants'!$AC148),0)</f>
        <v>-21578</v>
      </c>
      <c r="J137" s="26">
        <f>ROUND('Sum of Billing Determinants'!K148*-1*'Rate Calculations'!$G$8*(1-'Sum of Billing Determinants'!$AC148),0)</f>
        <v>-22046</v>
      </c>
      <c r="K137" s="26">
        <f>ROUND('Sum of Billing Determinants'!L148*-1*'Rate Calculations'!$G$8*(1-'Sum of Billing Determinants'!$AC148),0)</f>
        <v>-19139</v>
      </c>
      <c r="L137" s="26">
        <f>ROUND('Sum of Billing Determinants'!M148*-1*'Rate Calculations'!$G$8*(1-'Sum of Billing Determinants'!$AC148),0)</f>
        <v>-18502</v>
      </c>
      <c r="M137" s="26">
        <f>ROUND('Sum of Billing Determinants'!N148*-1*'Rate Calculations'!$G$8*(1-'Sum of Billing Determinants'!$AC148),0)</f>
        <v>-17026</v>
      </c>
      <c r="N137" s="26">
        <f t="shared" si="2"/>
        <v>-203941</v>
      </c>
    </row>
    <row r="138" spans="2:14" ht="14.25" customHeight="1">
      <c r="B138" s="22">
        <f>'Sum of Billing Determinants'!A149</f>
        <v>12026</v>
      </c>
      <c r="C138" s="22" t="str">
        <f>'Sum of Billing Determinants'!B149</f>
        <v>Jefferson County PUD #1</v>
      </c>
      <c r="D138" s="26">
        <f>ROUND('Sum of Billing Determinants'!E149*-1*'Rate Calculations'!$G$8*(1-'Sum of Billing Determinants'!$AC149),0)</f>
        <v>-161165</v>
      </c>
      <c r="E138" s="26">
        <f>ROUND('Sum of Billing Determinants'!F149*-1*'Rate Calculations'!$G$8*(1-'Sum of Billing Determinants'!$AC149),0)</f>
        <v>-167475</v>
      </c>
      <c r="F138" s="26">
        <f>ROUND('Sum of Billing Determinants'!G149*-1*'Rate Calculations'!$G$8*(1-'Sum of Billing Determinants'!$AC149),0)</f>
        <v>-144051</v>
      </c>
      <c r="G138" s="26">
        <f>ROUND('Sum of Billing Determinants'!H149*-1*'Rate Calculations'!$G$8*(1-'Sum of Billing Determinants'!$AC149),0)</f>
        <v>-157275</v>
      </c>
      <c r="H138" s="26">
        <f>ROUND('Sum of Billing Determinants'!I149*-1*'Rate Calculations'!$G$8*(1-'Sum of Billing Determinants'!$AC149),0)</f>
        <v>-124142</v>
      </c>
      <c r="I138" s="26">
        <f>ROUND('Sum of Billing Determinants'!J149*-1*'Rate Calculations'!$G$8*(1-'Sum of Billing Determinants'!$AC149),0)</f>
        <v>-154015</v>
      </c>
      <c r="J138" s="26">
        <f>ROUND('Sum of Billing Determinants'!K149*-1*'Rate Calculations'!$G$8*(1-'Sum of Billing Determinants'!$AC149),0)</f>
        <v>-157357</v>
      </c>
      <c r="K138" s="26">
        <f>ROUND('Sum of Billing Determinants'!L149*-1*'Rate Calculations'!$G$8*(1-'Sum of Billing Determinants'!$AC149),0)</f>
        <v>-136608</v>
      </c>
      <c r="L138" s="26">
        <f>ROUND('Sum of Billing Determinants'!M149*-1*'Rate Calculations'!$G$8*(1-'Sum of Billing Determinants'!$AC149),0)</f>
        <v>-132064</v>
      </c>
      <c r="M138" s="26">
        <f>ROUND('Sum of Billing Determinants'!N149*-1*'Rate Calculations'!$G$8*(1-'Sum of Billing Determinants'!$AC149),0)</f>
        <v>-121524</v>
      </c>
      <c r="N138" s="26">
        <f t="shared" si="2"/>
        <v>-1455676</v>
      </c>
    </row>
    <row r="139" spans="2:14" ht="15">
      <c r="B139" s="22">
        <f>'Sum of Billing Determinants'!R150</f>
        <v>10298</v>
      </c>
      <c r="C139" s="22" t="str">
        <f>'Sum of Billing Determinants'!S150</f>
        <v>PNGC Aggregate</v>
      </c>
      <c r="D139" s="26">
        <f>SUMPRODUCT(D5:D138,'Sum of Billing Determinants'!$AD$16:$AD$149)</f>
        <v>-2023385</v>
      </c>
      <c r="E139" s="26">
        <f>SUMPRODUCT(E5:E138,'Sum of Billing Determinants'!$AD$16:$AD$149)</f>
        <v>-2102610</v>
      </c>
      <c r="F139" s="26">
        <f>SUMPRODUCT(F5:F138,'Sum of Billing Determinants'!$AD$16:$AD$149)</f>
        <v>-1808525</v>
      </c>
      <c r="G139" s="26">
        <f>SUMPRODUCT(G5:G138,'Sum of Billing Determinants'!$AD$16:$AD$149)</f>
        <v>-1974550</v>
      </c>
      <c r="H139" s="26">
        <f>SUMPRODUCT(H5:H138,'Sum of Billing Determinants'!$AD$16:$AD$149)</f>
        <v>-1558575</v>
      </c>
      <c r="I139" s="26">
        <f>SUMPRODUCT(I5:I138,'Sum of Billing Determinants'!$AD$16:$AD$149)</f>
        <v>-1933622</v>
      </c>
      <c r="J139" s="26">
        <f>SUMPRODUCT(J5:J138,'Sum of Billing Determinants'!$AD$16:$AD$149)</f>
        <v>-1975577</v>
      </c>
      <c r="K139" s="26">
        <f>SUMPRODUCT(K5:K138,'Sum of Billing Determinants'!$AD$16:$AD$149)</f>
        <v>-1715087</v>
      </c>
      <c r="L139" s="26">
        <f>SUMPRODUCT(L5:L138,'Sum of Billing Determinants'!$AD$16:$AD$149)</f>
        <v>-1658032</v>
      </c>
      <c r="M139" s="26">
        <f>SUMPRODUCT(M5:M138,'Sum of Billing Determinants'!$AD$16:$AD$149)</f>
        <v>-1525710</v>
      </c>
      <c r="N139" s="26">
        <f aca="true" t="shared" si="3" ref="N139">SUM(D139:M139)</f>
        <v>-18275673</v>
      </c>
    </row>
    <row r="140" spans="1:2" ht="15">
      <c r="A140" s="74" t="s">
        <v>194</v>
      </c>
      <c r="B140" s="22"/>
    </row>
    <row r="143" ht="15">
      <c r="N143" s="6"/>
    </row>
  </sheetData>
  <conditionalFormatting sqref="B5:N139">
    <cfRule type="expression" priority="1" dxfId="0">
      <formula>MOD(ROW(),2)=1</formula>
    </cfRule>
  </conditionalFormatting>
  <printOptions gridLines="1" horizontalCentered="1"/>
  <pageMargins left="0.25" right="0.25" top="0.5" bottom="0.5" header="0.3" footer="0.3"/>
  <pageSetup fitToHeight="3" horizontalDpi="600" verticalDpi="600" orientation="landscape" scale="75" r:id="rId1"/>
  <headerFooter>
    <oddFooter>&amp;LJanuary 2023&amp;R&amp;P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CFDB612858E4C8CAE46EA6E7DC6D0" ma:contentTypeVersion="10" ma:contentTypeDescription="Create a new document." ma:contentTypeScope="" ma:versionID="9e5f902579dfa2805138b604cfe5c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8A31E-002A-45B0-A203-274E8F7E4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1F99B2-F43F-46DB-AC6B-FE26CC295DB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1581BA-F5F2-4F77-95D6-F22EFFD5C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Schenck,Rosalie (CONTR) - TSQ-TPP-2</cp:lastModifiedBy>
  <cp:lastPrinted>2023-12-15T14:33:51Z</cp:lastPrinted>
  <dcterms:created xsi:type="dcterms:W3CDTF">2017-09-18T21:42:42Z</dcterms:created>
  <dcterms:modified xsi:type="dcterms:W3CDTF">2023-12-22T17:46:30Z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0x010100972CFDB612858E4C8CAE46EA6E7DC6D0</vt:lpwstr>
  </property>
  <property fmtid="{D5CDD505-2E9C-101B-9397-08002B2CF9AE}" pid="3" name="Order">
    <vt:r8>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