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codeName="ThisWorkbook" defaultThemeVersion="124226"/>
  <bookViews>
    <workbookView xWindow="65428" yWindow="65428" windowWidth="23256" windowHeight="12456" activeTab="0"/>
  </bookViews>
  <sheets>
    <sheet name="Rate Calculations" sheetId="10" r:id="rId1"/>
    <sheet name="Sum of Billing Determinants" sheetId="16" r:id="rId2"/>
    <sheet name="PF Customer Bill Amounts" sheetId="17" r:id="rId3"/>
  </sheets>
  <definedNames>
    <definedName name="FirstYear">#REF!</definedName>
    <definedName name="Options">#REF!</definedName>
    <definedName name="_xlnm.Print_Area" localSheetId="2">'PF Customer Bill Amounts'!$A$1:$N$139</definedName>
    <definedName name="_xlnm.Print_Area" localSheetId="0">'Rate Calculations'!$A$1:$L$33</definedName>
    <definedName name="_xlnm.Print_Area" localSheetId="1">'Sum of Billing Determinants'!$A$1:$O$9</definedName>
    <definedName name="SecondYear">#REF!</definedName>
    <definedName name="Spread">#REF!</definedName>
    <definedName name="_xlnm.Print_Titles" localSheetId="2">'PF Customer Bill Amounts'!$B:$C,'PF Customer Bill Amounts'!$2:$4</definedName>
  </definedNames>
  <calcPr calcId="191029" calcMode="autoNoTable"/>
  <extLst/>
</workbook>
</file>

<file path=xl/sharedStrings.xml><?xml version="1.0" encoding="utf-8"?>
<sst xmlns="http://schemas.openxmlformats.org/spreadsheetml/2006/main" count="325" uniqueCount="187">
  <si>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</si>
  <si>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</si>
  <si>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</si>
  <si>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</si>
  <si>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</si>
  <si>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</si>
  <si>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</si>
  <si>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</si>
  <si>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</si>
  <si>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</si>
  <si>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</si>
  <si>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</si>
  <si>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</si>
  <si>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</si>
  <si>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</si>
  <si>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</si>
  <si>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</si>
  <si>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</si>
  <si>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</si>
  <si>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</si>
  <si>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</si>
  <si>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</si>
  <si>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</si>
  <si>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</si>
  <si>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</si>
  <si>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</si>
  <si>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</si>
  <si>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</si>
  <si>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</si>
  <si>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</si>
  <si>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</si>
  <si>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</si>
  <si>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</si>
  <si>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</si>
  <si>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</si>
  <si>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</si>
  <si>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</si>
  <si>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</si>
  <si>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</si>
  <si>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</si>
  <si>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</si>
  <si>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</si>
  <si>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</si>
  <si>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</si>
  <si>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</si>
  <si>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</si>
  <si>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</si>
  <si>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</si>
  <si>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</si>
  <si>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</si>
  <si>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</si>
  <si>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</si>
  <si>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</si>
  <si>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</si>
  <si>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</si>
  <si>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</si>
  <si>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</si>
  <si>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</si>
  <si>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</si>
  <si>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</si>
  <si>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</si>
  <si>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</si>
  <si>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</si>
  <si>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</si>
  <si>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</si>
  <si>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</si>
  <si>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</si>
  <si>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</si>
  <si>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</si>
  <si>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</si>
  <si>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</si>
  <si>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</si>
  <si>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</si>
  <si>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</si>
  <si>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</si>
  <si>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</si>
  <si>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</si>
  <si>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</si>
  <si>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</si>
  <si>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</si>
  <si>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</si>
  <si>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</si>
  <si>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</si>
  <si>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</si>
  <si>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</si>
  <si>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</si>
  <si>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</si>
  <si>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</si>
  <si>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</si>
  <si>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</si>
  <si>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</si>
  <si>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</si>
  <si>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</si>
  <si>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</si>
  <si>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</si>
  <si>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</si>
  <si>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</si>
  <si>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</si>
  <si>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</si>
  <si>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</si>
  <si>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</si>
  <si>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</si>
  <si>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</si>
  <si>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</si>
  <si>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</si>
  <si>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</si>
  <si>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</si>
  <si>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</si>
  <si>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</si>
  <si>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</si>
  <si>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</si>
  <si>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</si>
  <si>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</si>
  <si>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</si>
  <si>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</si>
  <si>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</si>
  <si>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</si>
  <si>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</si>
  <si>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</si>
  <si>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</si>
  <si>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</si>
  <si>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</si>
  <si>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</si>
  <si>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</si>
  <si>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</si>
  <si>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</si>
  <si>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</si>
  <si>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</si>
  <si>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</si>
  <si>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</si>
  <si>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</si>
  <si>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</si>
  <si>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</si>
  <si>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</si>
  <si>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>System Shaped Load (MWh)</t>
  </si>
  <si>
    <t>Sum of Billing Determinants (BD) (MWh)</t>
  </si>
  <si>
    <t>Total</t>
  </si>
  <si>
    <t>PF Melded Load (MWh)</t>
  </si>
  <si>
    <t>IP Load (MWh)</t>
  </si>
  <si>
    <t>NR Load (MWh)</t>
  </si>
  <si>
    <t>C</t>
  </si>
  <si>
    <t>Adjusted Load Shaping Charge True-Up rate:</t>
  </si>
  <si>
    <t>Adjusted PF Melded Equivalent Energy Scalar rate:</t>
  </si>
  <si>
    <t>HLH ($/MWh)</t>
  </si>
  <si>
    <t>LLH ($/MWh)</t>
  </si>
  <si>
    <t>A</t>
  </si>
  <si>
    <t>B</t>
  </si>
  <si>
    <t>D</t>
  </si>
  <si>
    <t>E</t>
  </si>
  <si>
    <t>F</t>
  </si>
  <si>
    <t>Sum of Annual Billing Determinants (MWh):</t>
  </si>
  <si>
    <t>Sum of Dec - Sept Billing Determinants (MWh):</t>
  </si>
  <si>
    <t>RHWM</t>
  </si>
  <si>
    <t>PNGC Aggregate</t>
  </si>
  <si>
    <t>RT1SC HLH (MWh)</t>
  </si>
  <si>
    <t>RT1SC LLH (MWh)</t>
  </si>
  <si>
    <t>Sum of Billing Determinants</t>
  </si>
  <si>
    <t>PF System Shaped Loads (MWh)</t>
  </si>
  <si>
    <t>(the amounts below may differ from billed amounts due to rounding)</t>
  </si>
  <si>
    <t>(a) Power DD Credit Rate:</t>
  </si>
  <si>
    <t>Power RDC Amount being used for a Power DD:</t>
  </si>
  <si>
    <t>Power DD Credit rate ($/MWh):</t>
  </si>
  <si>
    <t>(b) Adjusted PF Tier 1 Equivalent Energy Rates:</t>
  </si>
  <si>
    <t>(c) Annual Power DD Credit Rate and Other Adjustments:</t>
  </si>
  <si>
    <t>TOCA 2022</t>
  </si>
  <si>
    <t>TOCA 2023</t>
  </si>
  <si>
    <t>Non-Slice TOCA 2022</t>
  </si>
  <si>
    <t>Non-Slice TOCA 2023</t>
  </si>
  <si>
    <t>Slice Percentage 2022</t>
  </si>
  <si>
    <t>Slice Percentage 2023</t>
  </si>
  <si>
    <t>TOCA Load 2022*</t>
  </si>
  <si>
    <t>TOCA Load 2023*</t>
  </si>
  <si>
    <t>Oregon Trail Elec Coop</t>
  </si>
  <si>
    <t>South Side Elec</t>
  </si>
  <si>
    <t>* Tier 1 portion of the Forecast Net Requirement, before considering Above-RHWM Load service.</t>
  </si>
  <si>
    <t>BP22 Power Rate Schedules and GRSPs section II.P.2 - Power Dividend Distribution (DD) Credit Rate</t>
  </si>
  <si>
    <t>FY2023</t>
  </si>
  <si>
    <t xml:space="preserve">https://www.bpa.gov/-/media/Aep/rates-tariff/bp-22/bp-22-final-decision/2022-Power-Rate-Schedules-and-GRSPs_Rev_12-15-21.pdf </t>
  </si>
  <si>
    <t>TOCAs as of 09282022</t>
  </si>
  <si>
    <t>Applicable LDD 2023</t>
  </si>
  <si>
    <t xml:space="preserve">Preliminary FY 2023 Power Dividend Distribution Credit Estimates by PF Customer net Low Density Discount </t>
  </si>
  <si>
    <t>JOE</t>
  </si>
  <si>
    <t>November 16, 2022</t>
  </si>
  <si>
    <t>Annual Power DD Credit Rate ($/MWh):</t>
  </si>
  <si>
    <t>Average T1 Rate w/o Credit:</t>
  </si>
  <si>
    <t>Average T1 Rate w/Credit</t>
  </si>
  <si>
    <t>Percent Change: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</si>
</sst>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&quot;$&quot;#,##0"/>
    <numFmt numFmtId="167" formatCode="&quot;$&quot;#,##0.00"/>
    <numFmt numFmtId="168" formatCode="_(* #,##0.0000000_);_(* \(#,##0.0000000\);_(* &quot;-&quot;???????_);_(@_)"/>
    <numFmt numFmtId="169" formatCode="#,##0.00000_);\(#,##0.00000\)"/>
    <numFmt numFmtId="170" formatCode="[$-409]mmm\-yy;@"/>
    <numFmt numFmtId="171" formatCode="&quot;$&quot;#,##0.0000"/>
    <numFmt numFmtId="172" formatCode="#,##0.000"/>
    <numFmt numFmtId="173" formatCode="#,##0.000_);\(#,##0.000\)"/>
    <numFmt numFmtId="174" formatCode="0.000%"/>
    <numFmt numFmtId="175" formatCode="0.0%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4" fontId="0" fillId="0" borderId="0" xfId="0" applyNumberFormat="1"/>
    <xf numFmtId="4" fontId="4" fillId="0" borderId="0" xfId="0" applyNumberFormat="1" applyFont="1"/>
    <xf numFmtId="0" fontId="8" fillId="0" borderId="0" xfId="0" applyFont="1" applyAlignment="1">
      <alignment horizontal="left"/>
    </xf>
    <xf numFmtId="166" fontId="4" fillId="0" borderId="0" xfId="0" applyNumberFormat="1" applyFont="1"/>
    <xf numFmtId="167" fontId="4" fillId="0" borderId="0" xfId="0" applyNumberFormat="1" applyFont="1"/>
    <xf numFmtId="5" fontId="0" fillId="0" borderId="0" xfId="0" applyNumberFormat="1"/>
    <xf numFmtId="170" fontId="0" fillId="0" borderId="0" xfId="0" applyNumberFormat="1" applyAlignment="1">
      <alignment horizontal="left"/>
    </xf>
    <xf numFmtId="170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171" fontId="0" fillId="0" borderId="0" xfId="0" applyNumberFormat="1"/>
    <xf numFmtId="0" fontId="7" fillId="0" borderId="0" xfId="26"/>
    <xf numFmtId="167" fontId="4" fillId="2" borderId="1" xfId="0" applyNumberFormat="1" applyFont="1" applyFill="1" applyBorder="1"/>
    <xf numFmtId="0" fontId="6" fillId="0" borderId="0" xfId="27" applyFont="1">
      <alignment/>
      <protection/>
    </xf>
    <xf numFmtId="0" fontId="2" fillId="0" borderId="0" xfId="27">
      <alignment/>
      <protection/>
    </xf>
    <xf numFmtId="0" fontId="9" fillId="0" borderId="0" xfId="27" applyFont="1" applyAlignment="1">
      <alignment horizontal="center" vertical="center"/>
      <protection/>
    </xf>
    <xf numFmtId="0" fontId="10" fillId="0" borderId="0" xfId="27" applyFont="1" applyAlignment="1">
      <alignment horizontal="center" vertical="center" wrapText="1"/>
      <protection/>
    </xf>
    <xf numFmtId="170" fontId="10" fillId="0" borderId="0" xfId="27" applyNumberFormat="1" applyFont="1" applyAlignment="1">
      <alignment horizontal="center" vertical="center" wrapText="1"/>
      <protection/>
    </xf>
    <xf numFmtId="0" fontId="9" fillId="0" borderId="0" xfId="27" applyFont="1">
      <alignment/>
      <protection/>
    </xf>
    <xf numFmtId="164" fontId="9" fillId="0" borderId="0" xfId="28" applyNumberFormat="1" applyFont="1"/>
    <xf numFmtId="165" fontId="9" fillId="0" borderId="0" xfId="28" applyNumberFormat="1" applyFont="1"/>
    <xf numFmtId="169" fontId="9" fillId="0" borderId="0" xfId="28" applyNumberFormat="1" applyFont="1"/>
    <xf numFmtId="5" fontId="9" fillId="0" borderId="0" xfId="28" applyNumberFormat="1" applyFont="1"/>
    <xf numFmtId="168" fontId="2" fillId="0" borderId="0" xfId="27" applyNumberFormat="1">
      <alignment/>
      <protection/>
    </xf>
    <xf numFmtId="0" fontId="11" fillId="0" borderId="0" xfId="27" applyFont="1">
      <alignment/>
      <protection/>
    </xf>
    <xf numFmtId="3" fontId="9" fillId="0" borderId="0" xfId="27" applyNumberFormat="1" applyFont="1">
      <alignment/>
      <protection/>
    </xf>
    <xf numFmtId="0" fontId="11" fillId="0" borderId="0" xfId="29" applyFont="1">
      <alignment/>
      <protection/>
    </xf>
    <xf numFmtId="3" fontId="9" fillId="0" borderId="0" xfId="29" applyNumberFormat="1" applyFont="1">
      <alignment/>
      <protection/>
    </xf>
    <xf numFmtId="172" fontId="9" fillId="0" borderId="0" xfId="27" applyNumberFormat="1" applyFont="1">
      <alignment/>
      <protection/>
    </xf>
    <xf numFmtId="173" fontId="12" fillId="0" borderId="0" xfId="0" applyNumberFormat="1" applyFont="1"/>
    <xf numFmtId="173" fontId="9" fillId="0" borderId="0" xfId="27" applyNumberFormat="1" applyFont="1">
      <alignment/>
      <protection/>
    </xf>
    <xf numFmtId="9" fontId="0" fillId="0" borderId="0" xfId="15" applyFont="1"/>
    <xf numFmtId="0" fontId="3" fillId="0" borderId="0" xfId="27" applyFont="1">
      <alignment/>
      <protection/>
    </xf>
    <xf numFmtId="0" fontId="8" fillId="0" borderId="0" xfId="0" applyFont="1" quotePrefix="1"/>
    <xf numFmtId="44" fontId="2" fillId="0" borderId="0" xfId="16" applyFont="1"/>
    <xf numFmtId="9" fontId="2" fillId="0" borderId="0" xfId="15" applyFont="1"/>
    <xf numFmtId="174" fontId="9" fillId="0" borderId="0" xfId="15" applyNumberFormat="1" applyFont="1"/>
    <xf numFmtId="37" fontId="9" fillId="0" borderId="0" xfId="28" applyNumberFormat="1" applyFont="1"/>
    <xf numFmtId="0" fontId="0" fillId="0" borderId="0" xfId="0" applyAlignment="1">
      <alignment horizontal="right"/>
    </xf>
    <xf numFmtId="44" fontId="0" fillId="0" borderId="0" xfId="16" applyFont="1"/>
    <xf numFmtId="44" fontId="0" fillId="0" borderId="0" xfId="16" applyFont="1" applyFill="1"/>
    <xf numFmtId="175" fontId="0" fillId="0" borderId="0" xfId="15" applyNumberFormat="1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omma 3" xfId="24"/>
    <cellStyle name="Normal 3 2" xfId="25"/>
    <cellStyle name="Hyperlink" xfId="26"/>
    <cellStyle name="Normal 4 2" xfId="27"/>
    <cellStyle name="Comma 3 2" xfId="28"/>
    <cellStyle name="Normal 3 2 2" xfId="29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-/media/Aep/rates-tariff/bp-22/bp-22-final-decision/2022-Power-Rate-Schedules-and-GRSPs_Rev_12-15-2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00102615356"/>
    <pageSetUpPr fitToPage="1"/>
  </sheetPr>
  <dimension ref="A1:R38"/>
  <sheetViews>
    <sheetView tabSelected="1" workbookViewId="0" topLeftCell="A9">
      <selection activeCell="G35" sqref="G35"/>
    </sheetView>
  </sheetViews>
  <sheetFormatPr defaultColWidth="9.140625" defaultRowHeight="15"/>
  <cols>
    <col min="1" max="1" width="8.140625" style="0" customWidth="1"/>
    <col min="2" max="4" width="11.57421875" style="0" customWidth="1"/>
    <col min="5" max="5" width="12.8515625" style="0" bestFit="1" customWidth="1"/>
    <col min="6" max="6" width="12.421875" style="0" bestFit="1" customWidth="1"/>
    <col min="7" max="7" width="16.140625" style="0" customWidth="1"/>
    <col min="8" max="8" width="13.8515625" style="0" customWidth="1"/>
    <col min="9" max="9" width="12.57421875" style="0" customWidth="1"/>
    <col min="10" max="10" width="15.8515625" style="0" bestFit="1" customWidth="1"/>
    <col min="12" max="12" width="12.00390625" style="0" customWidth="1"/>
    <col min="15" max="15" width="11.140625" style="0" bestFit="1" customWidth="1"/>
    <col min="16" max="16" width="10.140625" style="0" bestFit="1" customWidth="1"/>
  </cols>
  <sheetData>
    <row r="1" ht="15">
      <c r="A1" s="1" t="s">
        <v>175</v>
      </c>
    </row>
    <row r="2" ht="15">
      <c r="A2" s="18" t="s">
        <v>177</v>
      </c>
    </row>
    <row r="3" ht="15">
      <c r="A3" s="40" t="s">
        <v>182</v>
      </c>
    </row>
    <row r="4" ht="15">
      <c r="A4" s="7"/>
    </row>
    <row r="5" spans="1:7" ht="15">
      <c r="A5" s="7"/>
      <c r="B5" s="16" t="s">
        <v>145</v>
      </c>
      <c r="C5" s="16" t="s">
        <v>146</v>
      </c>
      <c r="D5" s="16" t="s">
        <v>140</v>
      </c>
      <c r="E5" s="16" t="s">
        <v>147</v>
      </c>
      <c r="F5" s="16" t="s">
        <v>148</v>
      </c>
      <c r="G5" s="16" t="s">
        <v>149</v>
      </c>
    </row>
    <row r="6" spans="1:7" ht="15">
      <c r="A6" s="16">
        <v>1</v>
      </c>
      <c r="B6" s="10" t="s">
        <v>159</v>
      </c>
      <c r="G6" s="5" t="s">
        <v>176</v>
      </c>
    </row>
    <row r="7" spans="1:16" ht="15">
      <c r="A7" s="16">
        <v>2</v>
      </c>
      <c r="C7" t="s">
        <v>160</v>
      </c>
      <c r="G7" s="2">
        <v>350000000</v>
      </c>
      <c r="P7" s="2"/>
    </row>
    <row r="8" spans="1:10" ht="15">
      <c r="A8" s="16">
        <v>3</v>
      </c>
      <c r="C8" t="s">
        <v>151</v>
      </c>
      <c r="G8" s="6">
        <f>SUM('Sum of Billing Determinants'!E9:N9)</f>
        <v>36461402.04</v>
      </c>
      <c r="J8" s="17"/>
    </row>
    <row r="9" spans="1:13" ht="15" thickBot="1">
      <c r="A9" s="16">
        <v>4</v>
      </c>
      <c r="C9" t="s">
        <v>161</v>
      </c>
      <c r="G9" s="19">
        <f>ROUND(G7/G8,2)</f>
        <v>9.6</v>
      </c>
      <c r="M9" s="2"/>
    </row>
    <row r="10" spans="1:18" ht="15" thickTop="1">
      <c r="A10" s="16">
        <v>5</v>
      </c>
      <c r="G10" s="11"/>
      <c r="R10" s="2"/>
    </row>
    <row r="11" spans="1:10" ht="15">
      <c r="A11" s="16">
        <v>6</v>
      </c>
      <c r="B11" s="7" t="s">
        <v>162</v>
      </c>
      <c r="J11">
        <f>0.7*500</f>
        <v>350</v>
      </c>
    </row>
    <row r="12" spans="1:6" ht="15">
      <c r="A12" s="16">
        <v>7</v>
      </c>
      <c r="E12" t="s">
        <v>143</v>
      </c>
      <c r="F12" t="s">
        <v>144</v>
      </c>
    </row>
    <row r="13" spans="1:12" ht="15">
      <c r="A13" s="16">
        <v>8</v>
      </c>
      <c r="D13" s="14">
        <v>44835</v>
      </c>
      <c r="E13" s="8">
        <v>36.03</v>
      </c>
      <c r="F13" s="8">
        <v>34.38</v>
      </c>
      <c r="L13" s="8"/>
    </row>
    <row r="14" spans="1:12" ht="15">
      <c r="A14" s="16">
        <v>9</v>
      </c>
      <c r="D14" s="14">
        <v>44866</v>
      </c>
      <c r="E14" s="8">
        <v>37.82</v>
      </c>
      <c r="F14" s="8">
        <v>35.25</v>
      </c>
      <c r="L14" s="8"/>
    </row>
    <row r="15" spans="1:12" ht="15">
      <c r="A15" s="16">
        <v>10</v>
      </c>
      <c r="D15" s="14">
        <v>44896</v>
      </c>
      <c r="E15" s="9">
        <f>44.87-G9</f>
        <v>35.269999999999996</v>
      </c>
      <c r="F15" s="9">
        <f>38.16-G9</f>
        <v>28.559999999999995</v>
      </c>
      <c r="L15" s="8"/>
    </row>
    <row r="16" spans="1:12" ht="15">
      <c r="A16" s="16">
        <v>11</v>
      </c>
      <c r="D16" s="14">
        <v>44927</v>
      </c>
      <c r="E16" s="9">
        <f>40.4-G9</f>
        <v>30.799999999999997</v>
      </c>
      <c r="F16" s="9">
        <f>31.96-G9</f>
        <v>22.36</v>
      </c>
      <c r="L16" s="8"/>
    </row>
    <row r="17" spans="1:12" ht="15">
      <c r="A17" s="16">
        <v>12</v>
      </c>
      <c r="D17" s="14">
        <v>44958</v>
      </c>
      <c r="E17" s="9">
        <f>40.9-G9</f>
        <v>31.299999999999997</v>
      </c>
      <c r="F17" s="9">
        <f>34.4-G9</f>
        <v>24.799999999999997</v>
      </c>
      <c r="L17" s="8"/>
    </row>
    <row r="18" spans="1:12" ht="15">
      <c r="A18" s="16">
        <v>13</v>
      </c>
      <c r="D18" s="14">
        <v>44986</v>
      </c>
      <c r="E18" s="9">
        <f>33.68-G9</f>
        <v>24.08</v>
      </c>
      <c r="F18" s="9">
        <f>34.55-G9</f>
        <v>24.949999999999996</v>
      </c>
      <c r="L18" s="8"/>
    </row>
    <row r="19" spans="1:12" ht="15">
      <c r="A19" s="16">
        <v>14</v>
      </c>
      <c r="D19" s="14">
        <v>45017</v>
      </c>
      <c r="E19" s="9">
        <f>26.82-G9</f>
        <v>17.22</v>
      </c>
      <c r="F19" s="9">
        <f>31.77-G9</f>
        <v>22.17</v>
      </c>
      <c r="L19" s="8"/>
    </row>
    <row r="20" spans="1:12" ht="15">
      <c r="A20" s="16">
        <v>15</v>
      </c>
      <c r="D20" s="14">
        <v>45047</v>
      </c>
      <c r="E20" s="9">
        <f>22.39-G9</f>
        <v>12.790000000000001</v>
      </c>
      <c r="F20" s="9">
        <f>22.41-G9</f>
        <v>12.81</v>
      </c>
      <c r="L20" s="8"/>
    </row>
    <row r="21" spans="1:12" ht="15">
      <c r="A21" s="16">
        <v>16</v>
      </c>
      <c r="D21" s="14">
        <v>45078</v>
      </c>
      <c r="E21" s="9">
        <f>23.26-G9</f>
        <v>13.660000000000002</v>
      </c>
      <c r="F21" s="9">
        <f>16.73-G9</f>
        <v>7.130000000000001</v>
      </c>
      <c r="L21" s="8"/>
    </row>
    <row r="22" spans="1:12" ht="15">
      <c r="A22" s="16">
        <v>17</v>
      </c>
      <c r="D22" s="14">
        <v>45108</v>
      </c>
      <c r="E22" s="9">
        <f>42.94-G9</f>
        <v>33.339999999999996</v>
      </c>
      <c r="F22" s="9">
        <f>27.47-G9</f>
        <v>17.869999999999997</v>
      </c>
      <c r="L22" s="8"/>
    </row>
    <row r="23" spans="1:12" ht="15">
      <c r="A23" s="16">
        <v>18</v>
      </c>
      <c r="D23" s="14">
        <v>45139</v>
      </c>
      <c r="E23" s="9">
        <f>41.98-G9</f>
        <v>32.379999999999995</v>
      </c>
      <c r="F23" s="9">
        <f>32.96-G9</f>
        <v>23.36</v>
      </c>
      <c r="L23" s="8"/>
    </row>
    <row r="24" spans="1:12" ht="15">
      <c r="A24" s="16">
        <v>19</v>
      </c>
      <c r="D24" s="14">
        <v>45170</v>
      </c>
      <c r="E24" s="9">
        <f>34.26-G9</f>
        <v>24.659999999999997</v>
      </c>
      <c r="F24" s="9">
        <f>35.06-G9</f>
        <v>25.46</v>
      </c>
      <c r="L24" s="8"/>
    </row>
    <row r="25" spans="1:6" ht="15">
      <c r="A25" s="16">
        <v>20</v>
      </c>
      <c r="D25" s="15"/>
      <c r="E25" s="9"/>
      <c r="F25" s="9"/>
    </row>
    <row r="26" spans="1:2" ht="15">
      <c r="A26" s="16">
        <v>21</v>
      </c>
      <c r="B26" s="7" t="s">
        <v>163</v>
      </c>
    </row>
    <row r="27" spans="1:8" ht="15">
      <c r="A27" s="16">
        <v>22</v>
      </c>
      <c r="C27" t="s">
        <v>150</v>
      </c>
      <c r="G27" s="6">
        <f>SUM('Sum of Billing Determinants'!C9:N9)</f>
        <v>44187876.829</v>
      </c>
      <c r="H27" s="3"/>
    </row>
    <row r="28" spans="1:18" ht="15">
      <c r="A28" s="16">
        <v>23</v>
      </c>
      <c r="C28" t="s">
        <v>183</v>
      </c>
      <c r="G28" s="12">
        <f>ROUND(G7/G27,2)</f>
        <v>7.92</v>
      </c>
      <c r="R28" s="3"/>
    </row>
    <row r="29" spans="1:13" ht="15">
      <c r="A29" s="16">
        <v>24</v>
      </c>
      <c r="M29" s="3"/>
    </row>
    <row r="30" spans="1:17" ht="15">
      <c r="A30" s="16">
        <v>25</v>
      </c>
      <c r="C30" t="s">
        <v>141</v>
      </c>
      <c r="G30" s="3">
        <f>-6.11+G28</f>
        <v>1.8099999999999996</v>
      </c>
      <c r="Q30" s="2"/>
    </row>
    <row r="31" spans="1:7" ht="15">
      <c r="A31" s="16">
        <v>26</v>
      </c>
      <c r="C31" t="s">
        <v>142</v>
      </c>
      <c r="G31" s="3">
        <f>-5.78+G28</f>
        <v>2.1399999999999997</v>
      </c>
    </row>
    <row r="32" ht="15">
      <c r="A32" s="16"/>
    </row>
    <row r="33" spans="1:7" ht="15">
      <c r="A33" s="16"/>
      <c r="B33" s="4"/>
      <c r="F33" s="45" t="s">
        <v>184</v>
      </c>
      <c r="G33" s="46">
        <v>35.64</v>
      </c>
    </row>
    <row r="34" spans="1:7" ht="15">
      <c r="A34" s="16"/>
      <c r="B34" s="4"/>
      <c r="F34" s="45" t="s">
        <v>185</v>
      </c>
      <c r="G34" s="47">
        <f>G33-G28</f>
        <v>27.72</v>
      </c>
    </row>
    <row r="35" spans="1:7" ht="15">
      <c r="A35" s="16"/>
      <c r="F35" s="45" t="s">
        <v>186</v>
      </c>
      <c r="G35" s="48">
        <f>(G33-G34)/G33</f>
        <v>0.22222222222222227</v>
      </c>
    </row>
    <row r="36" ht="15">
      <c r="A36" s="16"/>
    </row>
    <row r="37" ht="15">
      <c r="A37" s="16"/>
    </row>
    <row r="38" ht="15">
      <c r="A38" s="16"/>
    </row>
  </sheetData>
  <hyperlinks>
    <hyperlink ref="A2" r:id="rId1" display="https://www.bpa.gov/-/media/Aep/rates-tariff/bp-22/bp-22-final-decision/2022-Power-Rate-Schedules-and-GRSPs_Rev_12-15-21.pdf"/>
  </hyperlinks>
  <printOptions gridLines="1"/>
  <pageMargins left="0.25" right="0.25" top="0.75" bottom="0.75" header="0.3" footer="0.3"/>
  <pageSetup fitToHeight="1" fitToWidth="1" horizontalDpi="600" verticalDpi="600" orientation="landscape" scale="92" r:id="rId2"/>
  <headerFooter>
    <oddHeader>&amp;LPreliminary FY 2023 Power DD Credit Rate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50"/>
  <sheetViews>
    <sheetView workbookViewId="0" topLeftCell="M1">
      <selection activeCell="AC13" sqref="AC13:AC146"/>
    </sheetView>
  </sheetViews>
  <sheetFormatPr defaultColWidth="9.140625" defaultRowHeight="15"/>
  <cols>
    <col min="1" max="1" width="5.00390625" style="21" customWidth="1"/>
    <col min="2" max="2" width="34.28125" style="21" customWidth="1"/>
    <col min="3" max="15" width="11.28125" style="21" customWidth="1"/>
    <col min="16" max="16" width="3.57421875" style="21" customWidth="1"/>
    <col min="17" max="17" width="3.8515625" style="22" customWidth="1"/>
    <col min="18" max="18" width="6.00390625" style="21" bestFit="1" customWidth="1"/>
    <col min="19" max="19" width="35.28125" style="21" bestFit="1" customWidth="1"/>
    <col min="20" max="23" width="11.00390625" style="21" bestFit="1" customWidth="1"/>
    <col min="24" max="24" width="13.7109375" style="21" bestFit="1" customWidth="1"/>
    <col min="25" max="25" width="13.421875" style="21" customWidth="1"/>
    <col min="26" max="26" width="11.421875" style="21" customWidth="1"/>
    <col min="27" max="27" width="11.57421875" style="21" customWidth="1"/>
    <col min="28" max="28" width="10.421875" style="21" customWidth="1"/>
    <col min="29" max="29" width="9.57421875" style="21" bestFit="1" customWidth="1"/>
    <col min="32" max="33" width="12.140625" style="0" bestFit="1" customWidth="1"/>
    <col min="34" max="34" width="12.7109375" style="0" bestFit="1" customWidth="1"/>
    <col min="35" max="16384" width="9.140625" style="21" customWidth="1"/>
  </cols>
  <sheetData>
    <row r="1" ht="15">
      <c r="A1" s="20" t="s">
        <v>156</v>
      </c>
    </row>
    <row r="2" spans="3:29" ht="15">
      <c r="C2" s="24">
        <v>44835</v>
      </c>
      <c r="D2" s="24">
        <v>44866</v>
      </c>
      <c r="E2" s="24">
        <v>44896</v>
      </c>
      <c r="F2" s="24">
        <v>44927</v>
      </c>
      <c r="G2" s="24">
        <v>44958</v>
      </c>
      <c r="H2" s="24">
        <v>44986</v>
      </c>
      <c r="I2" s="24">
        <v>45017</v>
      </c>
      <c r="J2" s="24">
        <v>45047</v>
      </c>
      <c r="K2" s="24">
        <v>45078</v>
      </c>
      <c r="L2" s="24">
        <v>45108</v>
      </c>
      <c r="M2" s="24">
        <v>45139</v>
      </c>
      <c r="N2" s="24">
        <v>45170</v>
      </c>
      <c r="O2" s="23" t="s">
        <v>136</v>
      </c>
      <c r="P2" s="23"/>
      <c r="S2"/>
      <c r="T2"/>
      <c r="U2"/>
      <c r="V2"/>
      <c r="W2"/>
      <c r="X2"/>
      <c r="Y2"/>
      <c r="Z2"/>
      <c r="AA2"/>
      <c r="AB2"/>
      <c r="AC2"/>
    </row>
    <row r="3" spans="1:29" ht="15">
      <c r="A3" s="30"/>
      <c r="B3" s="31" t="s">
        <v>154</v>
      </c>
      <c r="C3" s="32">
        <v>2920790.265</v>
      </c>
      <c r="D3" s="32">
        <v>3537945.171</v>
      </c>
      <c r="E3" s="32">
        <v>3223872.736</v>
      </c>
      <c r="F3" s="32">
        <v>2651579.725</v>
      </c>
      <c r="G3" s="32">
        <v>2346690.122</v>
      </c>
      <c r="H3" s="32">
        <v>2961839.251</v>
      </c>
      <c r="I3" s="32">
        <v>2307313.633</v>
      </c>
      <c r="J3" s="32">
        <v>3495709.674</v>
      </c>
      <c r="K3" s="32">
        <v>3952932.913</v>
      </c>
      <c r="L3" s="32">
        <v>3505339.31</v>
      </c>
      <c r="M3" s="32">
        <v>3425259.154</v>
      </c>
      <c r="N3" s="32">
        <v>2999684.994</v>
      </c>
      <c r="O3" s="32">
        <f>SUM(C3:N3)</f>
        <v>37328956.948</v>
      </c>
      <c r="P3" s="25"/>
      <c r="S3"/>
      <c r="T3"/>
      <c r="U3"/>
      <c r="V3"/>
      <c r="W3"/>
      <c r="X3"/>
      <c r="Y3"/>
      <c r="Z3"/>
      <c r="AA3"/>
      <c r="AB3"/>
      <c r="AC3"/>
    </row>
    <row r="4" spans="1:29" ht="15">
      <c r="A4" s="30"/>
      <c r="B4" s="31" t="s">
        <v>155</v>
      </c>
      <c r="C4" s="32">
        <v>1633134.156</v>
      </c>
      <c r="D4" s="32">
        <v>2227488.419</v>
      </c>
      <c r="E4" s="32">
        <v>2419334.912</v>
      </c>
      <c r="F4" s="32">
        <v>2009469.815</v>
      </c>
      <c r="G4" s="32">
        <v>1693143.672</v>
      </c>
      <c r="H4" s="32">
        <v>1860906.497</v>
      </c>
      <c r="I4" s="32">
        <v>1436906.394</v>
      </c>
      <c r="J4" s="32">
        <v>1691934.727</v>
      </c>
      <c r="K4" s="32">
        <v>1590173.754</v>
      </c>
      <c r="L4" s="32">
        <v>1757589.47</v>
      </c>
      <c r="M4" s="32">
        <v>1660955.498</v>
      </c>
      <c r="N4" s="32">
        <v>1700507.561</v>
      </c>
      <c r="O4" s="32">
        <f>SUM(C4:N4)</f>
        <v>21681544.875</v>
      </c>
      <c r="P4" s="25"/>
      <c r="S4"/>
      <c r="T4"/>
      <c r="U4"/>
      <c r="V4"/>
      <c r="W4"/>
      <c r="X4"/>
      <c r="Y4"/>
      <c r="Z4"/>
      <c r="AA4"/>
      <c r="AB4"/>
      <c r="AC4"/>
    </row>
    <row r="5" spans="1:29" ht="15">
      <c r="A5" s="30"/>
      <c r="B5" s="33" t="s">
        <v>134</v>
      </c>
      <c r="C5" s="34">
        <f>SUM(C13:C146)</f>
        <v>3401929.094000002</v>
      </c>
      <c r="D5" s="34">
        <f>SUM(D13:D146)</f>
        <v>4306965.695000001</v>
      </c>
      <c r="E5" s="34">
        <f aca="true" t="shared" si="0" ref="E5:N5">SUM(E13:E146)</f>
        <v>4215658.955</v>
      </c>
      <c r="F5" s="34">
        <f t="shared" si="0"/>
        <v>3481955.031000001</v>
      </c>
      <c r="G5" s="34">
        <f t="shared" si="0"/>
        <v>3017886.737</v>
      </c>
      <c r="H5" s="34">
        <f t="shared" si="0"/>
        <v>3602747.329</v>
      </c>
      <c r="I5" s="34">
        <f t="shared" si="0"/>
        <v>2797053.682</v>
      </c>
      <c r="J5" s="34">
        <f t="shared" si="0"/>
        <v>3875338.4440000006</v>
      </c>
      <c r="K5" s="34">
        <f t="shared" si="0"/>
        <v>4140880.2750000004</v>
      </c>
      <c r="L5" s="34">
        <f t="shared" si="0"/>
        <v>3931578.3199999994</v>
      </c>
      <c r="M5" s="34">
        <f t="shared" si="0"/>
        <v>3799567.1359999995</v>
      </c>
      <c r="N5" s="34">
        <f t="shared" si="0"/>
        <v>3511196.1310000005</v>
      </c>
      <c r="O5" s="32">
        <f>SUM(C5:N5)</f>
        <v>44082756.829</v>
      </c>
      <c r="P5" s="25"/>
      <c r="S5"/>
      <c r="T5"/>
      <c r="U5"/>
      <c r="V5"/>
      <c r="W5"/>
      <c r="X5"/>
      <c r="Y5"/>
      <c r="Z5"/>
      <c r="AA5"/>
      <c r="AB5"/>
      <c r="AC5"/>
    </row>
    <row r="6" spans="1:16" ht="15">
      <c r="A6" s="30"/>
      <c r="B6" s="33" t="s">
        <v>137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2">
        <f aca="true" t="shared" si="1" ref="O6:O8">SUM(C6:N6)</f>
        <v>0</v>
      </c>
      <c r="P6" s="25"/>
    </row>
    <row r="7" spans="1:16" ht="15">
      <c r="A7" s="30"/>
      <c r="B7" s="33" t="s">
        <v>138</v>
      </c>
      <c r="C7" s="34">
        <v>8928</v>
      </c>
      <c r="D7" s="34">
        <v>8652</v>
      </c>
      <c r="E7" s="34">
        <v>8928</v>
      </c>
      <c r="F7" s="34">
        <v>8928</v>
      </c>
      <c r="G7" s="34">
        <v>8064</v>
      </c>
      <c r="H7" s="34">
        <v>8916</v>
      </c>
      <c r="I7" s="34">
        <v>8640</v>
      </c>
      <c r="J7" s="34">
        <v>8928</v>
      </c>
      <c r="K7" s="34">
        <v>8640</v>
      </c>
      <c r="L7" s="34">
        <v>8928</v>
      </c>
      <c r="M7" s="34">
        <v>8928</v>
      </c>
      <c r="N7" s="34">
        <v>8640</v>
      </c>
      <c r="O7" s="32">
        <f t="shared" si="1"/>
        <v>105120</v>
      </c>
      <c r="P7" s="25"/>
    </row>
    <row r="8" spans="1:16" ht="15">
      <c r="A8" s="30"/>
      <c r="B8" s="33" t="s">
        <v>139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2">
        <f t="shared" si="1"/>
        <v>0</v>
      </c>
      <c r="P8" s="25"/>
    </row>
    <row r="9" spans="1:16" ht="15">
      <c r="A9" s="30"/>
      <c r="B9" s="33" t="s">
        <v>135</v>
      </c>
      <c r="C9" s="34">
        <f>SUM(C5:C8)</f>
        <v>3410857.094000002</v>
      </c>
      <c r="D9" s="34">
        <f aca="true" t="shared" si="2" ref="D9:N9">SUM(D5:D8)</f>
        <v>4315617.695000001</v>
      </c>
      <c r="E9" s="34">
        <f t="shared" si="2"/>
        <v>4224586.955</v>
      </c>
      <c r="F9" s="34">
        <f t="shared" si="2"/>
        <v>3490883.031000001</v>
      </c>
      <c r="G9" s="34">
        <f t="shared" si="2"/>
        <v>3025950.737</v>
      </c>
      <c r="H9" s="34">
        <f t="shared" si="2"/>
        <v>3611663.329</v>
      </c>
      <c r="I9" s="34">
        <f t="shared" si="2"/>
        <v>2805693.682</v>
      </c>
      <c r="J9" s="34">
        <f t="shared" si="2"/>
        <v>3884266.4440000006</v>
      </c>
      <c r="K9" s="34">
        <f t="shared" si="2"/>
        <v>4149520.2750000004</v>
      </c>
      <c r="L9" s="34">
        <f t="shared" si="2"/>
        <v>3940506.3199999994</v>
      </c>
      <c r="M9" s="34">
        <f t="shared" si="2"/>
        <v>3808495.1359999995</v>
      </c>
      <c r="N9" s="34">
        <f t="shared" si="2"/>
        <v>3519836.1310000005</v>
      </c>
      <c r="O9" s="32">
        <f>SUM(C9:N9)</f>
        <v>44187876.829</v>
      </c>
      <c r="P9" s="25"/>
    </row>
    <row r="10" spans="1:16" ht="15">
      <c r="A10" s="30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2"/>
      <c r="P10" s="25"/>
    </row>
    <row r="11" spans="1:18" ht="15">
      <c r="A11" s="20" t="s">
        <v>157</v>
      </c>
      <c r="B11" s="3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0" t="s">
        <v>178</v>
      </c>
      <c r="R11" s="20"/>
    </row>
    <row r="12" spans="1:30" ht="24">
      <c r="A12" s="20"/>
      <c r="B12"/>
      <c r="C12" s="24">
        <v>44835</v>
      </c>
      <c r="D12" s="24">
        <v>44866</v>
      </c>
      <c r="E12" s="24">
        <v>44896</v>
      </c>
      <c r="F12" s="24">
        <v>44927</v>
      </c>
      <c r="G12" s="24">
        <v>44958</v>
      </c>
      <c r="H12" s="24">
        <v>44986</v>
      </c>
      <c r="I12" s="24">
        <v>45017</v>
      </c>
      <c r="J12" s="24">
        <v>45047</v>
      </c>
      <c r="K12" s="24">
        <v>45078</v>
      </c>
      <c r="L12" s="24">
        <v>45108</v>
      </c>
      <c r="M12" s="24">
        <v>45139</v>
      </c>
      <c r="N12" s="24">
        <v>45170</v>
      </c>
      <c r="O12" s="23" t="s">
        <v>136</v>
      </c>
      <c r="P12" s="25"/>
      <c r="R12" s="23" t="s">
        <v>0</v>
      </c>
      <c r="S12" s="23" t="s">
        <v>1</v>
      </c>
      <c r="T12" s="23" t="s">
        <v>164</v>
      </c>
      <c r="U12" s="23" t="s">
        <v>165</v>
      </c>
      <c r="V12" s="23" t="s">
        <v>166</v>
      </c>
      <c r="W12" s="23" t="s">
        <v>167</v>
      </c>
      <c r="X12" s="23" t="s">
        <v>168</v>
      </c>
      <c r="Y12" s="23" t="s">
        <v>169</v>
      </c>
      <c r="Z12" s="23" t="s">
        <v>152</v>
      </c>
      <c r="AA12" s="23" t="s">
        <v>170</v>
      </c>
      <c r="AB12" s="23" t="s">
        <v>171</v>
      </c>
      <c r="AC12" s="23" t="s">
        <v>179</v>
      </c>
      <c r="AD12" s="23" t="s">
        <v>181</v>
      </c>
    </row>
    <row r="13" spans="1:30" ht="15">
      <c r="A13" s="25">
        <v>10005</v>
      </c>
      <c r="B13" s="25" t="s">
        <v>2</v>
      </c>
      <c r="C13" s="36">
        <f>ROUND(C$3*$W13,3)+ROUND(C$4*$W13,3)</f>
        <v>353.384</v>
      </c>
      <c r="D13" s="36">
        <f aca="true" t="shared" si="3" ref="D13:N28">ROUND(D$3*$W13,3)+ROUND(D$4*$W13,3)</f>
        <v>447.398</v>
      </c>
      <c r="E13" s="36">
        <f t="shared" si="3"/>
        <v>437.913</v>
      </c>
      <c r="F13" s="36">
        <f t="shared" si="3"/>
        <v>361.698</v>
      </c>
      <c r="G13" s="36">
        <f t="shared" si="3"/>
        <v>313.491</v>
      </c>
      <c r="H13" s="36">
        <f t="shared" si="3"/>
        <v>374.245</v>
      </c>
      <c r="I13" s="36">
        <f t="shared" si="3"/>
        <v>290.552</v>
      </c>
      <c r="J13" s="36">
        <f t="shared" si="3"/>
        <v>402.56100000000004</v>
      </c>
      <c r="K13" s="36">
        <f t="shared" si="3"/>
        <v>430.145</v>
      </c>
      <c r="L13" s="36">
        <f t="shared" si="3"/>
        <v>408.403</v>
      </c>
      <c r="M13" s="36">
        <f t="shared" si="3"/>
        <v>394.69</v>
      </c>
      <c r="N13" s="36">
        <f t="shared" si="3"/>
        <v>364.735</v>
      </c>
      <c r="O13" s="37">
        <f>SUM(C13:N13)</f>
        <v>4579.214999999999</v>
      </c>
      <c r="P13" s="25"/>
      <c r="R13" s="25">
        <v>10005</v>
      </c>
      <c r="S13" s="25" t="s">
        <v>2</v>
      </c>
      <c r="T13" s="26">
        <v>7.76E-05</v>
      </c>
      <c r="U13" s="26">
        <v>7.76E-05</v>
      </c>
      <c r="V13" s="26">
        <v>7.76E-05</v>
      </c>
      <c r="W13" s="26">
        <v>7.76E-05</v>
      </c>
      <c r="X13" s="26">
        <v>0</v>
      </c>
      <c r="Y13" s="26">
        <v>0</v>
      </c>
      <c r="Z13" s="27">
        <v>0.523</v>
      </c>
      <c r="AA13" s="27">
        <v>0.523</v>
      </c>
      <c r="AB13" s="27">
        <v>0.523</v>
      </c>
      <c r="AC13" s="43">
        <v>0.0181</v>
      </c>
      <c r="AD13" s="44">
        <v>0</v>
      </c>
    </row>
    <row r="14" spans="1:30" ht="15">
      <c r="A14" s="25">
        <v>10015</v>
      </c>
      <c r="B14" s="25" t="s">
        <v>3</v>
      </c>
      <c r="C14" s="36">
        <f aca="true" t="shared" si="4" ref="C14:N45">ROUND(C$3*$W14,3)+ROUND(C$4*$W14,3)</f>
        <v>369.778</v>
      </c>
      <c r="D14" s="36">
        <f t="shared" si="3"/>
        <v>468.153</v>
      </c>
      <c r="E14" s="36">
        <f t="shared" si="3"/>
        <v>458.228</v>
      </c>
      <c r="F14" s="36">
        <f t="shared" si="3"/>
        <v>378.477</v>
      </c>
      <c r="G14" s="36">
        <f t="shared" si="3"/>
        <v>328.034</v>
      </c>
      <c r="H14" s="36">
        <f t="shared" si="3"/>
        <v>391.60699999999997</v>
      </c>
      <c r="I14" s="36">
        <f t="shared" si="3"/>
        <v>304.031</v>
      </c>
      <c r="J14" s="36">
        <f t="shared" si="3"/>
        <v>421.23699999999997</v>
      </c>
      <c r="K14" s="36">
        <f t="shared" si="3"/>
        <v>450.1</v>
      </c>
      <c r="L14" s="36">
        <f t="shared" si="3"/>
        <v>427.35</v>
      </c>
      <c r="M14" s="36">
        <f t="shared" si="3"/>
        <v>413.001</v>
      </c>
      <c r="N14" s="36">
        <f t="shared" si="3"/>
        <v>381.655</v>
      </c>
      <c r="O14" s="37">
        <f aca="true" t="shared" si="5" ref="O14:O77">SUM(C14:N14)</f>
        <v>4791.651</v>
      </c>
      <c r="P14" s="25"/>
      <c r="R14" s="25">
        <v>10015</v>
      </c>
      <c r="S14" s="25" t="s">
        <v>3</v>
      </c>
      <c r="T14" s="26">
        <v>8.12E-05</v>
      </c>
      <c r="U14" s="26">
        <v>8.12E-05</v>
      </c>
      <c r="V14" s="26">
        <v>8.12E-05</v>
      </c>
      <c r="W14" s="26">
        <v>8.12E-05</v>
      </c>
      <c r="X14" s="26">
        <v>0</v>
      </c>
      <c r="Y14" s="26">
        <v>0</v>
      </c>
      <c r="Z14" s="27">
        <v>0.547</v>
      </c>
      <c r="AA14" s="27">
        <v>0.547</v>
      </c>
      <c r="AB14" s="27">
        <v>0.547</v>
      </c>
      <c r="AC14" s="43">
        <v>0</v>
      </c>
      <c r="AD14" s="44">
        <v>0</v>
      </c>
    </row>
    <row r="15" spans="1:30" ht="15">
      <c r="A15" s="25">
        <v>10024</v>
      </c>
      <c r="B15" s="25" t="s">
        <v>4</v>
      </c>
      <c r="C15" s="36">
        <f t="shared" si="4"/>
        <v>67272.848</v>
      </c>
      <c r="D15" s="36">
        <f t="shared" si="3"/>
        <v>85169.86799999999</v>
      </c>
      <c r="E15" s="36">
        <f t="shared" si="3"/>
        <v>83364.285</v>
      </c>
      <c r="F15" s="36">
        <f t="shared" si="3"/>
        <v>68855.354</v>
      </c>
      <c r="G15" s="36">
        <f t="shared" si="3"/>
        <v>59678.44500000001</v>
      </c>
      <c r="H15" s="36">
        <f t="shared" si="3"/>
        <v>71244.011</v>
      </c>
      <c r="I15" s="36">
        <f t="shared" si="3"/>
        <v>55311.490999999995</v>
      </c>
      <c r="J15" s="36">
        <f t="shared" si="3"/>
        <v>76634.477</v>
      </c>
      <c r="K15" s="36">
        <f t="shared" si="3"/>
        <v>81885.543</v>
      </c>
      <c r="L15" s="36">
        <f t="shared" si="3"/>
        <v>77746.615</v>
      </c>
      <c r="M15" s="36">
        <f t="shared" si="3"/>
        <v>75136.106</v>
      </c>
      <c r="N15" s="36">
        <f t="shared" si="3"/>
        <v>69433.595</v>
      </c>
      <c r="O15" s="37">
        <f t="shared" si="5"/>
        <v>871732.6379999999</v>
      </c>
      <c r="P15" s="25"/>
      <c r="R15" s="25">
        <v>10024</v>
      </c>
      <c r="S15" s="25" t="s">
        <v>4</v>
      </c>
      <c r="T15" s="26">
        <v>0.0284726</v>
      </c>
      <c r="U15" s="26">
        <v>0.0284517</v>
      </c>
      <c r="V15" s="26">
        <v>0.0147934</v>
      </c>
      <c r="W15" s="26">
        <v>0.0147725</v>
      </c>
      <c r="X15" s="26">
        <v>0.0136792</v>
      </c>
      <c r="Y15" s="26">
        <v>0.0136792</v>
      </c>
      <c r="Z15" s="27">
        <v>191.661</v>
      </c>
      <c r="AA15" s="27">
        <v>191.802</v>
      </c>
      <c r="AB15" s="27">
        <v>191.661</v>
      </c>
      <c r="AC15" s="43">
        <v>0</v>
      </c>
      <c r="AD15" s="44">
        <v>0</v>
      </c>
    </row>
    <row r="16" spans="1:30" ht="15">
      <c r="A16" s="25">
        <v>10025</v>
      </c>
      <c r="B16" s="25" t="s">
        <v>5</v>
      </c>
      <c r="C16" s="36">
        <f t="shared" si="4"/>
        <v>38471.553</v>
      </c>
      <c r="D16" s="36">
        <f t="shared" si="3"/>
        <v>48706.383</v>
      </c>
      <c r="E16" s="36">
        <f t="shared" si="3"/>
        <v>47673.818</v>
      </c>
      <c r="F16" s="36">
        <f t="shared" si="3"/>
        <v>39376.547</v>
      </c>
      <c r="G16" s="36">
        <f t="shared" si="3"/>
        <v>34128.516</v>
      </c>
      <c r="H16" s="36">
        <f t="shared" si="3"/>
        <v>40742.556</v>
      </c>
      <c r="I16" s="36">
        <f t="shared" si="3"/>
        <v>31631.171000000002</v>
      </c>
      <c r="J16" s="36">
        <f t="shared" si="3"/>
        <v>43825.22</v>
      </c>
      <c r="K16" s="36">
        <f t="shared" si="3"/>
        <v>46828.165</v>
      </c>
      <c r="L16" s="36">
        <f t="shared" si="3"/>
        <v>44461.222</v>
      </c>
      <c r="M16" s="36">
        <f t="shared" si="3"/>
        <v>42968.341</v>
      </c>
      <c r="N16" s="36">
        <f t="shared" si="3"/>
        <v>39707.227</v>
      </c>
      <c r="O16" s="37">
        <f t="shared" si="5"/>
        <v>498520.719</v>
      </c>
      <c r="P16" s="25"/>
      <c r="R16" s="25">
        <v>10025</v>
      </c>
      <c r="S16" s="25" t="s">
        <v>5</v>
      </c>
      <c r="T16" s="26">
        <v>0.008448</v>
      </c>
      <c r="U16" s="26">
        <v>0.008448</v>
      </c>
      <c r="V16" s="26">
        <v>0.008448</v>
      </c>
      <c r="W16" s="26">
        <v>0.008448</v>
      </c>
      <c r="X16" s="26">
        <v>0</v>
      </c>
      <c r="Y16" s="26">
        <v>0</v>
      </c>
      <c r="Z16" s="27">
        <v>56.909</v>
      </c>
      <c r="AA16" s="27">
        <v>56.909</v>
      </c>
      <c r="AB16" s="27">
        <v>56.909</v>
      </c>
      <c r="AC16" s="43">
        <v>0.0651</v>
      </c>
      <c r="AD16" s="44">
        <v>0</v>
      </c>
    </row>
    <row r="17" spans="1:30" ht="15">
      <c r="A17" s="25">
        <v>10027</v>
      </c>
      <c r="B17" s="25" t="s">
        <v>6</v>
      </c>
      <c r="C17" s="36">
        <f t="shared" si="4"/>
        <v>39461.577</v>
      </c>
      <c r="D17" s="36">
        <f t="shared" si="3"/>
        <v>49959.788</v>
      </c>
      <c r="E17" s="36">
        <f t="shared" si="3"/>
        <v>48900.652</v>
      </c>
      <c r="F17" s="36">
        <f t="shared" si="3"/>
        <v>40389.859</v>
      </c>
      <c r="G17" s="36">
        <f t="shared" si="3"/>
        <v>35006.776</v>
      </c>
      <c r="H17" s="36">
        <f t="shared" si="3"/>
        <v>41791.021</v>
      </c>
      <c r="I17" s="36">
        <f t="shared" si="3"/>
        <v>32445.165</v>
      </c>
      <c r="J17" s="36">
        <f t="shared" si="3"/>
        <v>44953.014</v>
      </c>
      <c r="K17" s="36">
        <f t="shared" si="3"/>
        <v>48033.237</v>
      </c>
      <c r="L17" s="36">
        <f t="shared" si="3"/>
        <v>45605.383</v>
      </c>
      <c r="M17" s="36">
        <f t="shared" si="3"/>
        <v>44074.085</v>
      </c>
      <c r="N17" s="36">
        <f t="shared" si="3"/>
        <v>40729.048</v>
      </c>
      <c r="O17" s="37">
        <f t="shared" si="5"/>
        <v>511349.6050000001</v>
      </c>
      <c r="P17" s="25"/>
      <c r="R17" s="25">
        <v>10027</v>
      </c>
      <c r="S17" s="25" t="s">
        <v>6</v>
      </c>
      <c r="T17" s="26">
        <v>0.0086654</v>
      </c>
      <c r="U17" s="26">
        <v>0.0086654</v>
      </c>
      <c r="V17" s="26">
        <v>0.0086654</v>
      </c>
      <c r="W17" s="26">
        <v>0.0086654</v>
      </c>
      <c r="X17" s="26">
        <v>0</v>
      </c>
      <c r="Y17" s="26">
        <v>0</v>
      </c>
      <c r="Z17" s="27">
        <v>58.373</v>
      </c>
      <c r="AA17" s="27">
        <v>58.373</v>
      </c>
      <c r="AB17" s="27">
        <v>58.373</v>
      </c>
      <c r="AC17" s="43">
        <v>0.07985</v>
      </c>
      <c r="AD17" s="44">
        <v>0</v>
      </c>
    </row>
    <row r="18" spans="1:30" ht="15">
      <c r="A18" s="25">
        <v>10029</v>
      </c>
      <c r="B18" s="25" t="s">
        <v>7</v>
      </c>
      <c r="C18" s="36">
        <f t="shared" si="4"/>
        <v>11359.764</v>
      </c>
      <c r="D18" s="36">
        <f t="shared" si="3"/>
        <v>14381.874</v>
      </c>
      <c r="E18" s="36">
        <f t="shared" si="3"/>
        <v>14076.982</v>
      </c>
      <c r="F18" s="36">
        <f t="shared" si="3"/>
        <v>11626.988000000001</v>
      </c>
      <c r="G18" s="36">
        <f t="shared" si="3"/>
        <v>10077.366</v>
      </c>
      <c r="H18" s="36">
        <f t="shared" si="3"/>
        <v>12030.339</v>
      </c>
      <c r="I18" s="36">
        <f t="shared" si="3"/>
        <v>9339.957</v>
      </c>
      <c r="J18" s="36">
        <f t="shared" si="3"/>
        <v>12940.579000000002</v>
      </c>
      <c r="K18" s="36">
        <f t="shared" si="3"/>
        <v>13827.279</v>
      </c>
      <c r="L18" s="36">
        <f t="shared" si="3"/>
        <v>13128.376</v>
      </c>
      <c r="M18" s="36">
        <f t="shared" si="3"/>
        <v>12687.561999999998</v>
      </c>
      <c r="N18" s="36">
        <f t="shared" si="3"/>
        <v>11724.630000000001</v>
      </c>
      <c r="O18" s="37">
        <f t="shared" si="5"/>
        <v>147201.696</v>
      </c>
      <c r="R18" s="25">
        <v>10029</v>
      </c>
      <c r="S18" s="25" t="s">
        <v>7</v>
      </c>
      <c r="T18" s="26">
        <v>0.0024945</v>
      </c>
      <c r="U18" s="26">
        <v>0.0024945</v>
      </c>
      <c r="V18" s="26">
        <v>0.0024945</v>
      </c>
      <c r="W18" s="26">
        <v>0.0024945</v>
      </c>
      <c r="X18" s="26">
        <v>0</v>
      </c>
      <c r="Y18" s="26">
        <v>0</v>
      </c>
      <c r="Z18" s="27">
        <v>16.804</v>
      </c>
      <c r="AA18" s="27">
        <v>16.804</v>
      </c>
      <c r="AB18" s="27">
        <v>16.804</v>
      </c>
      <c r="AC18" s="43">
        <v>0.08645</v>
      </c>
      <c r="AD18" s="44">
        <v>1</v>
      </c>
    </row>
    <row r="19" spans="1:30" ht="15">
      <c r="A19" s="25">
        <v>10044</v>
      </c>
      <c r="B19" s="25" t="s">
        <v>8</v>
      </c>
      <c r="C19" s="36">
        <f t="shared" si="4"/>
        <v>13096.632</v>
      </c>
      <c r="D19" s="36">
        <f t="shared" si="3"/>
        <v>16580.811</v>
      </c>
      <c r="E19" s="36">
        <f t="shared" si="3"/>
        <v>16229.301</v>
      </c>
      <c r="F19" s="36">
        <f t="shared" si="3"/>
        <v>13404.712</v>
      </c>
      <c r="G19" s="36">
        <f t="shared" si="3"/>
        <v>11618.158</v>
      </c>
      <c r="H19" s="36">
        <f t="shared" si="3"/>
        <v>13869.735</v>
      </c>
      <c r="I19" s="36">
        <f t="shared" si="3"/>
        <v>10768.002</v>
      </c>
      <c r="J19" s="36">
        <f t="shared" si="3"/>
        <v>14919.146</v>
      </c>
      <c r="K19" s="36">
        <f t="shared" si="3"/>
        <v>15941.420999999998</v>
      </c>
      <c r="L19" s="36">
        <f t="shared" si="3"/>
        <v>15135.657</v>
      </c>
      <c r="M19" s="36">
        <f t="shared" si="3"/>
        <v>14627.445</v>
      </c>
      <c r="N19" s="36">
        <f t="shared" si="3"/>
        <v>13517.284</v>
      </c>
      <c r="O19" s="37">
        <f t="shared" si="5"/>
        <v>169708.304</v>
      </c>
      <c r="R19" s="25">
        <v>10044</v>
      </c>
      <c r="S19" s="25" t="s">
        <v>8</v>
      </c>
      <c r="T19" s="26">
        <v>0.0028759</v>
      </c>
      <c r="U19" s="26">
        <v>0.0028759</v>
      </c>
      <c r="V19" s="26">
        <v>0.0028759</v>
      </c>
      <c r="W19" s="26">
        <v>0.0028759</v>
      </c>
      <c r="X19" s="26">
        <v>0</v>
      </c>
      <c r="Y19" s="26">
        <v>0</v>
      </c>
      <c r="Z19" s="27">
        <v>19.373</v>
      </c>
      <c r="AA19" s="27">
        <v>19.373</v>
      </c>
      <c r="AB19" s="27">
        <v>19.373</v>
      </c>
      <c r="AC19" s="43">
        <v>0</v>
      </c>
      <c r="AD19" s="44">
        <v>0</v>
      </c>
    </row>
    <row r="20" spans="1:30" ht="15">
      <c r="A20" s="25">
        <v>10046</v>
      </c>
      <c r="B20" s="25" t="s">
        <v>9</v>
      </c>
      <c r="C20" s="36">
        <f t="shared" si="4"/>
        <v>52782.261</v>
      </c>
      <c r="D20" s="36">
        <f t="shared" si="3"/>
        <v>66824.25899999999</v>
      </c>
      <c r="E20" s="36">
        <f t="shared" si="3"/>
        <v>65407.598</v>
      </c>
      <c r="F20" s="36">
        <f t="shared" si="3"/>
        <v>54023.895</v>
      </c>
      <c r="G20" s="36">
        <f t="shared" si="3"/>
        <v>46823.694</v>
      </c>
      <c r="H20" s="36">
        <f t="shared" si="3"/>
        <v>55898.034999999996</v>
      </c>
      <c r="I20" s="36">
        <f t="shared" si="3"/>
        <v>43397.383</v>
      </c>
      <c r="J20" s="36">
        <f t="shared" si="3"/>
        <v>60127.392</v>
      </c>
      <c r="K20" s="36">
        <f t="shared" si="3"/>
        <v>64247.378</v>
      </c>
      <c r="L20" s="36">
        <f t="shared" si="3"/>
        <v>60999.976</v>
      </c>
      <c r="M20" s="36">
        <f t="shared" si="3"/>
        <v>58951.771</v>
      </c>
      <c r="N20" s="36">
        <f t="shared" si="3"/>
        <v>54477.582</v>
      </c>
      <c r="O20" s="37">
        <f t="shared" si="5"/>
        <v>683961.224</v>
      </c>
      <c r="R20" s="25">
        <v>10046</v>
      </c>
      <c r="S20" s="25" t="s">
        <v>9</v>
      </c>
      <c r="T20" s="26">
        <v>0.0115905</v>
      </c>
      <c r="U20" s="26">
        <v>0.0115905</v>
      </c>
      <c r="V20" s="26">
        <v>0.0115905</v>
      </c>
      <c r="W20" s="26">
        <v>0.0115905</v>
      </c>
      <c r="X20" s="26">
        <v>0</v>
      </c>
      <c r="Y20" s="26">
        <v>0</v>
      </c>
      <c r="Z20" s="27">
        <v>78.078</v>
      </c>
      <c r="AA20" s="27">
        <v>78.078</v>
      </c>
      <c r="AB20" s="27">
        <v>78.078</v>
      </c>
      <c r="AC20" s="43">
        <v>0.08111</v>
      </c>
      <c r="AD20" s="44">
        <v>1</v>
      </c>
    </row>
    <row r="21" spans="1:30" ht="15">
      <c r="A21" s="25">
        <v>10047</v>
      </c>
      <c r="B21" s="25" t="s">
        <v>10</v>
      </c>
      <c r="C21" s="36">
        <f t="shared" si="4"/>
        <v>101031.546</v>
      </c>
      <c r="D21" s="36">
        <f t="shared" si="3"/>
        <v>127909.603</v>
      </c>
      <c r="E21" s="36">
        <f t="shared" si="3"/>
        <v>125197.948</v>
      </c>
      <c r="F21" s="36">
        <f t="shared" si="3"/>
        <v>103408.18100000001</v>
      </c>
      <c r="G21" s="36">
        <f t="shared" si="3"/>
        <v>89626.136</v>
      </c>
      <c r="H21" s="36">
        <f t="shared" si="3"/>
        <v>106995.508</v>
      </c>
      <c r="I21" s="36">
        <f t="shared" si="3"/>
        <v>83067.767</v>
      </c>
      <c r="J21" s="36">
        <f t="shared" si="3"/>
        <v>115091.004</v>
      </c>
      <c r="K21" s="36">
        <f t="shared" si="3"/>
        <v>122977.147</v>
      </c>
      <c r="L21" s="36">
        <f t="shared" si="3"/>
        <v>116761.23300000001</v>
      </c>
      <c r="M21" s="36">
        <f t="shared" si="3"/>
        <v>112840.723</v>
      </c>
      <c r="N21" s="36">
        <f t="shared" si="3"/>
        <v>104276.592</v>
      </c>
      <c r="O21" s="37">
        <f t="shared" si="5"/>
        <v>1309183.388</v>
      </c>
      <c r="R21" s="25">
        <v>10047</v>
      </c>
      <c r="S21" s="25" t="s">
        <v>10</v>
      </c>
      <c r="T21" s="26">
        <v>0.0221856</v>
      </c>
      <c r="U21" s="26">
        <v>0.0221856</v>
      </c>
      <c r="V21" s="26">
        <v>0.0221856</v>
      </c>
      <c r="W21" s="26">
        <v>0.0221856</v>
      </c>
      <c r="X21" s="26">
        <v>0</v>
      </c>
      <c r="Y21" s="26">
        <v>0</v>
      </c>
      <c r="Z21" s="27">
        <v>149.45</v>
      </c>
      <c r="AA21" s="27">
        <v>149.45</v>
      </c>
      <c r="AB21" s="27">
        <v>149.45</v>
      </c>
      <c r="AC21" s="43">
        <v>0</v>
      </c>
      <c r="AD21" s="44">
        <v>0</v>
      </c>
    </row>
    <row r="22" spans="1:30" ht="15">
      <c r="A22" s="25">
        <v>10055</v>
      </c>
      <c r="B22" s="25" t="s">
        <v>11</v>
      </c>
      <c r="C22" s="36">
        <f t="shared" si="4"/>
        <v>256.842</v>
      </c>
      <c r="D22" s="36">
        <f t="shared" si="3"/>
        <v>325.16999999999996</v>
      </c>
      <c r="E22" s="36">
        <f t="shared" si="3"/>
        <v>318.27599999999995</v>
      </c>
      <c r="F22" s="36">
        <f t="shared" si="3"/>
        <v>262.88300000000004</v>
      </c>
      <c r="G22" s="36">
        <f t="shared" si="3"/>
        <v>227.846</v>
      </c>
      <c r="H22" s="36">
        <f t="shared" si="3"/>
        <v>272.003</v>
      </c>
      <c r="I22" s="36">
        <f t="shared" si="3"/>
        <v>211.174</v>
      </c>
      <c r="J22" s="36">
        <f t="shared" si="3"/>
        <v>292.58299999999997</v>
      </c>
      <c r="K22" s="36">
        <f t="shared" si="3"/>
        <v>312.631</v>
      </c>
      <c r="L22" s="36">
        <f t="shared" si="3"/>
        <v>296.829</v>
      </c>
      <c r="M22" s="36">
        <f t="shared" si="3"/>
        <v>286.863</v>
      </c>
      <c r="N22" s="36">
        <f t="shared" si="3"/>
        <v>265.091</v>
      </c>
      <c r="O22" s="37">
        <f t="shared" si="5"/>
        <v>3328.1909999999993</v>
      </c>
      <c r="R22" s="25">
        <v>10055</v>
      </c>
      <c r="S22" s="25" t="s">
        <v>11</v>
      </c>
      <c r="T22" s="26">
        <v>5.64E-05</v>
      </c>
      <c r="U22" s="26">
        <v>5.64E-05</v>
      </c>
      <c r="V22" s="26">
        <v>5.64E-05</v>
      </c>
      <c r="W22" s="26">
        <v>5.64E-05</v>
      </c>
      <c r="X22" s="26">
        <v>0</v>
      </c>
      <c r="Y22" s="26">
        <v>0</v>
      </c>
      <c r="Z22" s="27">
        <v>0.38</v>
      </c>
      <c r="AA22" s="27">
        <v>0.38</v>
      </c>
      <c r="AB22" s="27">
        <v>0.38</v>
      </c>
      <c r="AC22" s="43">
        <v>0</v>
      </c>
      <c r="AD22" s="44">
        <v>0</v>
      </c>
    </row>
    <row r="23" spans="1:30" ht="15">
      <c r="A23" s="25">
        <v>10057</v>
      </c>
      <c r="B23" s="25" t="s">
        <v>12</v>
      </c>
      <c r="C23" s="36">
        <f t="shared" si="4"/>
        <v>13504.206999999999</v>
      </c>
      <c r="D23" s="36">
        <f t="shared" si="3"/>
        <v>17096.817000000003</v>
      </c>
      <c r="E23" s="36">
        <f t="shared" si="3"/>
        <v>16734.368000000002</v>
      </c>
      <c r="F23" s="36">
        <f t="shared" si="3"/>
        <v>13821.877</v>
      </c>
      <c r="G23" s="36">
        <f t="shared" si="3"/>
        <v>11979.723</v>
      </c>
      <c r="H23" s="36">
        <f t="shared" si="3"/>
        <v>14301.37</v>
      </c>
      <c r="I23" s="36">
        <f t="shared" si="3"/>
        <v>11103.11</v>
      </c>
      <c r="J23" s="36">
        <f t="shared" si="3"/>
        <v>15383.439999999999</v>
      </c>
      <c r="K23" s="36">
        <f t="shared" si="3"/>
        <v>16437.528</v>
      </c>
      <c r="L23" s="36">
        <f t="shared" si="3"/>
        <v>15606.689</v>
      </c>
      <c r="M23" s="36">
        <f t="shared" si="3"/>
        <v>15082.66</v>
      </c>
      <c r="N23" s="36">
        <f t="shared" si="3"/>
        <v>13937.951000000001</v>
      </c>
      <c r="O23" s="37">
        <f t="shared" si="5"/>
        <v>174989.74000000002</v>
      </c>
      <c r="R23" s="25">
        <v>10057</v>
      </c>
      <c r="S23" s="25" t="s">
        <v>12</v>
      </c>
      <c r="T23" s="26">
        <v>0.0029654</v>
      </c>
      <c r="U23" s="26">
        <v>0.0029654</v>
      </c>
      <c r="V23" s="26">
        <v>0.0029654</v>
      </c>
      <c r="W23" s="26">
        <v>0.0029654</v>
      </c>
      <c r="X23" s="26">
        <v>0</v>
      </c>
      <c r="Y23" s="26">
        <v>0</v>
      </c>
      <c r="Z23" s="27">
        <v>20.097</v>
      </c>
      <c r="AA23" s="27">
        <v>19.976</v>
      </c>
      <c r="AB23" s="27">
        <v>19.976</v>
      </c>
      <c r="AC23" s="43">
        <v>0</v>
      </c>
      <c r="AD23" s="44">
        <v>0</v>
      </c>
    </row>
    <row r="24" spans="1:30" ht="15">
      <c r="A24" s="25">
        <v>10059</v>
      </c>
      <c r="B24" s="25" t="s">
        <v>13</v>
      </c>
      <c r="C24" s="36">
        <f t="shared" si="4"/>
        <v>4925.98</v>
      </c>
      <c r="D24" s="36">
        <f t="shared" si="3"/>
        <v>6236.469</v>
      </c>
      <c r="E24" s="36">
        <f t="shared" si="3"/>
        <v>6104.258</v>
      </c>
      <c r="F24" s="36">
        <f t="shared" si="3"/>
        <v>5041.857</v>
      </c>
      <c r="G24" s="36">
        <f t="shared" si="3"/>
        <v>4369.889</v>
      </c>
      <c r="H24" s="36">
        <f t="shared" si="3"/>
        <v>5216.765</v>
      </c>
      <c r="I24" s="36">
        <f t="shared" si="3"/>
        <v>4050.1229999999996</v>
      </c>
      <c r="J24" s="36">
        <f t="shared" si="3"/>
        <v>5611.475</v>
      </c>
      <c r="K24" s="36">
        <f t="shared" si="3"/>
        <v>5995.978999999999</v>
      </c>
      <c r="L24" s="36">
        <f t="shared" si="3"/>
        <v>5692.911</v>
      </c>
      <c r="M24" s="36">
        <f t="shared" si="3"/>
        <v>5501.759</v>
      </c>
      <c r="N24" s="36">
        <f t="shared" si="3"/>
        <v>5084.198</v>
      </c>
      <c r="O24" s="37">
        <f t="shared" si="5"/>
        <v>63831.663</v>
      </c>
      <c r="R24" s="25">
        <v>10059</v>
      </c>
      <c r="S24" s="25" t="s">
        <v>13</v>
      </c>
      <c r="T24" s="26">
        <v>0.0010817</v>
      </c>
      <c r="U24" s="26">
        <v>0.0010817</v>
      </c>
      <c r="V24" s="26">
        <v>0.0010817</v>
      </c>
      <c r="W24" s="26">
        <v>0.0010817</v>
      </c>
      <c r="X24" s="26">
        <v>0</v>
      </c>
      <c r="Y24" s="26">
        <v>0</v>
      </c>
      <c r="Z24" s="27">
        <v>7.287</v>
      </c>
      <c r="AA24" s="27">
        <v>7.287</v>
      </c>
      <c r="AB24" s="27">
        <v>7.287</v>
      </c>
      <c r="AC24" s="43">
        <v>0</v>
      </c>
      <c r="AD24" s="44">
        <v>0</v>
      </c>
    </row>
    <row r="25" spans="1:30" ht="15">
      <c r="A25" s="25">
        <v>10061</v>
      </c>
      <c r="B25" s="25" t="s">
        <v>14</v>
      </c>
      <c r="C25" s="36">
        <f t="shared" si="4"/>
        <v>5640.036</v>
      </c>
      <c r="D25" s="36">
        <f t="shared" si="3"/>
        <v>7140.489</v>
      </c>
      <c r="E25" s="36">
        <f t="shared" si="3"/>
        <v>6989.112</v>
      </c>
      <c r="F25" s="36">
        <f t="shared" si="3"/>
        <v>5772.709000000001</v>
      </c>
      <c r="G25" s="36">
        <f t="shared" si="3"/>
        <v>5003.334000000001</v>
      </c>
      <c r="H25" s="36">
        <f t="shared" si="3"/>
        <v>5972.971</v>
      </c>
      <c r="I25" s="36">
        <f t="shared" si="3"/>
        <v>4637.217000000001</v>
      </c>
      <c r="J25" s="36">
        <f t="shared" si="3"/>
        <v>6424.896999999999</v>
      </c>
      <c r="K25" s="36">
        <f t="shared" si="3"/>
        <v>6865.137000000001</v>
      </c>
      <c r="L25" s="36">
        <f t="shared" si="3"/>
        <v>6518.138000000001</v>
      </c>
      <c r="M25" s="36">
        <f t="shared" si="3"/>
        <v>6299.276</v>
      </c>
      <c r="N25" s="36">
        <f t="shared" si="3"/>
        <v>5821.189</v>
      </c>
      <c r="O25" s="37">
        <f t="shared" si="5"/>
        <v>73084.505</v>
      </c>
      <c r="R25" s="25">
        <v>10061</v>
      </c>
      <c r="S25" s="25" t="s">
        <v>14</v>
      </c>
      <c r="T25" s="26">
        <v>0.0012385</v>
      </c>
      <c r="U25" s="26">
        <v>0.0012385</v>
      </c>
      <c r="V25" s="26">
        <v>0.0012385</v>
      </c>
      <c r="W25" s="26">
        <v>0.0012385</v>
      </c>
      <c r="X25" s="26">
        <v>0</v>
      </c>
      <c r="Y25" s="26">
        <v>0</v>
      </c>
      <c r="Z25" s="27">
        <v>8.343</v>
      </c>
      <c r="AA25" s="27">
        <v>8.343</v>
      </c>
      <c r="AB25" s="27">
        <v>8.343</v>
      </c>
      <c r="AC25" s="43">
        <v>0</v>
      </c>
      <c r="AD25" s="44">
        <v>0</v>
      </c>
    </row>
    <row r="26" spans="1:30" ht="15">
      <c r="A26" s="25">
        <v>10062</v>
      </c>
      <c r="B26" s="25" t="s">
        <v>15</v>
      </c>
      <c r="C26" s="36">
        <f t="shared" si="4"/>
        <v>3430.0159999999996</v>
      </c>
      <c r="D26" s="36">
        <f t="shared" si="3"/>
        <v>4342.524</v>
      </c>
      <c r="E26" s="36">
        <f t="shared" si="3"/>
        <v>4250.464</v>
      </c>
      <c r="F26" s="36">
        <f t="shared" si="3"/>
        <v>3510.703</v>
      </c>
      <c r="G26" s="36">
        <f t="shared" si="3"/>
        <v>3042.803</v>
      </c>
      <c r="H26" s="36">
        <f t="shared" si="3"/>
        <v>3632.492</v>
      </c>
      <c r="I26" s="36">
        <f t="shared" si="3"/>
        <v>2820.147</v>
      </c>
      <c r="J26" s="36">
        <f t="shared" si="3"/>
        <v>3907.334</v>
      </c>
      <c r="K26" s="36">
        <f t="shared" si="3"/>
        <v>4175.068</v>
      </c>
      <c r="L26" s="36">
        <f t="shared" si="3"/>
        <v>3964.0380000000005</v>
      </c>
      <c r="M26" s="36">
        <f t="shared" si="3"/>
        <v>3830.937</v>
      </c>
      <c r="N26" s="36">
        <f t="shared" si="3"/>
        <v>3540.1849999999995</v>
      </c>
      <c r="O26" s="37">
        <f t="shared" si="5"/>
        <v>44446.710999999996</v>
      </c>
      <c r="R26" s="25">
        <v>10062</v>
      </c>
      <c r="S26" s="25" t="s">
        <v>15</v>
      </c>
      <c r="T26" s="26">
        <v>0.0007532</v>
      </c>
      <c r="U26" s="26">
        <v>0.0007532</v>
      </c>
      <c r="V26" s="26">
        <v>0.0007532</v>
      </c>
      <c r="W26" s="26">
        <v>0.0007532</v>
      </c>
      <c r="X26" s="26">
        <v>0</v>
      </c>
      <c r="Y26" s="26">
        <v>0</v>
      </c>
      <c r="Z26" s="27">
        <v>5.074</v>
      </c>
      <c r="AA26" s="27">
        <v>5.074</v>
      </c>
      <c r="AB26" s="27">
        <v>5.074</v>
      </c>
      <c r="AC26" s="43">
        <v>0</v>
      </c>
      <c r="AD26" s="44">
        <v>0</v>
      </c>
    </row>
    <row r="27" spans="1:30" ht="15">
      <c r="A27" s="25">
        <v>10064</v>
      </c>
      <c r="B27" s="25" t="s">
        <v>16</v>
      </c>
      <c r="C27" s="36">
        <f t="shared" si="4"/>
        <v>9069.596000000001</v>
      </c>
      <c r="D27" s="36">
        <f t="shared" si="3"/>
        <v>11482.437999999998</v>
      </c>
      <c r="E27" s="36">
        <f t="shared" si="3"/>
        <v>11239.011999999999</v>
      </c>
      <c r="F27" s="36">
        <f t="shared" si="3"/>
        <v>9282.946</v>
      </c>
      <c r="G27" s="36">
        <f t="shared" si="3"/>
        <v>8045.733</v>
      </c>
      <c r="H27" s="36">
        <f t="shared" si="3"/>
        <v>9604.98</v>
      </c>
      <c r="I27" s="36">
        <f t="shared" si="3"/>
        <v>7456.989</v>
      </c>
      <c r="J27" s="36">
        <f t="shared" si="3"/>
        <v>10331.712</v>
      </c>
      <c r="K27" s="36">
        <f t="shared" si="3"/>
        <v>11039.651</v>
      </c>
      <c r="L27" s="36">
        <f t="shared" si="3"/>
        <v>10481.649000000001</v>
      </c>
      <c r="M27" s="36">
        <f t="shared" si="3"/>
        <v>10129.705</v>
      </c>
      <c r="N27" s="36">
        <f t="shared" si="3"/>
        <v>9360.904</v>
      </c>
      <c r="O27" s="37">
        <f t="shared" si="5"/>
        <v>117525.315</v>
      </c>
      <c r="R27" s="25">
        <v>10064</v>
      </c>
      <c r="S27" s="25" t="s">
        <v>16</v>
      </c>
      <c r="T27" s="26">
        <v>0.0019916</v>
      </c>
      <c r="U27" s="26">
        <v>0.0019916</v>
      </c>
      <c r="V27" s="26">
        <v>0.0019916</v>
      </c>
      <c r="W27" s="26">
        <v>0.0019916</v>
      </c>
      <c r="X27" s="26">
        <v>0</v>
      </c>
      <c r="Y27" s="26">
        <v>0</v>
      </c>
      <c r="Z27" s="27">
        <v>13.416</v>
      </c>
      <c r="AA27" s="27">
        <v>13.416</v>
      </c>
      <c r="AB27" s="27">
        <v>13.416</v>
      </c>
      <c r="AC27" s="43">
        <v>0</v>
      </c>
      <c r="AD27" s="44">
        <v>0</v>
      </c>
    </row>
    <row r="28" spans="1:30" ht="15">
      <c r="A28" s="25">
        <v>10065</v>
      </c>
      <c r="B28" s="25" t="s">
        <v>17</v>
      </c>
      <c r="C28" s="36">
        <f t="shared" si="4"/>
        <v>1533.306</v>
      </c>
      <c r="D28" s="36">
        <f t="shared" si="3"/>
        <v>1941.221</v>
      </c>
      <c r="E28" s="36">
        <f t="shared" si="3"/>
        <v>1900.0680000000002</v>
      </c>
      <c r="F28" s="36">
        <f t="shared" si="3"/>
        <v>1569.375</v>
      </c>
      <c r="G28" s="36">
        <f t="shared" si="3"/>
        <v>1360.212</v>
      </c>
      <c r="H28" s="36">
        <f t="shared" si="3"/>
        <v>1623.818</v>
      </c>
      <c r="I28" s="36">
        <f t="shared" si="3"/>
        <v>1260.679</v>
      </c>
      <c r="J28" s="36">
        <f t="shared" si="3"/>
        <v>1746.679</v>
      </c>
      <c r="K28" s="36">
        <f t="shared" si="3"/>
        <v>1866.365</v>
      </c>
      <c r="L28" s="36">
        <f t="shared" si="3"/>
        <v>1772.028</v>
      </c>
      <c r="M28" s="36">
        <f t="shared" si="3"/>
        <v>1712.529</v>
      </c>
      <c r="N28" s="36">
        <f t="shared" si="3"/>
        <v>1582.555</v>
      </c>
      <c r="O28" s="37">
        <f t="shared" si="5"/>
        <v>19868.835</v>
      </c>
      <c r="R28" s="25">
        <v>10065</v>
      </c>
      <c r="S28" s="25" t="s">
        <v>17</v>
      </c>
      <c r="T28" s="26">
        <v>0.0003367</v>
      </c>
      <c r="U28" s="26">
        <v>0.0003367</v>
      </c>
      <c r="V28" s="26">
        <v>0.0003367</v>
      </c>
      <c r="W28" s="26">
        <v>0.0003367</v>
      </c>
      <c r="X28" s="26">
        <v>0</v>
      </c>
      <c r="Y28" s="26">
        <v>0</v>
      </c>
      <c r="Z28" s="27">
        <v>2.268</v>
      </c>
      <c r="AA28" s="27">
        <v>2.268</v>
      </c>
      <c r="AB28" s="27">
        <v>2.268</v>
      </c>
      <c r="AC28" s="43">
        <v>0.07739</v>
      </c>
      <c r="AD28" s="44">
        <v>0</v>
      </c>
    </row>
    <row r="29" spans="1:30" ht="15">
      <c r="A29" s="25">
        <v>10066</v>
      </c>
      <c r="B29" s="25" t="s">
        <v>18</v>
      </c>
      <c r="C29" s="36">
        <f t="shared" si="4"/>
        <v>15716.048</v>
      </c>
      <c r="D29" s="36">
        <f t="shared" si="4"/>
        <v>19897.088</v>
      </c>
      <c r="E29" s="36">
        <f t="shared" si="4"/>
        <v>19475.273999999998</v>
      </c>
      <c r="F29" s="36">
        <f t="shared" si="4"/>
        <v>16085.748</v>
      </c>
      <c r="G29" s="36">
        <f t="shared" si="4"/>
        <v>13941.869999999999</v>
      </c>
      <c r="H29" s="36">
        <f t="shared" si="4"/>
        <v>16643.777</v>
      </c>
      <c r="I29" s="36">
        <f t="shared" si="4"/>
        <v>12921.678</v>
      </c>
      <c r="J29" s="36">
        <f t="shared" si="4"/>
        <v>17903.08</v>
      </c>
      <c r="K29" s="36">
        <f t="shared" si="4"/>
        <v>19129.816</v>
      </c>
      <c r="L29" s="36">
        <f t="shared" si="4"/>
        <v>18162.893</v>
      </c>
      <c r="M29" s="36">
        <f t="shared" si="4"/>
        <v>17553.036</v>
      </c>
      <c r="N29" s="36">
        <f t="shared" si="4"/>
        <v>16220.835</v>
      </c>
      <c r="O29" s="37">
        <f t="shared" si="5"/>
        <v>203651.14299999998</v>
      </c>
      <c r="R29" s="25">
        <v>10066</v>
      </c>
      <c r="S29" s="25" t="s">
        <v>18</v>
      </c>
      <c r="T29" s="26">
        <v>0.0034511</v>
      </c>
      <c r="U29" s="26">
        <v>0.0034511</v>
      </c>
      <c r="V29" s="26">
        <v>0.0034511</v>
      </c>
      <c r="W29" s="26">
        <v>0.0034511</v>
      </c>
      <c r="X29" s="26">
        <v>0</v>
      </c>
      <c r="Y29" s="26">
        <v>0</v>
      </c>
      <c r="Z29" s="27">
        <v>23.248</v>
      </c>
      <c r="AA29" s="27">
        <v>23.248</v>
      </c>
      <c r="AB29" s="27">
        <v>23.248</v>
      </c>
      <c r="AC29" s="43">
        <v>0</v>
      </c>
      <c r="AD29" s="44">
        <v>0</v>
      </c>
    </row>
    <row r="30" spans="1:30" ht="15">
      <c r="A30" s="25">
        <v>10067</v>
      </c>
      <c r="B30" s="25" t="s">
        <v>19</v>
      </c>
      <c r="C30" s="36">
        <f t="shared" si="4"/>
        <v>10199.88</v>
      </c>
      <c r="D30" s="36">
        <f t="shared" si="4"/>
        <v>12913.419</v>
      </c>
      <c r="E30" s="36">
        <f t="shared" si="4"/>
        <v>12639.655999999999</v>
      </c>
      <c r="F30" s="36">
        <f t="shared" si="4"/>
        <v>10439.818</v>
      </c>
      <c r="G30" s="36">
        <f t="shared" si="4"/>
        <v>9048.42</v>
      </c>
      <c r="H30" s="36">
        <f t="shared" si="4"/>
        <v>10801.986</v>
      </c>
      <c r="I30" s="36">
        <f t="shared" si="4"/>
        <v>8386.304</v>
      </c>
      <c r="J30" s="36">
        <f t="shared" si="4"/>
        <v>11619.286</v>
      </c>
      <c r="K30" s="36">
        <f t="shared" si="4"/>
        <v>12415.45</v>
      </c>
      <c r="L30" s="36">
        <f t="shared" si="4"/>
        <v>11787.908</v>
      </c>
      <c r="M30" s="36">
        <f t="shared" si="4"/>
        <v>11392.103000000001</v>
      </c>
      <c r="N30" s="36">
        <f t="shared" si="4"/>
        <v>10527.491</v>
      </c>
      <c r="O30" s="37">
        <f t="shared" si="5"/>
        <v>132171.721</v>
      </c>
      <c r="R30" s="25">
        <v>10067</v>
      </c>
      <c r="S30" s="25" t="s">
        <v>19</v>
      </c>
      <c r="T30" s="26">
        <v>0.0022398</v>
      </c>
      <c r="U30" s="26">
        <v>0.0022398</v>
      </c>
      <c r="V30" s="26">
        <v>0.0022398</v>
      </c>
      <c r="W30" s="26">
        <v>0.0022398</v>
      </c>
      <c r="X30" s="26">
        <v>0</v>
      </c>
      <c r="Y30" s="26">
        <v>0</v>
      </c>
      <c r="Z30" s="27">
        <v>15.088</v>
      </c>
      <c r="AA30" s="27">
        <v>15.088</v>
      </c>
      <c r="AB30" s="27">
        <v>15.088</v>
      </c>
      <c r="AC30" s="43">
        <v>0</v>
      </c>
      <c r="AD30" s="44">
        <v>0</v>
      </c>
    </row>
    <row r="31" spans="1:30" ht="15">
      <c r="A31" s="25">
        <v>10068</v>
      </c>
      <c r="B31" s="25" t="s">
        <v>20</v>
      </c>
      <c r="C31" s="36">
        <f t="shared" si="4"/>
        <v>1753.716</v>
      </c>
      <c r="D31" s="36">
        <f t="shared" si="4"/>
        <v>2220.2690000000002</v>
      </c>
      <c r="E31" s="36">
        <f t="shared" si="4"/>
        <v>2173.199</v>
      </c>
      <c r="F31" s="36">
        <f t="shared" si="4"/>
        <v>1794.97</v>
      </c>
      <c r="G31" s="36">
        <f t="shared" si="4"/>
        <v>1555.74</v>
      </c>
      <c r="H31" s="36">
        <f t="shared" si="4"/>
        <v>1857.239</v>
      </c>
      <c r="I31" s="36">
        <f t="shared" si="4"/>
        <v>1441.899</v>
      </c>
      <c r="J31" s="36">
        <f t="shared" si="4"/>
        <v>1997.7620000000002</v>
      </c>
      <c r="K31" s="36">
        <f t="shared" si="4"/>
        <v>2134.6499999999996</v>
      </c>
      <c r="L31" s="36">
        <f t="shared" si="4"/>
        <v>2026.754</v>
      </c>
      <c r="M31" s="36">
        <f t="shared" si="4"/>
        <v>1958.701</v>
      </c>
      <c r="N31" s="36">
        <f t="shared" si="4"/>
        <v>1810.044</v>
      </c>
      <c r="O31" s="37">
        <f t="shared" si="5"/>
        <v>22724.943000000003</v>
      </c>
      <c r="R31" s="25">
        <v>10068</v>
      </c>
      <c r="S31" s="25" t="s">
        <v>20</v>
      </c>
      <c r="T31" s="26">
        <v>0.0003843</v>
      </c>
      <c r="U31" s="26">
        <v>0.0003851</v>
      </c>
      <c r="V31" s="26">
        <v>0.0003843</v>
      </c>
      <c r="W31" s="26">
        <v>0.0003851</v>
      </c>
      <c r="X31" s="26">
        <v>0</v>
      </c>
      <c r="Y31" s="26">
        <v>0</v>
      </c>
      <c r="Z31" s="27">
        <v>2.642</v>
      </c>
      <c r="AA31" s="27">
        <v>2.589</v>
      </c>
      <c r="AB31" s="27">
        <v>2.594</v>
      </c>
      <c r="AC31" s="43">
        <v>0</v>
      </c>
      <c r="AD31" s="44">
        <v>0</v>
      </c>
    </row>
    <row r="32" spans="1:30" ht="15">
      <c r="A32" s="25">
        <v>10070</v>
      </c>
      <c r="B32" s="25" t="s">
        <v>21</v>
      </c>
      <c r="C32" s="36">
        <f t="shared" si="4"/>
        <v>231.339</v>
      </c>
      <c r="D32" s="36">
        <f t="shared" si="4"/>
        <v>292.884</v>
      </c>
      <c r="E32" s="36">
        <f t="shared" si="4"/>
        <v>286.675</v>
      </c>
      <c r="F32" s="36">
        <f t="shared" si="4"/>
        <v>236.781</v>
      </c>
      <c r="G32" s="36">
        <f t="shared" si="4"/>
        <v>205.224</v>
      </c>
      <c r="H32" s="36">
        <f t="shared" si="4"/>
        <v>244.995</v>
      </c>
      <c r="I32" s="36">
        <f t="shared" si="4"/>
        <v>190.207</v>
      </c>
      <c r="J32" s="36">
        <f t="shared" si="4"/>
        <v>263.532</v>
      </c>
      <c r="K32" s="36">
        <f t="shared" si="4"/>
        <v>281.59000000000003</v>
      </c>
      <c r="L32" s="36">
        <f t="shared" si="4"/>
        <v>267.35699999999997</v>
      </c>
      <c r="M32" s="36">
        <f t="shared" si="4"/>
        <v>258.38</v>
      </c>
      <c r="N32" s="36">
        <f t="shared" si="4"/>
        <v>238.76999999999998</v>
      </c>
      <c r="O32" s="37">
        <f t="shared" si="5"/>
        <v>2997.7339999999995</v>
      </c>
      <c r="R32" s="25">
        <v>10070</v>
      </c>
      <c r="S32" s="25" t="s">
        <v>21</v>
      </c>
      <c r="T32" s="26">
        <v>5.08E-05</v>
      </c>
      <c r="U32" s="26">
        <v>5.08E-05</v>
      </c>
      <c r="V32" s="26">
        <v>5.08E-05</v>
      </c>
      <c r="W32" s="26">
        <v>5.08E-05</v>
      </c>
      <c r="X32" s="26">
        <v>0</v>
      </c>
      <c r="Y32" s="26">
        <v>0</v>
      </c>
      <c r="Z32" s="27">
        <v>0.342</v>
      </c>
      <c r="AA32" s="27">
        <v>0.342</v>
      </c>
      <c r="AB32" s="27">
        <v>0.342</v>
      </c>
      <c r="AC32" s="43">
        <v>0</v>
      </c>
      <c r="AD32" s="44">
        <v>0</v>
      </c>
    </row>
    <row r="33" spans="1:30" ht="15">
      <c r="A33" s="25">
        <v>10071</v>
      </c>
      <c r="B33" s="25" t="s">
        <v>22</v>
      </c>
      <c r="C33" s="36">
        <f t="shared" si="4"/>
        <v>1234.569</v>
      </c>
      <c r="D33" s="36">
        <f t="shared" si="4"/>
        <v>1563.009</v>
      </c>
      <c r="E33" s="36">
        <f t="shared" si="4"/>
        <v>1529.8739999999998</v>
      </c>
      <c r="F33" s="36">
        <f t="shared" si="4"/>
        <v>1263.6100000000001</v>
      </c>
      <c r="G33" s="36">
        <f t="shared" si="4"/>
        <v>1095.199</v>
      </c>
      <c r="H33" s="36">
        <f t="shared" si="4"/>
        <v>1307.4470000000001</v>
      </c>
      <c r="I33" s="36">
        <f t="shared" si="4"/>
        <v>1015.058</v>
      </c>
      <c r="J33" s="36">
        <f t="shared" si="4"/>
        <v>1406.371</v>
      </c>
      <c r="K33" s="36">
        <f t="shared" si="4"/>
        <v>1502.736</v>
      </c>
      <c r="L33" s="36">
        <f t="shared" si="4"/>
        <v>1426.78</v>
      </c>
      <c r="M33" s="36">
        <f t="shared" si="4"/>
        <v>1378.873</v>
      </c>
      <c r="N33" s="36">
        <f t="shared" si="4"/>
        <v>1274.223</v>
      </c>
      <c r="O33" s="37">
        <f t="shared" si="5"/>
        <v>15997.749</v>
      </c>
      <c r="R33" s="25">
        <v>10071</v>
      </c>
      <c r="S33" s="25" t="s">
        <v>22</v>
      </c>
      <c r="T33" s="26">
        <v>0.0002711</v>
      </c>
      <c r="U33" s="26">
        <v>0.0002711</v>
      </c>
      <c r="V33" s="26">
        <v>0.0002711</v>
      </c>
      <c r="W33" s="26">
        <v>0.0002711</v>
      </c>
      <c r="X33" s="26">
        <v>0</v>
      </c>
      <c r="Y33" s="26">
        <v>0</v>
      </c>
      <c r="Z33" s="27">
        <v>1.826</v>
      </c>
      <c r="AA33" s="27">
        <v>1.826</v>
      </c>
      <c r="AB33" s="27">
        <v>1.826</v>
      </c>
      <c r="AC33" s="43">
        <v>0</v>
      </c>
      <c r="AD33" s="44">
        <v>0</v>
      </c>
    </row>
    <row r="34" spans="1:30" ht="15">
      <c r="A34" s="25">
        <v>10072</v>
      </c>
      <c r="B34" s="25" t="s">
        <v>23</v>
      </c>
      <c r="C34" s="36">
        <f t="shared" si="4"/>
        <v>15465.128</v>
      </c>
      <c r="D34" s="36">
        <f t="shared" si="4"/>
        <v>19579.413</v>
      </c>
      <c r="E34" s="36">
        <f t="shared" si="4"/>
        <v>19164.333</v>
      </c>
      <c r="F34" s="36">
        <f t="shared" si="4"/>
        <v>15828.923999999999</v>
      </c>
      <c r="G34" s="36">
        <f t="shared" si="4"/>
        <v>13719.276</v>
      </c>
      <c r="H34" s="36">
        <f t="shared" si="4"/>
        <v>16378.044000000002</v>
      </c>
      <c r="I34" s="36">
        <f t="shared" si="4"/>
        <v>12715.371</v>
      </c>
      <c r="J34" s="36">
        <f t="shared" si="4"/>
        <v>17617.24</v>
      </c>
      <c r="K34" s="36">
        <f t="shared" si="4"/>
        <v>18824.39</v>
      </c>
      <c r="L34" s="36">
        <f t="shared" si="4"/>
        <v>17872.906</v>
      </c>
      <c r="M34" s="36">
        <f t="shared" si="4"/>
        <v>17272.785</v>
      </c>
      <c r="N34" s="36">
        <f t="shared" si="4"/>
        <v>15961.854</v>
      </c>
      <c r="O34" s="37">
        <f t="shared" si="5"/>
        <v>200399.664</v>
      </c>
      <c r="R34" s="25">
        <v>10072</v>
      </c>
      <c r="S34" s="25" t="s">
        <v>23</v>
      </c>
      <c r="T34" s="26">
        <v>0.003396</v>
      </c>
      <c r="U34" s="26">
        <v>0.003396</v>
      </c>
      <c r="V34" s="26">
        <v>0.003396</v>
      </c>
      <c r="W34" s="26">
        <v>0.003396</v>
      </c>
      <c r="X34" s="26">
        <v>0</v>
      </c>
      <c r="Y34" s="26">
        <v>0</v>
      </c>
      <c r="Z34" s="27">
        <v>22.877</v>
      </c>
      <c r="AA34" s="27">
        <v>22.877</v>
      </c>
      <c r="AB34" s="27">
        <v>22.877</v>
      </c>
      <c r="AC34" s="43">
        <v>0</v>
      </c>
      <c r="AD34" s="44">
        <v>0</v>
      </c>
    </row>
    <row r="35" spans="1:30" ht="15">
      <c r="A35" s="25">
        <v>10074</v>
      </c>
      <c r="B35" s="25" t="s">
        <v>24</v>
      </c>
      <c r="C35" s="36">
        <f t="shared" si="4"/>
        <v>17206.093</v>
      </c>
      <c r="D35" s="36">
        <f t="shared" si="4"/>
        <v>21783.537</v>
      </c>
      <c r="E35" s="36">
        <f t="shared" si="4"/>
        <v>21321.731</v>
      </c>
      <c r="F35" s="36">
        <f t="shared" si="4"/>
        <v>17610.844</v>
      </c>
      <c r="G35" s="36">
        <f t="shared" si="4"/>
        <v>15263.704</v>
      </c>
      <c r="H35" s="36">
        <f t="shared" si="4"/>
        <v>18221.78</v>
      </c>
      <c r="I35" s="36">
        <f t="shared" si="4"/>
        <v>14146.786</v>
      </c>
      <c r="J35" s="36">
        <f t="shared" si="4"/>
        <v>19600.477</v>
      </c>
      <c r="K35" s="36">
        <f t="shared" si="4"/>
        <v>20943.519</v>
      </c>
      <c r="L35" s="36">
        <f t="shared" si="4"/>
        <v>19884.924</v>
      </c>
      <c r="M35" s="36">
        <f t="shared" si="4"/>
        <v>19217.245</v>
      </c>
      <c r="N35" s="36">
        <f t="shared" si="4"/>
        <v>17758.737999999998</v>
      </c>
      <c r="O35" s="37">
        <f t="shared" si="5"/>
        <v>222959.37799999997</v>
      </c>
      <c r="R35" s="25">
        <v>10074</v>
      </c>
      <c r="S35" s="25" t="s">
        <v>24</v>
      </c>
      <c r="T35" s="26">
        <v>0.0037783</v>
      </c>
      <c r="U35" s="26">
        <v>0.0037783</v>
      </c>
      <c r="V35" s="26">
        <v>0.0037783</v>
      </c>
      <c r="W35" s="26">
        <v>0.0037783</v>
      </c>
      <c r="X35" s="26">
        <v>0</v>
      </c>
      <c r="Y35" s="26">
        <v>0</v>
      </c>
      <c r="Z35" s="27">
        <v>25.452</v>
      </c>
      <c r="AA35" s="27">
        <v>25.452</v>
      </c>
      <c r="AB35" s="27">
        <v>25.452</v>
      </c>
      <c r="AC35" s="43">
        <v>0</v>
      </c>
      <c r="AD35" s="44">
        <v>0</v>
      </c>
    </row>
    <row r="36" spans="1:30" ht="15">
      <c r="A36" s="25">
        <v>10076</v>
      </c>
      <c r="B36" s="25" t="s">
        <v>25</v>
      </c>
      <c r="C36" s="36">
        <f t="shared" si="4"/>
        <v>3106.232</v>
      </c>
      <c r="D36" s="36">
        <f t="shared" si="4"/>
        <v>3932.602</v>
      </c>
      <c r="E36" s="36">
        <f t="shared" si="4"/>
        <v>3849.232</v>
      </c>
      <c r="F36" s="36">
        <f t="shared" si="4"/>
        <v>3179.302</v>
      </c>
      <c r="G36" s="36">
        <f t="shared" si="4"/>
        <v>2755.5699999999997</v>
      </c>
      <c r="H36" s="36">
        <f t="shared" si="4"/>
        <v>3289.5950000000003</v>
      </c>
      <c r="I36" s="36">
        <f t="shared" si="4"/>
        <v>2553.933</v>
      </c>
      <c r="J36" s="36">
        <f t="shared" si="4"/>
        <v>3538.493</v>
      </c>
      <c r="K36" s="36">
        <f t="shared" si="4"/>
        <v>3780.9539999999997</v>
      </c>
      <c r="L36" s="36">
        <f t="shared" si="4"/>
        <v>3589.844</v>
      </c>
      <c r="M36" s="36">
        <f t="shared" si="4"/>
        <v>3469.3070000000002</v>
      </c>
      <c r="N36" s="36">
        <f t="shared" si="4"/>
        <v>3206.001</v>
      </c>
      <c r="O36" s="37">
        <f t="shared" si="5"/>
        <v>40251.065</v>
      </c>
      <c r="R36" s="25">
        <v>10076</v>
      </c>
      <c r="S36" s="25" t="s">
        <v>25</v>
      </c>
      <c r="T36" s="26">
        <v>0.0006821</v>
      </c>
      <c r="U36" s="26">
        <v>0.0006821</v>
      </c>
      <c r="V36" s="26">
        <v>0.0006821</v>
      </c>
      <c r="W36" s="26">
        <v>0.0006821</v>
      </c>
      <c r="X36" s="26">
        <v>0</v>
      </c>
      <c r="Y36" s="26">
        <v>0</v>
      </c>
      <c r="Z36" s="27">
        <v>4.595</v>
      </c>
      <c r="AA36" s="27">
        <v>4.595</v>
      </c>
      <c r="AB36" s="27">
        <v>4.595</v>
      </c>
      <c r="AC36" s="43">
        <v>0</v>
      </c>
      <c r="AD36" s="44">
        <v>0</v>
      </c>
    </row>
    <row r="37" spans="1:30" ht="15">
      <c r="A37" s="25">
        <v>10078</v>
      </c>
      <c r="B37" s="25" t="s">
        <v>26</v>
      </c>
      <c r="C37" s="36">
        <f t="shared" si="4"/>
        <v>2397.1859999999997</v>
      </c>
      <c r="D37" s="36">
        <f t="shared" si="4"/>
        <v>3034.924</v>
      </c>
      <c r="E37" s="36">
        <f t="shared" si="4"/>
        <v>2970.585</v>
      </c>
      <c r="F37" s="36">
        <f t="shared" si="4"/>
        <v>2453.577</v>
      </c>
      <c r="G37" s="36">
        <f t="shared" si="4"/>
        <v>2126.569</v>
      </c>
      <c r="H37" s="36">
        <f t="shared" si="4"/>
        <v>2538.693</v>
      </c>
      <c r="I37" s="36">
        <f t="shared" si="4"/>
        <v>1970.958</v>
      </c>
      <c r="J37" s="36">
        <f t="shared" si="4"/>
        <v>2730.776</v>
      </c>
      <c r="K37" s="36">
        <f t="shared" si="4"/>
        <v>2917.891</v>
      </c>
      <c r="L37" s="36">
        <f t="shared" si="4"/>
        <v>2770.406</v>
      </c>
      <c r="M37" s="36">
        <f t="shared" si="4"/>
        <v>2677.383</v>
      </c>
      <c r="N37" s="36">
        <f t="shared" si="4"/>
        <v>2474.181</v>
      </c>
      <c r="O37" s="37">
        <f t="shared" si="5"/>
        <v>31063.128999999997</v>
      </c>
      <c r="R37" s="25">
        <v>10078</v>
      </c>
      <c r="S37" s="25" t="s">
        <v>26</v>
      </c>
      <c r="T37" s="26">
        <v>0.0005264</v>
      </c>
      <c r="U37" s="26">
        <v>0.0005264</v>
      </c>
      <c r="V37" s="26">
        <v>0.0005264</v>
      </c>
      <c r="W37" s="26">
        <v>0.0005264</v>
      </c>
      <c r="X37" s="26">
        <v>0</v>
      </c>
      <c r="Y37" s="26">
        <v>0</v>
      </c>
      <c r="Z37" s="27">
        <v>3.546</v>
      </c>
      <c r="AA37" s="27">
        <v>3.546</v>
      </c>
      <c r="AB37" s="27">
        <v>3.546</v>
      </c>
      <c r="AC37" s="43">
        <v>0</v>
      </c>
      <c r="AD37" s="44">
        <v>0</v>
      </c>
    </row>
    <row r="38" spans="1:30" ht="15">
      <c r="A38" s="25">
        <v>10079</v>
      </c>
      <c r="B38" s="25" t="s">
        <v>27</v>
      </c>
      <c r="C38" s="36">
        <f t="shared" si="4"/>
        <v>55037.82</v>
      </c>
      <c r="D38" s="36">
        <f t="shared" si="4"/>
        <v>69679.878</v>
      </c>
      <c r="E38" s="36">
        <f t="shared" si="4"/>
        <v>68202.679</v>
      </c>
      <c r="F38" s="36">
        <f t="shared" si="4"/>
        <v>56332.512</v>
      </c>
      <c r="G38" s="36">
        <f t="shared" si="4"/>
        <v>48824.623</v>
      </c>
      <c r="H38" s="36">
        <f t="shared" si="4"/>
        <v>58286.741</v>
      </c>
      <c r="I38" s="36">
        <f t="shared" si="4"/>
        <v>45251.894</v>
      </c>
      <c r="J38" s="36">
        <f t="shared" si="4"/>
        <v>62696.833</v>
      </c>
      <c r="K38" s="36">
        <f t="shared" si="4"/>
        <v>66992.879</v>
      </c>
      <c r="L38" s="36">
        <f t="shared" si="4"/>
        <v>63606.705</v>
      </c>
      <c r="M38" s="36">
        <f t="shared" si="4"/>
        <v>61470.973</v>
      </c>
      <c r="N38" s="36">
        <f t="shared" si="4"/>
        <v>56805.587</v>
      </c>
      <c r="O38" s="37">
        <f t="shared" si="5"/>
        <v>713189.1239999998</v>
      </c>
      <c r="R38" s="25">
        <v>10079</v>
      </c>
      <c r="S38" s="25" t="s">
        <v>27</v>
      </c>
      <c r="T38" s="26">
        <v>0.0120546</v>
      </c>
      <c r="U38" s="26">
        <v>0.0120858</v>
      </c>
      <c r="V38" s="26">
        <v>0.0120546</v>
      </c>
      <c r="W38" s="26">
        <v>0.0120858</v>
      </c>
      <c r="X38" s="26">
        <v>0</v>
      </c>
      <c r="Y38" s="26">
        <v>0</v>
      </c>
      <c r="Z38" s="27">
        <v>84.114</v>
      </c>
      <c r="AA38" s="27">
        <v>81.204</v>
      </c>
      <c r="AB38" s="27">
        <v>81.414</v>
      </c>
      <c r="AC38" s="43">
        <v>0</v>
      </c>
      <c r="AD38" s="44">
        <v>0</v>
      </c>
    </row>
    <row r="39" spans="1:30" ht="15">
      <c r="A39" s="25">
        <v>10080</v>
      </c>
      <c r="B39" s="25" t="s">
        <v>28</v>
      </c>
      <c r="C39" s="36">
        <f t="shared" si="4"/>
        <v>4639.5380000000005</v>
      </c>
      <c r="D39" s="36">
        <f t="shared" si="4"/>
        <v>5873.824</v>
      </c>
      <c r="E39" s="36">
        <f t="shared" si="4"/>
        <v>5749.3</v>
      </c>
      <c r="F39" s="36">
        <f t="shared" si="4"/>
        <v>4748.677</v>
      </c>
      <c r="G39" s="36">
        <f t="shared" si="4"/>
        <v>4115.782999999999</v>
      </c>
      <c r="H39" s="36">
        <f t="shared" si="4"/>
        <v>4913.414</v>
      </c>
      <c r="I39" s="36">
        <f t="shared" si="4"/>
        <v>3814.611</v>
      </c>
      <c r="J39" s="36">
        <f t="shared" si="4"/>
        <v>5285.1720000000005</v>
      </c>
      <c r="K39" s="36">
        <f t="shared" si="4"/>
        <v>5647.317</v>
      </c>
      <c r="L39" s="36">
        <f t="shared" si="4"/>
        <v>5361.871999999999</v>
      </c>
      <c r="M39" s="36">
        <f t="shared" si="4"/>
        <v>5181.835</v>
      </c>
      <c r="N39" s="36">
        <f t="shared" si="4"/>
        <v>4788.5560000000005</v>
      </c>
      <c r="O39" s="37">
        <f t="shared" si="5"/>
        <v>60119.899000000005</v>
      </c>
      <c r="R39" s="25">
        <v>10080</v>
      </c>
      <c r="S39" s="25" t="s">
        <v>28</v>
      </c>
      <c r="T39" s="26">
        <v>0.0010184</v>
      </c>
      <c r="U39" s="26">
        <v>0.0010188</v>
      </c>
      <c r="V39" s="26">
        <v>0.0010184</v>
      </c>
      <c r="W39" s="26">
        <v>0.0010188</v>
      </c>
      <c r="X39" s="26">
        <v>0</v>
      </c>
      <c r="Y39" s="26">
        <v>0</v>
      </c>
      <c r="Z39" s="27">
        <v>7.094</v>
      </c>
      <c r="AA39" s="27">
        <v>6.86</v>
      </c>
      <c r="AB39" s="27">
        <v>6.863</v>
      </c>
      <c r="AC39" s="43">
        <v>0</v>
      </c>
      <c r="AD39" s="44">
        <v>0</v>
      </c>
    </row>
    <row r="40" spans="1:30" ht="15">
      <c r="A40" s="25">
        <v>10081</v>
      </c>
      <c r="B40" s="25" t="s">
        <v>29</v>
      </c>
      <c r="C40" s="36">
        <f t="shared" si="4"/>
        <v>6235.689</v>
      </c>
      <c r="D40" s="36">
        <f t="shared" si="4"/>
        <v>7894.608</v>
      </c>
      <c r="E40" s="36">
        <f t="shared" si="4"/>
        <v>7727.244</v>
      </c>
      <c r="F40" s="36">
        <f t="shared" si="4"/>
        <v>6382.375</v>
      </c>
      <c r="G40" s="36">
        <f t="shared" si="4"/>
        <v>5531.745</v>
      </c>
      <c r="H40" s="36">
        <f t="shared" si="4"/>
        <v>6603.785</v>
      </c>
      <c r="I40" s="36">
        <f t="shared" si="4"/>
        <v>5126.961</v>
      </c>
      <c r="J40" s="36">
        <f t="shared" si="4"/>
        <v>7103.441000000001</v>
      </c>
      <c r="K40" s="36">
        <f t="shared" si="4"/>
        <v>7590.176</v>
      </c>
      <c r="L40" s="36">
        <f t="shared" si="4"/>
        <v>7206.528</v>
      </c>
      <c r="M40" s="36">
        <f t="shared" si="4"/>
        <v>6964.553</v>
      </c>
      <c r="N40" s="36">
        <f t="shared" si="4"/>
        <v>6435.974</v>
      </c>
      <c r="O40" s="37">
        <f t="shared" si="5"/>
        <v>80803.079</v>
      </c>
      <c r="R40" s="25">
        <v>10081</v>
      </c>
      <c r="S40" s="25" t="s">
        <v>29</v>
      </c>
      <c r="T40" s="26">
        <v>0.0013691</v>
      </c>
      <c r="U40" s="26">
        <v>0.0013693</v>
      </c>
      <c r="V40" s="26">
        <v>0.0013691</v>
      </c>
      <c r="W40" s="26">
        <v>0.0013693</v>
      </c>
      <c r="X40" s="26">
        <v>0</v>
      </c>
      <c r="Y40" s="26">
        <v>0</v>
      </c>
      <c r="Z40" s="27">
        <v>9.973</v>
      </c>
      <c r="AA40" s="27">
        <v>9.223</v>
      </c>
      <c r="AB40" s="27">
        <v>9.224</v>
      </c>
      <c r="AC40" s="43">
        <v>0</v>
      </c>
      <c r="AD40" s="44">
        <v>0</v>
      </c>
    </row>
    <row r="41" spans="1:30" ht="15">
      <c r="A41" s="25">
        <v>10082</v>
      </c>
      <c r="B41" s="25" t="s">
        <v>30</v>
      </c>
      <c r="C41" s="36">
        <f t="shared" si="4"/>
        <v>64.21000000000001</v>
      </c>
      <c r="D41" s="36">
        <f t="shared" si="4"/>
        <v>81.293</v>
      </c>
      <c r="E41" s="36">
        <f t="shared" si="4"/>
        <v>79.57</v>
      </c>
      <c r="F41" s="36">
        <f t="shared" si="4"/>
        <v>65.721</v>
      </c>
      <c r="G41" s="36">
        <f t="shared" si="4"/>
        <v>56.961</v>
      </c>
      <c r="H41" s="36">
        <f t="shared" si="4"/>
        <v>68.001</v>
      </c>
      <c r="I41" s="36">
        <f t="shared" si="4"/>
        <v>52.793000000000006</v>
      </c>
      <c r="J41" s="36">
        <f t="shared" si="4"/>
        <v>73.146</v>
      </c>
      <c r="K41" s="36">
        <f t="shared" si="4"/>
        <v>78.157</v>
      </c>
      <c r="L41" s="36">
        <f t="shared" si="4"/>
        <v>74.207</v>
      </c>
      <c r="M41" s="36">
        <f t="shared" si="4"/>
        <v>71.715</v>
      </c>
      <c r="N41" s="36">
        <f t="shared" si="4"/>
        <v>66.273</v>
      </c>
      <c r="O41" s="37">
        <f t="shared" si="5"/>
        <v>832.047</v>
      </c>
      <c r="R41" s="25">
        <v>10082</v>
      </c>
      <c r="S41" s="25" t="s">
        <v>30</v>
      </c>
      <c r="T41" s="26">
        <v>1.41E-05</v>
      </c>
      <c r="U41" s="26">
        <v>1.41E-05</v>
      </c>
      <c r="V41" s="26">
        <v>1.41E-05</v>
      </c>
      <c r="W41" s="26">
        <v>1.41E-05</v>
      </c>
      <c r="X41" s="26">
        <v>0</v>
      </c>
      <c r="Y41" s="26">
        <v>0</v>
      </c>
      <c r="Z41" s="27">
        <v>0.113</v>
      </c>
      <c r="AA41" s="27">
        <v>0.095</v>
      </c>
      <c r="AB41" s="27">
        <v>0.095</v>
      </c>
      <c r="AC41" s="43">
        <v>0</v>
      </c>
      <c r="AD41" s="44">
        <v>0</v>
      </c>
    </row>
    <row r="42" spans="1:30" ht="15">
      <c r="A42" s="25">
        <v>10083</v>
      </c>
      <c r="B42" s="25" t="s">
        <v>31</v>
      </c>
      <c r="C42" s="36">
        <f t="shared" si="4"/>
        <v>5393.213</v>
      </c>
      <c r="D42" s="36">
        <f t="shared" si="4"/>
        <v>6828.003000000001</v>
      </c>
      <c r="E42" s="36">
        <f t="shared" si="4"/>
        <v>6683.25</v>
      </c>
      <c r="F42" s="36">
        <f t="shared" si="4"/>
        <v>5520.081</v>
      </c>
      <c r="G42" s="36">
        <f t="shared" si="4"/>
        <v>4784.375</v>
      </c>
      <c r="H42" s="36">
        <f t="shared" si="4"/>
        <v>5711.5779999999995</v>
      </c>
      <c r="I42" s="36">
        <f t="shared" si="4"/>
        <v>4434.280000000001</v>
      </c>
      <c r="J42" s="36">
        <f t="shared" si="4"/>
        <v>6143.727</v>
      </c>
      <c r="K42" s="36">
        <f t="shared" si="4"/>
        <v>6564.700999999999</v>
      </c>
      <c r="L42" s="36">
        <f t="shared" si="4"/>
        <v>6232.8859999999995</v>
      </c>
      <c r="M42" s="36">
        <f t="shared" si="4"/>
        <v>6023.604</v>
      </c>
      <c r="N42" s="36">
        <f t="shared" si="4"/>
        <v>5566.438</v>
      </c>
      <c r="O42" s="37">
        <f t="shared" si="5"/>
        <v>69886.136</v>
      </c>
      <c r="R42" s="25">
        <v>10083</v>
      </c>
      <c r="S42" s="25" t="s">
        <v>31</v>
      </c>
      <c r="T42" s="26">
        <v>0.0011843</v>
      </c>
      <c r="U42" s="26">
        <v>0.0011843</v>
      </c>
      <c r="V42" s="26">
        <v>0.0011843</v>
      </c>
      <c r="W42" s="26">
        <v>0.0011843</v>
      </c>
      <c r="X42" s="26">
        <v>0</v>
      </c>
      <c r="Y42" s="26">
        <v>0</v>
      </c>
      <c r="Z42" s="27">
        <v>7.978</v>
      </c>
      <c r="AA42" s="27">
        <v>7.978</v>
      </c>
      <c r="AB42" s="27">
        <v>7.978</v>
      </c>
      <c r="AC42" s="43">
        <v>0</v>
      </c>
      <c r="AD42" s="44">
        <v>0</v>
      </c>
    </row>
    <row r="43" spans="1:30" ht="15">
      <c r="A43" s="25">
        <v>10086</v>
      </c>
      <c r="B43" s="25" t="s">
        <v>32</v>
      </c>
      <c r="C43" s="36">
        <f t="shared" si="4"/>
        <v>2543.822</v>
      </c>
      <c r="D43" s="36">
        <f t="shared" si="4"/>
        <v>3220.571</v>
      </c>
      <c r="E43" s="36">
        <f t="shared" si="4"/>
        <v>3152.295</v>
      </c>
      <c r="F43" s="36">
        <f t="shared" si="4"/>
        <v>2603.6620000000003</v>
      </c>
      <c r="G43" s="36">
        <f t="shared" si="4"/>
        <v>2256.651</v>
      </c>
      <c r="H43" s="36">
        <f t="shared" si="4"/>
        <v>2693.9849999999997</v>
      </c>
      <c r="I43" s="36">
        <f t="shared" si="4"/>
        <v>2091.5209999999997</v>
      </c>
      <c r="J43" s="36">
        <f t="shared" si="4"/>
        <v>2897.818</v>
      </c>
      <c r="K43" s="36">
        <f t="shared" si="4"/>
        <v>3096.379</v>
      </c>
      <c r="L43" s="36">
        <f t="shared" si="4"/>
        <v>2939.8720000000003</v>
      </c>
      <c r="M43" s="36">
        <f t="shared" si="4"/>
        <v>2841.16</v>
      </c>
      <c r="N43" s="36">
        <f t="shared" si="4"/>
        <v>2625.5280000000002</v>
      </c>
      <c r="O43" s="37">
        <f t="shared" si="5"/>
        <v>32963.264</v>
      </c>
      <c r="R43" s="25">
        <v>10086</v>
      </c>
      <c r="S43" s="25" t="s">
        <v>32</v>
      </c>
      <c r="T43" s="26">
        <v>0.0005586</v>
      </c>
      <c r="U43" s="26">
        <v>0.0005586</v>
      </c>
      <c r="V43" s="26">
        <v>0.0005586</v>
      </c>
      <c r="W43" s="26">
        <v>0.0005586</v>
      </c>
      <c r="X43" s="26">
        <v>0</v>
      </c>
      <c r="Y43" s="26">
        <v>0</v>
      </c>
      <c r="Z43" s="27">
        <v>3.763</v>
      </c>
      <c r="AA43" s="27">
        <v>3.763</v>
      </c>
      <c r="AB43" s="27">
        <v>3.763</v>
      </c>
      <c r="AC43" s="43">
        <v>0</v>
      </c>
      <c r="AD43" s="44">
        <v>0</v>
      </c>
    </row>
    <row r="44" spans="1:30" ht="15">
      <c r="A44" s="25">
        <v>10087</v>
      </c>
      <c r="B44" s="25" t="s">
        <v>33</v>
      </c>
      <c r="C44" s="36">
        <f t="shared" si="4"/>
        <v>38037.565</v>
      </c>
      <c r="D44" s="36">
        <f t="shared" si="4"/>
        <v>48156.938</v>
      </c>
      <c r="E44" s="36">
        <f t="shared" si="4"/>
        <v>47136.021</v>
      </c>
      <c r="F44" s="36">
        <f t="shared" si="4"/>
        <v>38932.349</v>
      </c>
      <c r="G44" s="36">
        <f t="shared" si="4"/>
        <v>33743.520000000004</v>
      </c>
      <c r="H44" s="36">
        <f t="shared" si="4"/>
        <v>40282.949</v>
      </c>
      <c r="I44" s="36">
        <f t="shared" si="4"/>
        <v>31274.347</v>
      </c>
      <c r="J44" s="36">
        <f t="shared" si="4"/>
        <v>43330.837</v>
      </c>
      <c r="K44" s="36">
        <f t="shared" si="4"/>
        <v>46299.907</v>
      </c>
      <c r="L44" s="36">
        <f t="shared" si="4"/>
        <v>43959.666</v>
      </c>
      <c r="M44" s="36">
        <f t="shared" si="4"/>
        <v>42483.625</v>
      </c>
      <c r="N44" s="36">
        <f t="shared" si="4"/>
        <v>39259.299</v>
      </c>
      <c r="O44" s="37">
        <f t="shared" si="5"/>
        <v>492897.02300000004</v>
      </c>
      <c r="R44" s="25">
        <v>10087</v>
      </c>
      <c r="S44" s="25" t="s">
        <v>33</v>
      </c>
      <c r="T44" s="26">
        <v>0.0064443</v>
      </c>
      <c r="U44" s="26">
        <v>0.0083527</v>
      </c>
      <c r="V44" s="26">
        <v>0.0064443</v>
      </c>
      <c r="W44" s="26">
        <v>0.0083527</v>
      </c>
      <c r="X44" s="26">
        <v>0</v>
      </c>
      <c r="Y44" s="26">
        <v>0</v>
      </c>
      <c r="Z44" s="27">
        <v>81.539</v>
      </c>
      <c r="AA44" s="27">
        <v>43.411</v>
      </c>
      <c r="AB44" s="27">
        <v>56.267</v>
      </c>
      <c r="AC44" s="43">
        <v>0</v>
      </c>
      <c r="AD44" s="44">
        <v>0</v>
      </c>
    </row>
    <row r="45" spans="1:30" ht="15">
      <c r="A45" s="25">
        <v>10089</v>
      </c>
      <c r="B45" s="25" t="s">
        <v>34</v>
      </c>
      <c r="C45" s="36">
        <f t="shared" si="4"/>
        <v>67202.718</v>
      </c>
      <c r="D45" s="36">
        <f t="shared" si="4"/>
        <v>85081.08</v>
      </c>
      <c r="E45" s="36">
        <f t="shared" si="4"/>
        <v>83277.379</v>
      </c>
      <c r="F45" s="36">
        <f t="shared" si="4"/>
        <v>68783.574</v>
      </c>
      <c r="G45" s="36">
        <f t="shared" si="4"/>
        <v>59616.231</v>
      </c>
      <c r="H45" s="36">
        <f t="shared" si="4"/>
        <v>71169.74100000001</v>
      </c>
      <c r="I45" s="36">
        <f t="shared" si="4"/>
        <v>55253.829</v>
      </c>
      <c r="J45" s="36">
        <f t="shared" si="4"/>
        <v>76554.587</v>
      </c>
      <c r="K45" s="36">
        <f t="shared" si="4"/>
        <v>81800.179</v>
      </c>
      <c r="L45" s="36">
        <f t="shared" si="4"/>
        <v>77665.567</v>
      </c>
      <c r="M45" s="36">
        <f t="shared" si="4"/>
        <v>75057.77799999999</v>
      </c>
      <c r="N45" s="36">
        <f t="shared" si="4"/>
        <v>69361.211</v>
      </c>
      <c r="O45" s="37">
        <f t="shared" si="5"/>
        <v>870823.8740000002</v>
      </c>
      <c r="R45" s="25">
        <v>10089</v>
      </c>
      <c r="S45" s="25" t="s">
        <v>34</v>
      </c>
      <c r="T45" s="26">
        <v>0.0147362</v>
      </c>
      <c r="U45" s="26">
        <v>0.0147571</v>
      </c>
      <c r="V45" s="26">
        <v>0.0147362</v>
      </c>
      <c r="W45" s="26">
        <v>0.0147571</v>
      </c>
      <c r="X45" s="26">
        <v>0</v>
      </c>
      <c r="Y45" s="26">
        <v>0</v>
      </c>
      <c r="Z45" s="27">
        <v>99.409</v>
      </c>
      <c r="AA45" s="27">
        <v>99.268</v>
      </c>
      <c r="AB45" s="27">
        <v>99.409</v>
      </c>
      <c r="AC45" s="43">
        <v>0</v>
      </c>
      <c r="AD45" s="44">
        <v>0</v>
      </c>
    </row>
    <row r="46" spans="1:30" ht="15">
      <c r="A46" s="25">
        <v>10091</v>
      </c>
      <c r="B46" s="25" t="s">
        <v>35</v>
      </c>
      <c r="C46" s="36">
        <f aca="true" t="shared" si="6" ref="C46:N67">ROUND(C$3*$W46,3)+ROUND(C$4*$W46,3)</f>
        <v>6076.3009999999995</v>
      </c>
      <c r="D46" s="36">
        <f t="shared" si="6"/>
        <v>7692.818</v>
      </c>
      <c r="E46" s="36">
        <f t="shared" si="6"/>
        <v>7529.732</v>
      </c>
      <c r="F46" s="36">
        <f t="shared" si="6"/>
        <v>6219.239</v>
      </c>
      <c r="G46" s="36">
        <f t="shared" si="6"/>
        <v>5390.351</v>
      </c>
      <c r="H46" s="36">
        <f t="shared" si="6"/>
        <v>6434.99</v>
      </c>
      <c r="I46" s="36">
        <f t="shared" si="6"/>
        <v>4995.913</v>
      </c>
      <c r="J46" s="36">
        <f t="shared" si="6"/>
        <v>6921.874</v>
      </c>
      <c r="K46" s="36">
        <f t="shared" si="6"/>
        <v>7396.1669999999995</v>
      </c>
      <c r="L46" s="36">
        <f t="shared" si="6"/>
        <v>7022.326</v>
      </c>
      <c r="M46" s="36">
        <f t="shared" si="6"/>
        <v>6786.536</v>
      </c>
      <c r="N46" s="36">
        <f t="shared" si="6"/>
        <v>6271.467000000001</v>
      </c>
      <c r="O46" s="37">
        <f t="shared" si="5"/>
        <v>78737.714</v>
      </c>
      <c r="R46" s="25">
        <v>10091</v>
      </c>
      <c r="S46" s="25" t="s">
        <v>35</v>
      </c>
      <c r="T46" s="26">
        <v>0.0013343</v>
      </c>
      <c r="U46" s="26">
        <v>0.0013343</v>
      </c>
      <c r="V46" s="26">
        <v>0.0013343</v>
      </c>
      <c r="W46" s="26">
        <v>0.0013343</v>
      </c>
      <c r="X46" s="26">
        <v>0</v>
      </c>
      <c r="Y46" s="26">
        <v>0</v>
      </c>
      <c r="Z46" s="27">
        <v>8.988</v>
      </c>
      <c r="AA46" s="27">
        <v>8.988</v>
      </c>
      <c r="AB46" s="27">
        <v>8.988</v>
      </c>
      <c r="AC46" s="43">
        <v>0</v>
      </c>
      <c r="AD46" s="44">
        <v>0</v>
      </c>
    </row>
    <row r="47" spans="1:30" ht="15">
      <c r="A47" s="25">
        <v>10094</v>
      </c>
      <c r="B47" s="25" t="s">
        <v>36</v>
      </c>
      <c r="C47" s="36">
        <f t="shared" si="6"/>
        <v>1958.643</v>
      </c>
      <c r="D47" s="36">
        <f t="shared" si="6"/>
        <v>2479.713</v>
      </c>
      <c r="E47" s="36">
        <f t="shared" si="6"/>
        <v>2427.1440000000002</v>
      </c>
      <c r="F47" s="36">
        <f t="shared" si="6"/>
        <v>2004.717</v>
      </c>
      <c r="G47" s="36">
        <f t="shared" si="6"/>
        <v>1737.5320000000002</v>
      </c>
      <c r="H47" s="36">
        <f t="shared" si="6"/>
        <v>2074.263</v>
      </c>
      <c r="I47" s="36">
        <f t="shared" si="6"/>
        <v>1610.3890000000001</v>
      </c>
      <c r="J47" s="36">
        <f t="shared" si="6"/>
        <v>2231.206</v>
      </c>
      <c r="K47" s="36">
        <f t="shared" si="6"/>
        <v>2384.09</v>
      </c>
      <c r="L47" s="36">
        <f t="shared" si="6"/>
        <v>2263.585</v>
      </c>
      <c r="M47" s="36">
        <f t="shared" si="6"/>
        <v>2187.581</v>
      </c>
      <c r="N47" s="36">
        <f t="shared" si="6"/>
        <v>2021.5529999999999</v>
      </c>
      <c r="O47" s="37">
        <f t="shared" si="5"/>
        <v>25380.415999999997</v>
      </c>
      <c r="R47" s="25">
        <v>10094</v>
      </c>
      <c r="S47" s="25" t="s">
        <v>36</v>
      </c>
      <c r="T47" s="26">
        <v>0.0004301</v>
      </c>
      <c r="U47" s="26">
        <v>0.0004301</v>
      </c>
      <c r="V47" s="26">
        <v>0.0004301</v>
      </c>
      <c r="W47" s="26">
        <v>0.0004301</v>
      </c>
      <c r="X47" s="26">
        <v>0</v>
      </c>
      <c r="Y47" s="26">
        <v>0</v>
      </c>
      <c r="Z47" s="27">
        <v>2.897</v>
      </c>
      <c r="AA47" s="27">
        <v>2.897</v>
      </c>
      <c r="AB47" s="27">
        <v>2.897</v>
      </c>
      <c r="AC47" s="43">
        <v>0</v>
      </c>
      <c r="AD47" s="44">
        <v>0</v>
      </c>
    </row>
    <row r="48" spans="1:30" ht="15">
      <c r="A48" s="25">
        <v>10095</v>
      </c>
      <c r="B48" s="25" t="s">
        <v>37</v>
      </c>
      <c r="C48" s="36">
        <f t="shared" si="6"/>
        <v>2349.37</v>
      </c>
      <c r="D48" s="36">
        <f t="shared" si="6"/>
        <v>2974.387</v>
      </c>
      <c r="E48" s="36">
        <f t="shared" si="6"/>
        <v>2911.331</v>
      </c>
      <c r="F48" s="36">
        <f t="shared" si="6"/>
        <v>2404.635</v>
      </c>
      <c r="G48" s="36">
        <f t="shared" si="6"/>
        <v>2084.15</v>
      </c>
      <c r="H48" s="36">
        <f t="shared" si="6"/>
        <v>2488.055</v>
      </c>
      <c r="I48" s="36">
        <f t="shared" si="6"/>
        <v>1931.643</v>
      </c>
      <c r="J48" s="36">
        <f t="shared" si="6"/>
        <v>2676.306</v>
      </c>
      <c r="K48" s="36">
        <f t="shared" si="6"/>
        <v>2859.689</v>
      </c>
      <c r="L48" s="36">
        <f t="shared" si="6"/>
        <v>2715.145</v>
      </c>
      <c r="M48" s="36">
        <f t="shared" si="6"/>
        <v>2623.978</v>
      </c>
      <c r="N48" s="36">
        <f t="shared" si="6"/>
        <v>2424.829</v>
      </c>
      <c r="O48" s="37">
        <f t="shared" si="5"/>
        <v>30443.518</v>
      </c>
      <c r="R48" s="25">
        <v>10095</v>
      </c>
      <c r="S48" s="25" t="s">
        <v>37</v>
      </c>
      <c r="T48" s="26">
        <v>0.0005159</v>
      </c>
      <c r="U48" s="26">
        <v>0.0005159</v>
      </c>
      <c r="V48" s="26">
        <v>0.0005159</v>
      </c>
      <c r="W48" s="26">
        <v>0.0005159</v>
      </c>
      <c r="X48" s="26">
        <v>0</v>
      </c>
      <c r="Y48" s="26">
        <v>0</v>
      </c>
      <c r="Z48" s="27">
        <v>3.475</v>
      </c>
      <c r="AA48" s="27">
        <v>3.475</v>
      </c>
      <c r="AB48" s="27">
        <v>3.475</v>
      </c>
      <c r="AC48" s="43">
        <v>0</v>
      </c>
      <c r="AD48" s="44">
        <v>0</v>
      </c>
    </row>
    <row r="49" spans="1:30" ht="15">
      <c r="A49" s="25">
        <v>10097</v>
      </c>
      <c r="B49" s="25" t="s">
        <v>38</v>
      </c>
      <c r="C49" s="36">
        <f t="shared" si="6"/>
        <v>1314.263</v>
      </c>
      <c r="D49" s="36">
        <f t="shared" si="6"/>
        <v>1663.904</v>
      </c>
      <c r="E49" s="36">
        <f t="shared" si="6"/>
        <v>1628.63</v>
      </c>
      <c r="F49" s="36">
        <f t="shared" si="6"/>
        <v>1345.179</v>
      </c>
      <c r="G49" s="36">
        <f t="shared" si="6"/>
        <v>1165.896</v>
      </c>
      <c r="H49" s="36">
        <f t="shared" si="6"/>
        <v>1391.845</v>
      </c>
      <c r="I49" s="36">
        <f t="shared" si="6"/>
        <v>1080.5819999999999</v>
      </c>
      <c r="J49" s="36">
        <f t="shared" si="6"/>
        <v>1497.154</v>
      </c>
      <c r="K49" s="36">
        <f t="shared" si="6"/>
        <v>1599.74</v>
      </c>
      <c r="L49" s="36">
        <f t="shared" si="6"/>
        <v>1518.8809999999999</v>
      </c>
      <c r="M49" s="36">
        <f t="shared" si="6"/>
        <v>1467.882</v>
      </c>
      <c r="N49" s="36">
        <f t="shared" si="6"/>
        <v>1356.475</v>
      </c>
      <c r="O49" s="37">
        <f t="shared" si="5"/>
        <v>17030.431</v>
      </c>
      <c r="R49" s="25">
        <v>10097</v>
      </c>
      <c r="S49" s="25" t="s">
        <v>38</v>
      </c>
      <c r="T49" s="26">
        <v>0.0002886</v>
      </c>
      <c r="U49" s="26">
        <v>0.0002886</v>
      </c>
      <c r="V49" s="26">
        <v>0.0002886</v>
      </c>
      <c r="W49" s="26">
        <v>0.0002886</v>
      </c>
      <c r="X49" s="26">
        <v>0</v>
      </c>
      <c r="Y49" s="26">
        <v>0</v>
      </c>
      <c r="Z49" s="27">
        <v>1.944</v>
      </c>
      <c r="AA49" s="27">
        <v>1.944</v>
      </c>
      <c r="AB49" s="27">
        <v>1.944</v>
      </c>
      <c r="AC49" s="43">
        <v>0</v>
      </c>
      <c r="AD49" s="44">
        <v>0</v>
      </c>
    </row>
    <row r="50" spans="1:30" ht="15">
      <c r="A50" s="25">
        <v>10101</v>
      </c>
      <c r="B50" s="25" t="s">
        <v>39</v>
      </c>
      <c r="C50" s="36">
        <f t="shared" si="6"/>
        <v>49027.095</v>
      </c>
      <c r="D50" s="36">
        <f t="shared" si="6"/>
        <v>62070.081999999995</v>
      </c>
      <c r="E50" s="36">
        <f t="shared" si="6"/>
        <v>60754.209</v>
      </c>
      <c r="F50" s="36">
        <f t="shared" si="6"/>
        <v>50180.393</v>
      </c>
      <c r="G50" s="36">
        <f t="shared" si="6"/>
        <v>43492.445999999996</v>
      </c>
      <c r="H50" s="36">
        <f t="shared" si="6"/>
        <v>51921.198000000004</v>
      </c>
      <c r="I50" s="36">
        <f t="shared" si="6"/>
        <v>40309.899000000005</v>
      </c>
      <c r="J50" s="36">
        <f t="shared" si="6"/>
        <v>55849.66100000001</v>
      </c>
      <c r="K50" s="36">
        <f t="shared" si="6"/>
        <v>59676.53199999999</v>
      </c>
      <c r="L50" s="36">
        <f t="shared" si="6"/>
        <v>56660.164</v>
      </c>
      <c r="M50" s="36">
        <f t="shared" si="6"/>
        <v>54757.679000000004</v>
      </c>
      <c r="N50" s="36">
        <f t="shared" si="6"/>
        <v>50601.803</v>
      </c>
      <c r="O50" s="37">
        <f t="shared" si="5"/>
        <v>635301.161</v>
      </c>
      <c r="R50" s="25">
        <v>10101</v>
      </c>
      <c r="S50" s="25" t="s">
        <v>39</v>
      </c>
      <c r="T50" s="26">
        <v>0.0107659</v>
      </c>
      <c r="U50" s="26">
        <v>0.0107659</v>
      </c>
      <c r="V50" s="26">
        <v>0.0107659</v>
      </c>
      <c r="W50" s="26">
        <v>0.0107659</v>
      </c>
      <c r="X50" s="26">
        <v>0</v>
      </c>
      <c r="Y50" s="26">
        <v>0</v>
      </c>
      <c r="Z50" s="27">
        <v>72.523</v>
      </c>
      <c r="AA50" s="27">
        <v>72.523</v>
      </c>
      <c r="AB50" s="27">
        <v>72.523</v>
      </c>
      <c r="AC50" s="43">
        <v>0.05304</v>
      </c>
      <c r="AD50" s="44">
        <v>0</v>
      </c>
    </row>
    <row r="51" spans="1:30" ht="15">
      <c r="A51" s="25">
        <v>10103</v>
      </c>
      <c r="B51" s="25" t="s">
        <v>40</v>
      </c>
      <c r="C51" s="36">
        <f t="shared" si="6"/>
        <v>106009.89499999999</v>
      </c>
      <c r="D51" s="36">
        <f t="shared" si="6"/>
        <v>134212.375</v>
      </c>
      <c r="E51" s="36">
        <f t="shared" si="6"/>
        <v>131367.103</v>
      </c>
      <c r="F51" s="36">
        <f t="shared" si="6"/>
        <v>108503.64</v>
      </c>
      <c r="G51" s="36">
        <f t="shared" si="6"/>
        <v>94042.48300000001</v>
      </c>
      <c r="H51" s="36">
        <f t="shared" si="6"/>
        <v>112267.734</v>
      </c>
      <c r="I51" s="36">
        <f t="shared" si="6"/>
        <v>87160.95000000001</v>
      </c>
      <c r="J51" s="36">
        <f t="shared" si="6"/>
        <v>120762.136</v>
      </c>
      <c r="K51" s="36">
        <f t="shared" si="6"/>
        <v>129036.872</v>
      </c>
      <c r="L51" s="36">
        <f t="shared" si="6"/>
        <v>122514.66699999999</v>
      </c>
      <c r="M51" s="36">
        <f t="shared" si="6"/>
        <v>118400.97399999999</v>
      </c>
      <c r="N51" s="36">
        <f t="shared" si="6"/>
        <v>109414.842</v>
      </c>
      <c r="O51" s="37">
        <f t="shared" si="5"/>
        <v>1373693.6709999996</v>
      </c>
      <c r="R51" s="25">
        <v>10103</v>
      </c>
      <c r="S51" s="25" t="s">
        <v>40</v>
      </c>
      <c r="T51" s="26">
        <v>0.0451003</v>
      </c>
      <c r="U51" s="26">
        <v>0.0451003</v>
      </c>
      <c r="V51" s="26">
        <v>0.023278800000000002</v>
      </c>
      <c r="W51" s="26">
        <v>0.023278800000000002</v>
      </c>
      <c r="X51" s="26">
        <v>0.0218215</v>
      </c>
      <c r="Y51" s="26">
        <v>0.0218215</v>
      </c>
      <c r="Z51" s="27">
        <v>303.812</v>
      </c>
      <c r="AA51" s="27">
        <v>303.812</v>
      </c>
      <c r="AB51" s="27">
        <v>303.812</v>
      </c>
      <c r="AC51" s="43">
        <v>0</v>
      </c>
      <c r="AD51" s="44">
        <v>0</v>
      </c>
    </row>
    <row r="52" spans="1:30" ht="15">
      <c r="A52" s="25">
        <v>10105</v>
      </c>
      <c r="B52" s="25" t="s">
        <v>41</v>
      </c>
      <c r="C52" s="36">
        <f t="shared" si="6"/>
        <v>23664.469</v>
      </c>
      <c r="D52" s="36">
        <f t="shared" si="6"/>
        <v>29960.076</v>
      </c>
      <c r="E52" s="36">
        <f t="shared" si="6"/>
        <v>29324.929</v>
      </c>
      <c r="F52" s="36">
        <f t="shared" si="6"/>
        <v>24221.144</v>
      </c>
      <c r="G52" s="36">
        <f t="shared" si="6"/>
        <v>20992.996</v>
      </c>
      <c r="H52" s="36">
        <f t="shared" si="6"/>
        <v>25061.398999999998</v>
      </c>
      <c r="I52" s="36">
        <f t="shared" si="6"/>
        <v>19456.839</v>
      </c>
      <c r="J52" s="36">
        <f t="shared" si="6"/>
        <v>26957.594</v>
      </c>
      <c r="K52" s="36">
        <f t="shared" si="6"/>
        <v>28804.754</v>
      </c>
      <c r="L52" s="36">
        <f t="shared" si="6"/>
        <v>27348.809999999998</v>
      </c>
      <c r="M52" s="36">
        <f t="shared" si="6"/>
        <v>26430.514000000003</v>
      </c>
      <c r="N52" s="36">
        <f t="shared" si="6"/>
        <v>24424.551</v>
      </c>
      <c r="O52" s="37">
        <f t="shared" si="5"/>
        <v>306648.075</v>
      </c>
      <c r="R52" s="25">
        <v>10105</v>
      </c>
      <c r="S52" s="25" t="s">
        <v>41</v>
      </c>
      <c r="T52" s="26">
        <v>0.012418</v>
      </c>
      <c r="U52" s="26">
        <v>0.0124499</v>
      </c>
      <c r="V52" s="26">
        <v>0.0051646</v>
      </c>
      <c r="W52" s="26">
        <v>0.0051965</v>
      </c>
      <c r="X52" s="26">
        <v>0.0072534</v>
      </c>
      <c r="Y52" s="26">
        <v>0.0072534</v>
      </c>
      <c r="Z52" s="27">
        <v>88.558</v>
      </c>
      <c r="AA52" s="27">
        <v>83.652</v>
      </c>
      <c r="AB52" s="27">
        <v>83.867</v>
      </c>
      <c r="AC52" s="43">
        <v>0</v>
      </c>
      <c r="AD52" s="44">
        <v>0</v>
      </c>
    </row>
    <row r="53" spans="1:30" ht="15">
      <c r="A53" s="25">
        <v>10106</v>
      </c>
      <c r="B53" s="25" t="s">
        <v>42</v>
      </c>
      <c r="C53" s="36">
        <f t="shared" si="6"/>
        <v>15398.64</v>
      </c>
      <c r="D53" s="36">
        <f t="shared" si="6"/>
        <v>19495.237</v>
      </c>
      <c r="E53" s="36">
        <f t="shared" si="6"/>
        <v>19081.942</v>
      </c>
      <c r="F53" s="36">
        <f t="shared" si="6"/>
        <v>15760.873</v>
      </c>
      <c r="G53" s="36">
        <f t="shared" si="6"/>
        <v>13660.294</v>
      </c>
      <c r="H53" s="36">
        <f t="shared" si="6"/>
        <v>16307.632000000001</v>
      </c>
      <c r="I53" s="36">
        <f t="shared" si="6"/>
        <v>12660.705</v>
      </c>
      <c r="J53" s="36">
        <f t="shared" si="6"/>
        <v>17541.501</v>
      </c>
      <c r="K53" s="36">
        <f t="shared" si="6"/>
        <v>18743.461</v>
      </c>
      <c r="L53" s="36">
        <f t="shared" si="6"/>
        <v>17796.067</v>
      </c>
      <c r="M53" s="36">
        <f t="shared" si="6"/>
        <v>17198.525999999998</v>
      </c>
      <c r="N53" s="36">
        <f t="shared" si="6"/>
        <v>15893.231</v>
      </c>
      <c r="O53" s="37">
        <f t="shared" si="5"/>
        <v>199538.10900000003</v>
      </c>
      <c r="R53" s="25">
        <v>10106</v>
      </c>
      <c r="S53" s="25" t="s">
        <v>42</v>
      </c>
      <c r="T53" s="26">
        <v>0.0033814</v>
      </c>
      <c r="U53" s="26">
        <v>0.0033814</v>
      </c>
      <c r="V53" s="26">
        <v>0.0033814</v>
      </c>
      <c r="W53" s="26">
        <v>0.0033814</v>
      </c>
      <c r="X53" s="26">
        <v>0</v>
      </c>
      <c r="Y53" s="26">
        <v>0</v>
      </c>
      <c r="Z53" s="27">
        <v>22.778</v>
      </c>
      <c r="AA53" s="27">
        <v>22.778</v>
      </c>
      <c r="AB53" s="27">
        <v>22.778</v>
      </c>
      <c r="AC53" s="43">
        <v>0.07313</v>
      </c>
      <c r="AD53" s="44">
        <v>1</v>
      </c>
    </row>
    <row r="54" spans="1:30" ht="15">
      <c r="A54" s="25">
        <v>10109</v>
      </c>
      <c r="B54" s="25" t="s">
        <v>43</v>
      </c>
      <c r="C54" s="36">
        <f t="shared" si="6"/>
        <v>7814.99</v>
      </c>
      <c r="D54" s="36">
        <f t="shared" si="6"/>
        <v>9894.061</v>
      </c>
      <c r="E54" s="36">
        <f t="shared" si="6"/>
        <v>9684.309000000001</v>
      </c>
      <c r="F54" s="36">
        <f t="shared" si="6"/>
        <v>7998.827</v>
      </c>
      <c r="G54" s="36">
        <f t="shared" si="6"/>
        <v>6932.759</v>
      </c>
      <c r="H54" s="36">
        <f t="shared" si="6"/>
        <v>8276.314</v>
      </c>
      <c r="I54" s="36">
        <f t="shared" si="6"/>
        <v>6425.456</v>
      </c>
      <c r="J54" s="36">
        <f t="shared" si="6"/>
        <v>8902.516</v>
      </c>
      <c r="K54" s="36">
        <f t="shared" si="6"/>
        <v>9512.525</v>
      </c>
      <c r="L54" s="36">
        <f t="shared" si="6"/>
        <v>9031.712</v>
      </c>
      <c r="M54" s="36">
        <f t="shared" si="6"/>
        <v>8728.453000000001</v>
      </c>
      <c r="N54" s="36">
        <f t="shared" si="6"/>
        <v>8066</v>
      </c>
      <c r="O54" s="37">
        <f t="shared" si="5"/>
        <v>101267.92199999999</v>
      </c>
      <c r="R54" s="25">
        <v>10109</v>
      </c>
      <c r="S54" s="25" t="s">
        <v>43</v>
      </c>
      <c r="T54" s="26">
        <v>0.0017161</v>
      </c>
      <c r="U54" s="26">
        <v>0.0017161</v>
      </c>
      <c r="V54" s="26">
        <v>0.0017161</v>
      </c>
      <c r="W54" s="26">
        <v>0.0017161</v>
      </c>
      <c r="X54" s="26">
        <v>0</v>
      </c>
      <c r="Y54" s="26">
        <v>0</v>
      </c>
      <c r="Z54" s="27">
        <v>11.56</v>
      </c>
      <c r="AA54" s="27">
        <v>11.56</v>
      </c>
      <c r="AB54" s="27">
        <v>11.56</v>
      </c>
      <c r="AC54" s="43">
        <v>0.08279</v>
      </c>
      <c r="AD54" s="44">
        <v>0</v>
      </c>
    </row>
    <row r="55" spans="1:30" ht="15">
      <c r="A55" s="25">
        <v>10111</v>
      </c>
      <c r="B55" s="25" t="s">
        <v>44</v>
      </c>
      <c r="C55" s="36">
        <f t="shared" si="6"/>
        <v>2060.651</v>
      </c>
      <c r="D55" s="36">
        <f t="shared" si="6"/>
        <v>2608.859</v>
      </c>
      <c r="E55" s="36">
        <f t="shared" si="6"/>
        <v>2553.551</v>
      </c>
      <c r="F55" s="36">
        <f t="shared" si="6"/>
        <v>2109.125</v>
      </c>
      <c r="G55" s="36">
        <f t="shared" si="6"/>
        <v>1828.025</v>
      </c>
      <c r="H55" s="36">
        <f t="shared" si="6"/>
        <v>2182.292</v>
      </c>
      <c r="I55" s="36">
        <f t="shared" si="6"/>
        <v>1694.259</v>
      </c>
      <c r="J55" s="36">
        <f t="shared" si="6"/>
        <v>2347.409</v>
      </c>
      <c r="K55" s="36">
        <f t="shared" si="6"/>
        <v>2508.256</v>
      </c>
      <c r="L55" s="36">
        <f t="shared" si="6"/>
        <v>2381.475</v>
      </c>
      <c r="M55" s="36">
        <f t="shared" si="6"/>
        <v>2301.512</v>
      </c>
      <c r="N55" s="36">
        <f t="shared" si="6"/>
        <v>2126.837</v>
      </c>
      <c r="O55" s="37">
        <f t="shared" si="5"/>
        <v>26702.250999999997</v>
      </c>
      <c r="R55" s="25">
        <v>10111</v>
      </c>
      <c r="S55" s="25" t="s">
        <v>44</v>
      </c>
      <c r="T55" s="26">
        <v>0.0004528</v>
      </c>
      <c r="U55" s="26">
        <v>0.0004525</v>
      </c>
      <c r="V55" s="26">
        <v>0.0004528</v>
      </c>
      <c r="W55" s="26">
        <v>0.0004525</v>
      </c>
      <c r="X55" s="26">
        <v>0</v>
      </c>
      <c r="Y55" s="26">
        <v>0</v>
      </c>
      <c r="Z55" s="27">
        <v>3.086</v>
      </c>
      <c r="AA55" s="27">
        <v>3.05</v>
      </c>
      <c r="AB55" s="27">
        <v>3.048</v>
      </c>
      <c r="AC55" s="43">
        <v>0.07</v>
      </c>
      <c r="AD55" s="44">
        <v>0</v>
      </c>
    </row>
    <row r="56" spans="1:30" ht="15">
      <c r="A56" s="25">
        <v>10112</v>
      </c>
      <c r="B56" s="25" t="s">
        <v>45</v>
      </c>
      <c r="C56" s="36">
        <f t="shared" si="6"/>
        <v>37305.749</v>
      </c>
      <c r="D56" s="36">
        <f t="shared" si="6"/>
        <v>47230.432</v>
      </c>
      <c r="E56" s="36">
        <f t="shared" si="6"/>
        <v>46229.157</v>
      </c>
      <c r="F56" s="36">
        <f t="shared" si="6"/>
        <v>38183.318</v>
      </c>
      <c r="G56" s="36">
        <f t="shared" si="6"/>
        <v>33094.318</v>
      </c>
      <c r="H56" s="36">
        <f t="shared" si="6"/>
        <v>39507.933</v>
      </c>
      <c r="I56" s="36">
        <f t="shared" si="6"/>
        <v>30672.65</v>
      </c>
      <c r="J56" s="36">
        <f t="shared" si="6"/>
        <v>42497.183</v>
      </c>
      <c r="K56" s="36">
        <f t="shared" si="6"/>
        <v>45409.129</v>
      </c>
      <c r="L56" s="36">
        <f t="shared" si="6"/>
        <v>43113.913</v>
      </c>
      <c r="M56" s="36">
        <f t="shared" si="6"/>
        <v>41666.270000000004</v>
      </c>
      <c r="N56" s="36">
        <f t="shared" si="6"/>
        <v>38503.977</v>
      </c>
      <c r="O56" s="37">
        <f t="shared" si="5"/>
        <v>483414.0290000001</v>
      </c>
      <c r="R56" s="25">
        <v>10112</v>
      </c>
      <c r="S56" s="25" t="s">
        <v>45</v>
      </c>
      <c r="T56" s="26">
        <v>0.0081761</v>
      </c>
      <c r="U56" s="26">
        <v>0.008192</v>
      </c>
      <c r="V56" s="26">
        <v>0.0081761</v>
      </c>
      <c r="W56" s="26">
        <v>0.008192</v>
      </c>
      <c r="X56" s="26">
        <v>0</v>
      </c>
      <c r="Y56" s="26">
        <v>0</v>
      </c>
      <c r="Z56" s="27">
        <v>55.565</v>
      </c>
      <c r="AA56" s="27">
        <v>55.077</v>
      </c>
      <c r="AB56" s="27">
        <v>55.184</v>
      </c>
      <c r="AC56" s="43">
        <v>0</v>
      </c>
      <c r="AD56" s="44">
        <v>0</v>
      </c>
    </row>
    <row r="57" spans="1:30" ht="15">
      <c r="A57" s="25">
        <v>10113</v>
      </c>
      <c r="B57" s="25" t="s">
        <v>46</v>
      </c>
      <c r="C57" s="36">
        <f t="shared" si="6"/>
        <v>24306.572</v>
      </c>
      <c r="D57" s="36">
        <f t="shared" si="6"/>
        <v>30773.000999999997</v>
      </c>
      <c r="E57" s="36">
        <f t="shared" si="6"/>
        <v>30120.621</v>
      </c>
      <c r="F57" s="36">
        <f t="shared" si="6"/>
        <v>24878.352</v>
      </c>
      <c r="G57" s="36">
        <f t="shared" si="6"/>
        <v>21562.613</v>
      </c>
      <c r="H57" s="36">
        <f t="shared" si="6"/>
        <v>25741.405</v>
      </c>
      <c r="I57" s="36">
        <f t="shared" si="6"/>
        <v>19984.775</v>
      </c>
      <c r="J57" s="36">
        <f t="shared" si="6"/>
        <v>27689.051999999996</v>
      </c>
      <c r="K57" s="36">
        <f t="shared" si="6"/>
        <v>29586.331</v>
      </c>
      <c r="L57" s="36">
        <f t="shared" si="6"/>
        <v>28090.883</v>
      </c>
      <c r="M57" s="36">
        <f t="shared" si="6"/>
        <v>27147.671000000002</v>
      </c>
      <c r="N57" s="36">
        <f t="shared" si="6"/>
        <v>25087.278</v>
      </c>
      <c r="O57" s="37">
        <f t="shared" si="5"/>
        <v>314968.55399999995</v>
      </c>
      <c r="R57" s="25">
        <v>10113</v>
      </c>
      <c r="S57" s="25" t="s">
        <v>46</v>
      </c>
      <c r="T57" s="26">
        <v>0.0053375</v>
      </c>
      <c r="U57" s="26">
        <v>0.0053375</v>
      </c>
      <c r="V57" s="26">
        <v>0.0053375</v>
      </c>
      <c r="W57" s="26">
        <v>0.0053375</v>
      </c>
      <c r="X57" s="26">
        <v>0</v>
      </c>
      <c r="Y57" s="26">
        <v>0</v>
      </c>
      <c r="Z57" s="27">
        <v>35.955</v>
      </c>
      <c r="AA57" s="27">
        <v>35.955</v>
      </c>
      <c r="AB57" s="27">
        <v>35.955</v>
      </c>
      <c r="AC57" s="43">
        <v>0.08349</v>
      </c>
      <c r="AD57" s="44">
        <v>0</v>
      </c>
    </row>
    <row r="58" spans="1:30" ht="15">
      <c r="A58" s="25">
        <v>10116</v>
      </c>
      <c r="B58" s="25" t="s">
        <v>47</v>
      </c>
      <c r="C58" s="36">
        <f t="shared" si="6"/>
        <v>146.63600000000002</v>
      </c>
      <c r="D58" s="36">
        <f t="shared" si="6"/>
        <v>185.647</v>
      </c>
      <c r="E58" s="36">
        <f t="shared" si="6"/>
        <v>181.712</v>
      </c>
      <c r="F58" s="36">
        <f t="shared" si="6"/>
        <v>150.086</v>
      </c>
      <c r="G58" s="36">
        <f t="shared" si="6"/>
        <v>130.082</v>
      </c>
      <c r="H58" s="36">
        <f t="shared" si="6"/>
        <v>155.292</v>
      </c>
      <c r="I58" s="36">
        <f t="shared" si="6"/>
        <v>120.563</v>
      </c>
      <c r="J58" s="36">
        <f t="shared" si="6"/>
        <v>167.042</v>
      </c>
      <c r="K58" s="36">
        <f t="shared" si="6"/>
        <v>178.488</v>
      </c>
      <c r="L58" s="36">
        <f t="shared" si="6"/>
        <v>169.466</v>
      </c>
      <c r="M58" s="36">
        <f t="shared" si="6"/>
        <v>163.776</v>
      </c>
      <c r="N58" s="36">
        <f t="shared" si="6"/>
        <v>151.346</v>
      </c>
      <c r="O58" s="37">
        <f t="shared" si="5"/>
        <v>1900.1360000000002</v>
      </c>
      <c r="R58" s="25">
        <v>10116</v>
      </c>
      <c r="S58" s="25" t="s">
        <v>47</v>
      </c>
      <c r="T58" s="26">
        <v>3.22E-05</v>
      </c>
      <c r="U58" s="26">
        <v>3.22E-05</v>
      </c>
      <c r="V58" s="26">
        <v>3.22E-05</v>
      </c>
      <c r="W58" s="26">
        <v>3.22E-05</v>
      </c>
      <c r="X58" s="26">
        <v>0</v>
      </c>
      <c r="Y58" s="26">
        <v>0</v>
      </c>
      <c r="Z58" s="27">
        <v>0.217</v>
      </c>
      <c r="AA58" s="27">
        <v>0.217</v>
      </c>
      <c r="AB58" s="27">
        <v>0.217</v>
      </c>
      <c r="AC58" s="43">
        <v>0</v>
      </c>
      <c r="AD58" s="44">
        <v>0</v>
      </c>
    </row>
    <row r="59" spans="1:30" ht="15">
      <c r="A59" s="25">
        <v>10118</v>
      </c>
      <c r="B59" s="25" t="s">
        <v>48</v>
      </c>
      <c r="C59" s="36">
        <f t="shared" si="6"/>
        <v>29452.961000000003</v>
      </c>
      <c r="D59" s="36">
        <f t="shared" si="6"/>
        <v>37288.518</v>
      </c>
      <c r="E59" s="36">
        <f t="shared" si="6"/>
        <v>36498.009000000005</v>
      </c>
      <c r="F59" s="36">
        <f t="shared" si="6"/>
        <v>30145.804</v>
      </c>
      <c r="G59" s="36">
        <f t="shared" si="6"/>
        <v>26128.029</v>
      </c>
      <c r="H59" s="36">
        <f t="shared" si="6"/>
        <v>31191.591</v>
      </c>
      <c r="I59" s="36">
        <f t="shared" si="6"/>
        <v>24216.118</v>
      </c>
      <c r="J59" s="36">
        <f t="shared" si="6"/>
        <v>33551.609</v>
      </c>
      <c r="K59" s="36">
        <f t="shared" si="6"/>
        <v>35850.597</v>
      </c>
      <c r="L59" s="36">
        <f t="shared" si="6"/>
        <v>34038.519</v>
      </c>
      <c r="M59" s="36">
        <f t="shared" si="6"/>
        <v>32895.602</v>
      </c>
      <c r="N59" s="36">
        <f t="shared" si="6"/>
        <v>30398.966</v>
      </c>
      <c r="O59" s="37">
        <f t="shared" si="5"/>
        <v>381656.32300000003</v>
      </c>
      <c r="R59" s="25">
        <v>10118</v>
      </c>
      <c r="S59" s="25" t="s">
        <v>48</v>
      </c>
      <c r="T59" s="26">
        <v>0.0064676</v>
      </c>
      <c r="U59" s="26">
        <v>0.0064676</v>
      </c>
      <c r="V59" s="26">
        <v>0.0064676</v>
      </c>
      <c r="W59" s="26">
        <v>0.0064676</v>
      </c>
      <c r="X59" s="26">
        <v>0</v>
      </c>
      <c r="Y59" s="26">
        <v>0</v>
      </c>
      <c r="Z59" s="27">
        <v>43.568</v>
      </c>
      <c r="AA59" s="27">
        <v>43.568</v>
      </c>
      <c r="AB59" s="27">
        <v>43.568</v>
      </c>
      <c r="AC59" s="43">
        <v>0.0747</v>
      </c>
      <c r="AD59" s="44">
        <v>1</v>
      </c>
    </row>
    <row r="60" spans="1:30" ht="15">
      <c r="A60" s="25">
        <v>10121</v>
      </c>
      <c r="B60" s="25" t="s">
        <v>49</v>
      </c>
      <c r="C60" s="36">
        <f t="shared" si="6"/>
        <v>26302.556000000004</v>
      </c>
      <c r="D60" s="36">
        <f t="shared" si="6"/>
        <v>33299.992</v>
      </c>
      <c r="E60" s="36">
        <f t="shared" si="6"/>
        <v>32594.038999999997</v>
      </c>
      <c r="F60" s="36">
        <f t="shared" si="6"/>
        <v>26921.29</v>
      </c>
      <c r="G60" s="36">
        <f t="shared" si="6"/>
        <v>23333.272</v>
      </c>
      <c r="H60" s="36">
        <f t="shared" si="6"/>
        <v>27855.215000000004</v>
      </c>
      <c r="I60" s="36">
        <f t="shared" si="6"/>
        <v>21625.866</v>
      </c>
      <c r="J60" s="36">
        <f t="shared" si="6"/>
        <v>29962.797</v>
      </c>
      <c r="K60" s="36">
        <f t="shared" si="6"/>
        <v>32015.875999999997</v>
      </c>
      <c r="L60" s="36">
        <f t="shared" si="6"/>
        <v>30397.624</v>
      </c>
      <c r="M60" s="36">
        <f t="shared" si="6"/>
        <v>29376.959000000003</v>
      </c>
      <c r="N60" s="36">
        <f t="shared" si="6"/>
        <v>27147.373</v>
      </c>
      <c r="O60" s="37">
        <f t="shared" si="5"/>
        <v>340832.85900000005</v>
      </c>
      <c r="R60" s="25">
        <v>10121</v>
      </c>
      <c r="S60" s="25" t="s">
        <v>49</v>
      </c>
      <c r="T60" s="26">
        <v>0.0057758</v>
      </c>
      <c r="U60" s="26">
        <v>0.0057758</v>
      </c>
      <c r="V60" s="26">
        <v>0.0057758</v>
      </c>
      <c r="W60" s="26">
        <v>0.0057758</v>
      </c>
      <c r="X60" s="26">
        <v>0</v>
      </c>
      <c r="Y60" s="26">
        <v>0</v>
      </c>
      <c r="Z60" s="27">
        <v>38.991</v>
      </c>
      <c r="AA60" s="27">
        <v>38.908</v>
      </c>
      <c r="AB60" s="27">
        <v>38.908</v>
      </c>
      <c r="AC60" s="43">
        <v>0.06</v>
      </c>
      <c r="AD60" s="44">
        <v>1</v>
      </c>
    </row>
    <row r="61" spans="1:30" ht="15">
      <c r="A61" s="25">
        <v>10123</v>
      </c>
      <c r="B61" s="25" t="s">
        <v>50</v>
      </c>
      <c r="C61" s="36">
        <f t="shared" si="6"/>
        <v>149566.361</v>
      </c>
      <c r="D61" s="36">
        <f t="shared" si="6"/>
        <v>189356.441</v>
      </c>
      <c r="E61" s="36">
        <f t="shared" si="6"/>
        <v>185342.126</v>
      </c>
      <c r="F61" s="36">
        <f t="shared" si="6"/>
        <v>153084.715</v>
      </c>
      <c r="G61" s="36">
        <f t="shared" si="6"/>
        <v>132681.877</v>
      </c>
      <c r="H61" s="36">
        <f t="shared" si="6"/>
        <v>158395.367</v>
      </c>
      <c r="I61" s="36">
        <f t="shared" si="6"/>
        <v>122972.916</v>
      </c>
      <c r="J61" s="36">
        <f t="shared" si="6"/>
        <v>170379.88</v>
      </c>
      <c r="K61" s="36">
        <f t="shared" si="6"/>
        <v>182054.47</v>
      </c>
      <c r="L61" s="36">
        <f t="shared" si="6"/>
        <v>172852.475</v>
      </c>
      <c r="M61" s="36">
        <f t="shared" si="6"/>
        <v>167048.582</v>
      </c>
      <c r="N61" s="36">
        <f t="shared" si="6"/>
        <v>154370.304</v>
      </c>
      <c r="O61" s="37">
        <f t="shared" si="5"/>
        <v>1938105.5140000002</v>
      </c>
      <c r="R61" s="25">
        <v>10123</v>
      </c>
      <c r="S61" s="25" t="s">
        <v>50</v>
      </c>
      <c r="T61" s="26">
        <v>0.0687208</v>
      </c>
      <c r="U61" s="26">
        <v>0.0727274</v>
      </c>
      <c r="V61" s="26">
        <v>0.028836799999999996</v>
      </c>
      <c r="W61" s="26">
        <v>0.032843399999999995</v>
      </c>
      <c r="X61" s="26">
        <v>0.039884</v>
      </c>
      <c r="Y61" s="26">
        <v>0.039884</v>
      </c>
      <c r="Z61" s="27">
        <v>523.882</v>
      </c>
      <c r="AA61" s="27">
        <v>462.928</v>
      </c>
      <c r="AB61" s="27">
        <v>489.918</v>
      </c>
      <c r="AC61" s="43">
        <v>0</v>
      </c>
      <c r="AD61" s="44">
        <v>0</v>
      </c>
    </row>
    <row r="62" spans="1:30" ht="15">
      <c r="A62" s="25">
        <v>10136</v>
      </c>
      <c r="B62" s="25" t="s">
        <v>51</v>
      </c>
      <c r="C62" s="36">
        <f t="shared" si="6"/>
        <v>11954.051</v>
      </c>
      <c r="D62" s="36">
        <f t="shared" si="6"/>
        <v>15134.262999999999</v>
      </c>
      <c r="E62" s="36">
        <f t="shared" si="6"/>
        <v>14813.419999999998</v>
      </c>
      <c r="F62" s="36">
        <f t="shared" si="6"/>
        <v>12235.255000000001</v>
      </c>
      <c r="G62" s="36">
        <f t="shared" si="6"/>
        <v>10604.564</v>
      </c>
      <c r="H62" s="36">
        <f t="shared" si="6"/>
        <v>12659.708</v>
      </c>
      <c r="I62" s="36">
        <f t="shared" si="6"/>
        <v>9828.577000000001</v>
      </c>
      <c r="J62" s="36">
        <f t="shared" si="6"/>
        <v>13617.567</v>
      </c>
      <c r="K62" s="36">
        <f t="shared" si="6"/>
        <v>14550.655</v>
      </c>
      <c r="L62" s="36">
        <f t="shared" si="6"/>
        <v>13815.187999999998</v>
      </c>
      <c r="M62" s="36">
        <f t="shared" si="6"/>
        <v>13351.313</v>
      </c>
      <c r="N62" s="36">
        <f t="shared" si="6"/>
        <v>12338.005000000001</v>
      </c>
      <c r="O62" s="37">
        <f t="shared" si="5"/>
        <v>154902.566</v>
      </c>
      <c r="R62" s="25">
        <v>10136</v>
      </c>
      <c r="S62" s="25" t="s">
        <v>51</v>
      </c>
      <c r="T62" s="26">
        <v>0.002625</v>
      </c>
      <c r="U62" s="26">
        <v>0.002625</v>
      </c>
      <c r="V62" s="26">
        <v>0.002625</v>
      </c>
      <c r="W62" s="26">
        <v>0.002625</v>
      </c>
      <c r="X62" s="26">
        <v>0</v>
      </c>
      <c r="Y62" s="26">
        <v>0</v>
      </c>
      <c r="Z62" s="27">
        <v>17.683</v>
      </c>
      <c r="AA62" s="27">
        <v>17.683</v>
      </c>
      <c r="AB62" s="27">
        <v>17.683</v>
      </c>
      <c r="AC62" s="43">
        <v>0.07245</v>
      </c>
      <c r="AD62" s="44">
        <v>1</v>
      </c>
    </row>
    <row r="63" spans="1:30" ht="15">
      <c r="A63" s="25">
        <v>10142</v>
      </c>
      <c r="B63" s="25" t="s">
        <v>52</v>
      </c>
      <c r="C63" s="36">
        <f t="shared" si="6"/>
        <v>1732.7690000000002</v>
      </c>
      <c r="D63" s="36">
        <f t="shared" si="6"/>
        <v>2193.7470000000003</v>
      </c>
      <c r="E63" s="36">
        <f t="shared" si="6"/>
        <v>2147.241</v>
      </c>
      <c r="F63" s="36">
        <f t="shared" si="6"/>
        <v>1773.529</v>
      </c>
      <c r="G63" s="36">
        <f t="shared" si="6"/>
        <v>1537.1570000000002</v>
      </c>
      <c r="H63" s="36">
        <f t="shared" si="6"/>
        <v>1835.055</v>
      </c>
      <c r="I63" s="36">
        <f t="shared" si="6"/>
        <v>1424.676</v>
      </c>
      <c r="J63" s="36">
        <f t="shared" si="6"/>
        <v>1973.899</v>
      </c>
      <c r="K63" s="36">
        <f t="shared" si="6"/>
        <v>2109.152</v>
      </c>
      <c r="L63" s="36">
        <f t="shared" si="6"/>
        <v>2002.545</v>
      </c>
      <c r="M63" s="36">
        <f t="shared" si="6"/>
        <v>1935.3049999999998</v>
      </c>
      <c r="N63" s="36">
        <f t="shared" si="6"/>
        <v>1788.4230000000002</v>
      </c>
      <c r="O63" s="37">
        <f t="shared" si="5"/>
        <v>22453.497999999996</v>
      </c>
      <c r="R63" s="25">
        <v>10142</v>
      </c>
      <c r="S63" s="25" t="s">
        <v>52</v>
      </c>
      <c r="T63" s="26">
        <v>0.0003805</v>
      </c>
      <c r="U63" s="26">
        <v>0.0003805</v>
      </c>
      <c r="V63" s="26">
        <v>0.0003805</v>
      </c>
      <c r="W63" s="26">
        <v>0.0003805</v>
      </c>
      <c r="X63" s="26">
        <v>0</v>
      </c>
      <c r="Y63" s="26">
        <v>0</v>
      </c>
      <c r="Z63" s="27">
        <v>2.563</v>
      </c>
      <c r="AA63" s="27">
        <v>2.563</v>
      </c>
      <c r="AB63" s="27">
        <v>2.563</v>
      </c>
      <c r="AC63" s="43">
        <v>0.02932</v>
      </c>
      <c r="AD63" s="44">
        <v>0</v>
      </c>
    </row>
    <row r="64" spans="1:30" ht="15">
      <c r="A64" s="25">
        <v>10144</v>
      </c>
      <c r="B64" s="25" t="s">
        <v>53</v>
      </c>
      <c r="C64" s="36">
        <f t="shared" si="6"/>
        <v>2172.222</v>
      </c>
      <c r="D64" s="36">
        <f t="shared" si="6"/>
        <v>2750.112</v>
      </c>
      <c r="E64" s="36">
        <f t="shared" si="6"/>
        <v>2691.81</v>
      </c>
      <c r="F64" s="36">
        <f t="shared" si="6"/>
        <v>2223.321</v>
      </c>
      <c r="G64" s="36">
        <f t="shared" si="6"/>
        <v>1927.0010000000002</v>
      </c>
      <c r="H64" s="36">
        <f t="shared" si="6"/>
        <v>2300.449</v>
      </c>
      <c r="I64" s="36">
        <f t="shared" si="6"/>
        <v>1785.993</v>
      </c>
      <c r="J64" s="36">
        <f t="shared" si="6"/>
        <v>2474.507</v>
      </c>
      <c r="K64" s="36">
        <f t="shared" si="6"/>
        <v>2644.062</v>
      </c>
      <c r="L64" s="36">
        <f t="shared" si="6"/>
        <v>2510.417</v>
      </c>
      <c r="M64" s="36">
        <f t="shared" si="6"/>
        <v>2426.125</v>
      </c>
      <c r="N64" s="36">
        <f t="shared" si="6"/>
        <v>2241.992</v>
      </c>
      <c r="O64" s="37">
        <f t="shared" si="5"/>
        <v>28148.011</v>
      </c>
      <c r="R64" s="25">
        <v>10144</v>
      </c>
      <c r="S64" s="25" t="s">
        <v>53</v>
      </c>
      <c r="T64" s="26">
        <v>0.000477</v>
      </c>
      <c r="U64" s="26">
        <v>0.000477</v>
      </c>
      <c r="V64" s="26">
        <v>0.000477</v>
      </c>
      <c r="W64" s="26">
        <v>0.000477</v>
      </c>
      <c r="X64" s="26">
        <v>0</v>
      </c>
      <c r="Y64" s="26">
        <v>0</v>
      </c>
      <c r="Z64" s="27">
        <v>3.213</v>
      </c>
      <c r="AA64" s="27">
        <v>3.213</v>
      </c>
      <c r="AB64" s="27">
        <v>3.213</v>
      </c>
      <c r="AC64" s="43">
        <v>0</v>
      </c>
      <c r="AD64" s="44">
        <v>0</v>
      </c>
    </row>
    <row r="65" spans="1:30" ht="15">
      <c r="A65" s="25">
        <v>10156</v>
      </c>
      <c r="B65" s="25" t="s">
        <v>54</v>
      </c>
      <c r="C65" s="36">
        <f t="shared" si="6"/>
        <v>20789.121</v>
      </c>
      <c r="D65" s="36">
        <f t="shared" si="6"/>
        <v>26319.781000000003</v>
      </c>
      <c r="E65" s="36">
        <f t="shared" si="6"/>
        <v>25761.807</v>
      </c>
      <c r="F65" s="36">
        <f t="shared" si="6"/>
        <v>21278.158000000003</v>
      </c>
      <c r="G65" s="36">
        <f t="shared" si="6"/>
        <v>18442.245</v>
      </c>
      <c r="H65" s="36">
        <f t="shared" si="6"/>
        <v>22016.316</v>
      </c>
      <c r="I65" s="36">
        <f t="shared" si="6"/>
        <v>17092.738</v>
      </c>
      <c r="J65" s="36">
        <f t="shared" si="6"/>
        <v>23682.114999999998</v>
      </c>
      <c r="K65" s="36">
        <f t="shared" si="6"/>
        <v>25304.836</v>
      </c>
      <c r="L65" s="36">
        <f t="shared" si="6"/>
        <v>24025.796000000002</v>
      </c>
      <c r="M65" s="36">
        <f t="shared" si="6"/>
        <v>23219.078999999998</v>
      </c>
      <c r="N65" s="36">
        <f t="shared" si="6"/>
        <v>21456.849</v>
      </c>
      <c r="O65" s="37">
        <f t="shared" si="5"/>
        <v>269388.841</v>
      </c>
      <c r="R65" s="25">
        <v>10156</v>
      </c>
      <c r="S65" s="25" t="s">
        <v>54</v>
      </c>
      <c r="T65" s="26">
        <v>0.0045651</v>
      </c>
      <c r="U65" s="26">
        <v>0.0045651</v>
      </c>
      <c r="V65" s="26">
        <v>0.0045651</v>
      </c>
      <c r="W65" s="26">
        <v>0.0045651</v>
      </c>
      <c r="X65" s="26">
        <v>0</v>
      </c>
      <c r="Y65" s="26">
        <v>0</v>
      </c>
      <c r="Z65" s="27">
        <v>30.752</v>
      </c>
      <c r="AA65" s="27">
        <v>30.752</v>
      </c>
      <c r="AB65" s="27">
        <v>30.752</v>
      </c>
      <c r="AC65" s="43">
        <v>0</v>
      </c>
      <c r="AD65" s="44">
        <v>0</v>
      </c>
    </row>
    <row r="66" spans="1:30" ht="15">
      <c r="A66" s="25">
        <v>10157</v>
      </c>
      <c r="B66" s="25" t="s">
        <v>55</v>
      </c>
      <c r="C66" s="36">
        <f t="shared" si="6"/>
        <v>15375.415</v>
      </c>
      <c r="D66" s="36">
        <f t="shared" si="6"/>
        <v>19465.833</v>
      </c>
      <c r="E66" s="36">
        <f t="shared" si="6"/>
        <v>19053.162</v>
      </c>
      <c r="F66" s="36">
        <f t="shared" si="6"/>
        <v>15737.102</v>
      </c>
      <c r="G66" s="36">
        <f t="shared" si="6"/>
        <v>13639.690999999999</v>
      </c>
      <c r="H66" s="36">
        <f t="shared" si="6"/>
        <v>16283.037</v>
      </c>
      <c r="I66" s="36">
        <f t="shared" si="6"/>
        <v>12641.61</v>
      </c>
      <c r="J66" s="36">
        <f t="shared" si="6"/>
        <v>17515.044</v>
      </c>
      <c r="K66" s="36">
        <f t="shared" si="6"/>
        <v>18715.191</v>
      </c>
      <c r="L66" s="36">
        <f t="shared" si="6"/>
        <v>17769.226</v>
      </c>
      <c r="M66" s="36">
        <f t="shared" si="6"/>
        <v>17172.586</v>
      </c>
      <c r="N66" s="36">
        <f t="shared" si="6"/>
        <v>15869.259999999998</v>
      </c>
      <c r="O66" s="37">
        <f t="shared" si="5"/>
        <v>199237.157</v>
      </c>
      <c r="R66" s="25">
        <v>10157</v>
      </c>
      <c r="S66" s="25" t="s">
        <v>55</v>
      </c>
      <c r="T66" s="26">
        <v>0.0070743</v>
      </c>
      <c r="U66" s="26">
        <v>0.0070743</v>
      </c>
      <c r="V66" s="26">
        <v>0.0033763000000000005</v>
      </c>
      <c r="W66" s="26">
        <v>0.0033763000000000005</v>
      </c>
      <c r="X66" s="26">
        <v>0.003698</v>
      </c>
      <c r="Y66" s="26">
        <v>0.003698</v>
      </c>
      <c r="Z66" s="27">
        <v>47.655</v>
      </c>
      <c r="AA66" s="27">
        <v>47.655</v>
      </c>
      <c r="AB66" s="27">
        <v>47.655</v>
      </c>
      <c r="AC66" s="43">
        <v>0.05804</v>
      </c>
      <c r="AD66" s="44">
        <v>0</v>
      </c>
    </row>
    <row r="67" spans="1:30" ht="15">
      <c r="A67" s="25">
        <v>10158</v>
      </c>
      <c r="B67" s="25" t="s">
        <v>56</v>
      </c>
      <c r="C67" s="36">
        <f t="shared" si="6"/>
        <v>1604.3469999999998</v>
      </c>
      <c r="D67" s="36">
        <f t="shared" si="6"/>
        <v>2031.1619999999998</v>
      </c>
      <c r="E67" s="36">
        <f t="shared" si="6"/>
        <v>1988.1019999999999</v>
      </c>
      <c r="F67" s="36">
        <f aca="true" t="shared" si="7" ref="D67:N90">ROUND(F$3*$W67,3)+ROUND(F$4*$W67,3)</f>
        <v>1642.0880000000002</v>
      </c>
      <c r="G67" s="36">
        <f t="shared" si="7"/>
        <v>1423.234</v>
      </c>
      <c r="H67" s="36">
        <f t="shared" si="7"/>
        <v>1699.0529999999999</v>
      </c>
      <c r="I67" s="36">
        <f t="shared" si="7"/>
        <v>1319.089</v>
      </c>
      <c r="J67" s="36">
        <f t="shared" si="7"/>
        <v>1827.608</v>
      </c>
      <c r="K67" s="36">
        <f t="shared" si="7"/>
        <v>1952.8359999999998</v>
      </c>
      <c r="L67" s="36">
        <f t="shared" si="7"/>
        <v>1854.13</v>
      </c>
      <c r="M67" s="36">
        <f t="shared" si="7"/>
        <v>1791.874</v>
      </c>
      <c r="N67" s="36">
        <f t="shared" si="7"/>
        <v>1655.8780000000002</v>
      </c>
      <c r="O67" s="37">
        <f t="shared" si="5"/>
        <v>20789.400999999998</v>
      </c>
      <c r="R67" s="25">
        <v>10158</v>
      </c>
      <c r="S67" s="25" t="s">
        <v>56</v>
      </c>
      <c r="T67" s="26">
        <v>0.0003523</v>
      </c>
      <c r="U67" s="26">
        <v>0.0003523</v>
      </c>
      <c r="V67" s="26">
        <v>0.0003523</v>
      </c>
      <c r="W67" s="26">
        <v>0.0003523</v>
      </c>
      <c r="X67" s="26">
        <v>0</v>
      </c>
      <c r="Y67" s="26">
        <v>0</v>
      </c>
      <c r="Z67" s="27">
        <v>2.663</v>
      </c>
      <c r="AA67" s="27">
        <v>2.373</v>
      </c>
      <c r="AB67" s="27">
        <v>2.373</v>
      </c>
      <c r="AC67" s="43">
        <v>0</v>
      </c>
      <c r="AD67" s="44">
        <v>0</v>
      </c>
    </row>
    <row r="68" spans="1:30" ht="15">
      <c r="A68" s="25">
        <v>10170</v>
      </c>
      <c r="B68" s="25" t="s">
        <v>57</v>
      </c>
      <c r="C68" s="36">
        <f aca="true" t="shared" si="8" ref="C68:C131">ROUND(C$3*$W68,3)+ROUND(C$4*$W68,3)</f>
        <v>77941.783</v>
      </c>
      <c r="D68" s="36">
        <f t="shared" si="7"/>
        <v>98677.126</v>
      </c>
      <c r="E68" s="36">
        <f t="shared" si="7"/>
        <v>96585.192</v>
      </c>
      <c r="F68" s="36">
        <f t="shared" si="7"/>
        <v>79775.261</v>
      </c>
      <c r="G68" s="36">
        <f t="shared" si="7"/>
        <v>69142.967</v>
      </c>
      <c r="H68" s="36">
        <f t="shared" si="7"/>
        <v>82542.74</v>
      </c>
      <c r="I68" s="36">
        <f t="shared" si="7"/>
        <v>64083.44899999999</v>
      </c>
      <c r="J68" s="36">
        <f t="shared" si="7"/>
        <v>88788.09</v>
      </c>
      <c r="K68" s="36">
        <f t="shared" si="7"/>
        <v>94871.93400000001</v>
      </c>
      <c r="L68" s="36">
        <f t="shared" si="7"/>
        <v>90076.605</v>
      </c>
      <c r="M68" s="36">
        <f t="shared" si="7"/>
        <v>87052.09</v>
      </c>
      <c r="N68" s="36">
        <f t="shared" si="7"/>
        <v>80445.206</v>
      </c>
      <c r="O68" s="37">
        <f t="shared" si="5"/>
        <v>1009982.4429999999</v>
      </c>
      <c r="R68" s="25">
        <v>10170</v>
      </c>
      <c r="S68" s="25" t="s">
        <v>57</v>
      </c>
      <c r="T68" s="26">
        <v>0.0350489</v>
      </c>
      <c r="U68" s="26">
        <v>0.0350489</v>
      </c>
      <c r="V68" s="26">
        <v>0.0171153</v>
      </c>
      <c r="W68" s="26">
        <v>0.0171153</v>
      </c>
      <c r="X68" s="26">
        <v>0.0179336</v>
      </c>
      <c r="Y68" s="26">
        <v>0.0179336</v>
      </c>
      <c r="Z68" s="27">
        <v>239.522</v>
      </c>
      <c r="AA68" s="27">
        <v>236.102</v>
      </c>
      <c r="AB68" s="27">
        <v>236.102</v>
      </c>
      <c r="AC68" s="43">
        <v>0</v>
      </c>
      <c r="AD68" s="44">
        <v>0</v>
      </c>
    </row>
    <row r="69" spans="1:30" ht="15">
      <c r="A69" s="25">
        <v>10172</v>
      </c>
      <c r="B69" s="25" t="s">
        <v>58</v>
      </c>
      <c r="C69" s="36">
        <f t="shared" si="8"/>
        <v>3706.4390000000003</v>
      </c>
      <c r="D69" s="36">
        <f t="shared" si="7"/>
        <v>4692.487</v>
      </c>
      <c r="E69" s="36">
        <f t="shared" si="7"/>
        <v>4593.007</v>
      </c>
      <c r="F69" s="36">
        <f t="shared" si="7"/>
        <v>3793.628</v>
      </c>
      <c r="G69" s="36">
        <f t="shared" si="7"/>
        <v>3288.0209999999997</v>
      </c>
      <c r="H69" s="36">
        <f t="shared" si="7"/>
        <v>3925.233</v>
      </c>
      <c r="I69" s="36">
        <f t="shared" si="7"/>
        <v>3047.4210000000003</v>
      </c>
      <c r="J69" s="36">
        <f t="shared" si="7"/>
        <v>4222.224</v>
      </c>
      <c r="K69" s="36">
        <f t="shared" si="7"/>
        <v>4511.534</v>
      </c>
      <c r="L69" s="36">
        <f t="shared" si="7"/>
        <v>4283.498</v>
      </c>
      <c r="M69" s="36">
        <f t="shared" si="7"/>
        <v>4139.67</v>
      </c>
      <c r="N69" s="36">
        <f t="shared" si="7"/>
        <v>3825.487</v>
      </c>
      <c r="O69" s="37">
        <f t="shared" si="5"/>
        <v>48028.649</v>
      </c>
      <c r="R69" s="25">
        <v>10172</v>
      </c>
      <c r="S69" s="25" t="s">
        <v>58</v>
      </c>
      <c r="T69" s="26">
        <v>0.000812</v>
      </c>
      <c r="U69" s="26">
        <v>0.0008139</v>
      </c>
      <c r="V69" s="26">
        <v>0.000812</v>
      </c>
      <c r="W69" s="26">
        <v>0.0008139</v>
      </c>
      <c r="X69" s="26">
        <v>0</v>
      </c>
      <c r="Y69" s="26">
        <v>0</v>
      </c>
      <c r="Z69" s="27">
        <v>5.821</v>
      </c>
      <c r="AA69" s="27">
        <v>5.47</v>
      </c>
      <c r="AB69" s="27">
        <v>5.483</v>
      </c>
      <c r="AC69" s="43">
        <v>0</v>
      </c>
      <c r="AD69" s="44">
        <v>0</v>
      </c>
    </row>
    <row r="70" spans="1:30" ht="15">
      <c r="A70" s="25">
        <v>10173</v>
      </c>
      <c r="B70" s="25" t="s">
        <v>59</v>
      </c>
      <c r="C70" s="36">
        <f t="shared" si="8"/>
        <v>21364.281</v>
      </c>
      <c r="D70" s="36">
        <f t="shared" si="7"/>
        <v>27047.955</v>
      </c>
      <c r="E70" s="36">
        <f t="shared" si="7"/>
        <v>26474.545</v>
      </c>
      <c r="F70" s="36">
        <f t="shared" si="7"/>
        <v>21866.847999999998</v>
      </c>
      <c r="G70" s="36">
        <f t="shared" si="7"/>
        <v>18952.476000000002</v>
      </c>
      <c r="H70" s="36">
        <f t="shared" si="7"/>
        <v>22625.43</v>
      </c>
      <c r="I70" s="36">
        <f t="shared" si="7"/>
        <v>17565.634000000002</v>
      </c>
      <c r="J70" s="36">
        <f t="shared" si="7"/>
        <v>24337.315000000002</v>
      </c>
      <c r="K70" s="36">
        <f t="shared" si="7"/>
        <v>26004.93</v>
      </c>
      <c r="L70" s="36">
        <f t="shared" si="7"/>
        <v>24690.504</v>
      </c>
      <c r="M70" s="36">
        <f t="shared" si="7"/>
        <v>23861.468</v>
      </c>
      <c r="N70" s="36">
        <f t="shared" si="7"/>
        <v>22050.483</v>
      </c>
      <c r="O70" s="37">
        <f t="shared" si="5"/>
        <v>276841.869</v>
      </c>
      <c r="R70" s="25">
        <v>10173</v>
      </c>
      <c r="S70" s="25" t="s">
        <v>59</v>
      </c>
      <c r="T70" s="26">
        <v>0.0046914</v>
      </c>
      <c r="U70" s="26">
        <v>0.0046914</v>
      </c>
      <c r="V70" s="26">
        <v>0.0046914</v>
      </c>
      <c r="W70" s="26">
        <v>0.0046914</v>
      </c>
      <c r="X70" s="26">
        <v>0</v>
      </c>
      <c r="Y70" s="26">
        <v>0</v>
      </c>
      <c r="Z70" s="27">
        <v>31.603</v>
      </c>
      <c r="AA70" s="27">
        <v>31.603</v>
      </c>
      <c r="AB70" s="27">
        <v>31.603</v>
      </c>
      <c r="AC70" s="43">
        <v>0.08601</v>
      </c>
      <c r="AD70" s="44">
        <v>1</v>
      </c>
    </row>
    <row r="71" spans="1:30" ht="15">
      <c r="A71" s="25">
        <v>10174</v>
      </c>
      <c r="B71" s="25" t="s">
        <v>60</v>
      </c>
      <c r="C71" s="36">
        <f t="shared" si="8"/>
        <v>326.972</v>
      </c>
      <c r="D71" s="36">
        <f t="shared" si="7"/>
        <v>413.95799999999997</v>
      </c>
      <c r="E71" s="36">
        <f t="shared" si="7"/>
        <v>405.182</v>
      </c>
      <c r="F71" s="36">
        <f t="shared" si="7"/>
        <v>334.663</v>
      </c>
      <c r="G71" s="36">
        <f t="shared" si="7"/>
        <v>290.06</v>
      </c>
      <c r="H71" s="36">
        <f t="shared" si="7"/>
        <v>346.273</v>
      </c>
      <c r="I71" s="36">
        <f t="shared" si="7"/>
        <v>268.835</v>
      </c>
      <c r="J71" s="36">
        <f t="shared" si="7"/>
        <v>372.47299999999996</v>
      </c>
      <c r="K71" s="36">
        <f t="shared" si="7"/>
        <v>397.995</v>
      </c>
      <c r="L71" s="36">
        <f t="shared" si="7"/>
        <v>377.878</v>
      </c>
      <c r="M71" s="36">
        <f t="shared" si="7"/>
        <v>365.19100000000003</v>
      </c>
      <c r="N71" s="36">
        <f t="shared" si="7"/>
        <v>337.473</v>
      </c>
      <c r="O71" s="37">
        <f t="shared" si="5"/>
        <v>4236.953</v>
      </c>
      <c r="R71" s="25">
        <v>10174</v>
      </c>
      <c r="S71" s="25" t="s">
        <v>60</v>
      </c>
      <c r="T71" s="26">
        <v>7.18E-05</v>
      </c>
      <c r="U71" s="26">
        <v>7.18E-05</v>
      </c>
      <c r="V71" s="26">
        <v>7.18E-05</v>
      </c>
      <c r="W71" s="26">
        <v>7.18E-05</v>
      </c>
      <c r="X71" s="26">
        <v>0</v>
      </c>
      <c r="Y71" s="26">
        <v>0</v>
      </c>
      <c r="Z71" s="27">
        <v>0.484</v>
      </c>
      <c r="AA71" s="27">
        <v>0.484</v>
      </c>
      <c r="AB71" s="27">
        <v>0.484</v>
      </c>
      <c r="AC71" s="43">
        <v>0</v>
      </c>
      <c r="AD71" s="44">
        <v>0</v>
      </c>
    </row>
    <row r="72" spans="1:30" ht="15">
      <c r="A72" s="25">
        <v>10177</v>
      </c>
      <c r="B72" s="25" t="s">
        <v>61</v>
      </c>
      <c r="C72" s="36">
        <f t="shared" si="8"/>
        <v>6035.316</v>
      </c>
      <c r="D72" s="36">
        <f t="shared" si="7"/>
        <v>7640.929</v>
      </c>
      <c r="E72" s="36">
        <f t="shared" si="7"/>
        <v>7478.9439999999995</v>
      </c>
      <c r="F72" s="36">
        <f t="shared" si="7"/>
        <v>6177.289000000001</v>
      </c>
      <c r="G72" s="36">
        <f t="shared" si="7"/>
        <v>5353.991</v>
      </c>
      <c r="H72" s="36">
        <f t="shared" si="7"/>
        <v>6391.585</v>
      </c>
      <c r="I72" s="36">
        <f t="shared" si="7"/>
        <v>4962.215</v>
      </c>
      <c r="J72" s="36">
        <f t="shared" si="7"/>
        <v>6875.1849999999995</v>
      </c>
      <c r="K72" s="36">
        <f t="shared" si="7"/>
        <v>7346.279</v>
      </c>
      <c r="L72" s="36">
        <f t="shared" si="7"/>
        <v>6974.959000000001</v>
      </c>
      <c r="M72" s="36">
        <f t="shared" si="7"/>
        <v>6740.76</v>
      </c>
      <c r="N72" s="36">
        <f t="shared" si="7"/>
        <v>6229.166</v>
      </c>
      <c r="O72" s="37">
        <f t="shared" si="5"/>
        <v>78206.618</v>
      </c>
      <c r="R72" s="25">
        <v>10177</v>
      </c>
      <c r="S72" s="25" t="s">
        <v>61</v>
      </c>
      <c r="T72" s="26">
        <v>0.0013222</v>
      </c>
      <c r="U72" s="26">
        <v>0.0013253</v>
      </c>
      <c r="V72" s="26">
        <v>0.0013222</v>
      </c>
      <c r="W72" s="26">
        <v>0.0013253</v>
      </c>
      <c r="X72" s="26">
        <v>0</v>
      </c>
      <c r="Y72" s="26">
        <v>0</v>
      </c>
      <c r="Z72" s="27">
        <v>11.127</v>
      </c>
      <c r="AA72" s="27">
        <v>8.907</v>
      </c>
      <c r="AB72" s="27">
        <v>8.928</v>
      </c>
      <c r="AC72" s="43">
        <v>0.07</v>
      </c>
      <c r="AD72" s="44">
        <v>0</v>
      </c>
    </row>
    <row r="73" spans="1:30" ht="15">
      <c r="A73" s="25">
        <v>10179</v>
      </c>
      <c r="B73" s="25" t="s">
        <v>62</v>
      </c>
      <c r="C73" s="36">
        <f t="shared" si="8"/>
        <v>107576.446</v>
      </c>
      <c r="D73" s="36">
        <f t="shared" si="7"/>
        <v>136195.684</v>
      </c>
      <c r="E73" s="36">
        <f t="shared" si="7"/>
        <v>133308.36599999998</v>
      </c>
      <c r="F73" s="36">
        <f t="shared" si="7"/>
        <v>110107.04199999999</v>
      </c>
      <c r="G73" s="36">
        <f t="shared" si="7"/>
        <v>95432.185</v>
      </c>
      <c r="H73" s="36">
        <f t="shared" si="7"/>
        <v>113926.758</v>
      </c>
      <c r="I73" s="36">
        <f t="shared" si="7"/>
        <v>88448.95999999999</v>
      </c>
      <c r="J73" s="36">
        <f t="shared" si="7"/>
        <v>122546.68599999999</v>
      </c>
      <c r="K73" s="36">
        <f t="shared" si="7"/>
        <v>130943.701</v>
      </c>
      <c r="L73" s="36">
        <f t="shared" si="7"/>
        <v>124325.114</v>
      </c>
      <c r="M73" s="36">
        <f t="shared" si="7"/>
        <v>120150.632</v>
      </c>
      <c r="N73" s="36">
        <f t="shared" si="7"/>
        <v>111031.709</v>
      </c>
      <c r="O73" s="37">
        <f t="shared" si="5"/>
        <v>1393993.283</v>
      </c>
      <c r="R73" s="25">
        <v>10179</v>
      </c>
      <c r="S73" s="25" t="s">
        <v>62</v>
      </c>
      <c r="T73" s="26">
        <v>0.0236228</v>
      </c>
      <c r="U73" s="26">
        <v>0.0236228</v>
      </c>
      <c r="V73" s="26">
        <v>0.0236228</v>
      </c>
      <c r="W73" s="26">
        <v>0.0236228</v>
      </c>
      <c r="X73" s="26">
        <v>0</v>
      </c>
      <c r="Y73" s="26">
        <v>0</v>
      </c>
      <c r="Z73" s="27">
        <v>159.132</v>
      </c>
      <c r="AA73" s="27">
        <v>159.132</v>
      </c>
      <c r="AB73" s="27">
        <v>159.132</v>
      </c>
      <c r="AC73" s="43">
        <v>0</v>
      </c>
      <c r="AD73" s="44">
        <v>1</v>
      </c>
    </row>
    <row r="74" spans="1:30" ht="15">
      <c r="A74" s="25">
        <v>10183</v>
      </c>
      <c r="B74" s="25" t="s">
        <v>63</v>
      </c>
      <c r="C74" s="36">
        <f t="shared" si="8"/>
        <v>40202.501</v>
      </c>
      <c r="D74" s="36">
        <f t="shared" si="7"/>
        <v>50897.825</v>
      </c>
      <c r="E74" s="36">
        <f t="shared" si="7"/>
        <v>49818.801999999996</v>
      </c>
      <c r="F74" s="36">
        <f t="shared" si="7"/>
        <v>41148.210999999996</v>
      </c>
      <c r="G74" s="36">
        <f t="shared" si="7"/>
        <v>35664.057</v>
      </c>
      <c r="H74" s="36">
        <f t="shared" si="7"/>
        <v>42575.682</v>
      </c>
      <c r="I74" s="36">
        <f t="shared" si="7"/>
        <v>33054.348</v>
      </c>
      <c r="J74" s="36">
        <f t="shared" si="7"/>
        <v>45797.043999999994</v>
      </c>
      <c r="K74" s="36">
        <f t="shared" si="7"/>
        <v>48935.100000000006</v>
      </c>
      <c r="L74" s="36">
        <f t="shared" si="7"/>
        <v>46461.662</v>
      </c>
      <c r="M74" s="36">
        <f t="shared" si="7"/>
        <v>44901.611</v>
      </c>
      <c r="N74" s="36">
        <f t="shared" si="7"/>
        <v>41493.770000000004</v>
      </c>
      <c r="O74" s="37">
        <f t="shared" si="5"/>
        <v>520950.61299999995</v>
      </c>
      <c r="R74" s="25">
        <v>10183</v>
      </c>
      <c r="S74" s="25" t="s">
        <v>63</v>
      </c>
      <c r="T74" s="26">
        <v>0.0166176</v>
      </c>
      <c r="U74" s="26">
        <v>0.0166176</v>
      </c>
      <c r="V74" s="26">
        <v>0.008828099999999998</v>
      </c>
      <c r="W74" s="26">
        <v>0.008828099999999998</v>
      </c>
      <c r="X74" s="26">
        <v>0.0077895</v>
      </c>
      <c r="Y74" s="26">
        <v>0.0077895</v>
      </c>
      <c r="Z74" s="27">
        <v>111.942</v>
      </c>
      <c r="AA74" s="27">
        <v>111.942</v>
      </c>
      <c r="AB74" s="27">
        <v>111.942</v>
      </c>
      <c r="AC74" s="43">
        <v>0</v>
      </c>
      <c r="AD74" s="44">
        <v>0</v>
      </c>
    </row>
    <row r="75" spans="1:30" ht="15">
      <c r="A75" s="25">
        <v>10186</v>
      </c>
      <c r="B75" s="25" t="s">
        <v>64</v>
      </c>
      <c r="C75" s="36">
        <f t="shared" si="8"/>
        <v>12344.323</v>
      </c>
      <c r="D75" s="36">
        <f t="shared" si="7"/>
        <v>15628.361</v>
      </c>
      <c r="E75" s="36">
        <f t="shared" si="7"/>
        <v>15297.043</v>
      </c>
      <c r="F75" s="36">
        <f t="shared" si="7"/>
        <v>12634.706999999999</v>
      </c>
      <c r="G75" s="36">
        <f t="shared" si="7"/>
        <v>10950.777999999998</v>
      </c>
      <c r="H75" s="36">
        <f t="shared" si="7"/>
        <v>13073.017</v>
      </c>
      <c r="I75" s="36">
        <f t="shared" si="7"/>
        <v>10149.457</v>
      </c>
      <c r="J75" s="36">
        <f t="shared" si="7"/>
        <v>14062.147</v>
      </c>
      <c r="K75" s="36">
        <f t="shared" si="7"/>
        <v>15025.699</v>
      </c>
      <c r="L75" s="36">
        <f t="shared" si="7"/>
        <v>14266.221000000001</v>
      </c>
      <c r="M75" s="36">
        <f t="shared" si="7"/>
        <v>13787.202000000001</v>
      </c>
      <c r="N75" s="36">
        <f t="shared" si="7"/>
        <v>12740.812</v>
      </c>
      <c r="O75" s="37">
        <f t="shared" si="5"/>
        <v>159959.76699999996</v>
      </c>
      <c r="R75" s="25">
        <v>10186</v>
      </c>
      <c r="S75" s="25" t="s">
        <v>64</v>
      </c>
      <c r="T75" s="26">
        <v>0.0026946</v>
      </c>
      <c r="U75" s="26">
        <v>0.0027107</v>
      </c>
      <c r="V75" s="26">
        <v>0.0026946</v>
      </c>
      <c r="W75" s="26">
        <v>0.0027107</v>
      </c>
      <c r="X75" s="26">
        <v>0</v>
      </c>
      <c r="Y75" s="26">
        <v>0</v>
      </c>
      <c r="Z75" s="27">
        <v>20.334</v>
      </c>
      <c r="AA75" s="27">
        <v>18.152</v>
      </c>
      <c r="AB75" s="27">
        <v>18.26</v>
      </c>
      <c r="AC75" s="43">
        <v>0.07</v>
      </c>
      <c r="AD75" s="44">
        <v>0</v>
      </c>
    </row>
    <row r="76" spans="1:30" ht="15">
      <c r="A76" s="25">
        <v>10190</v>
      </c>
      <c r="B76" s="25" t="s">
        <v>65</v>
      </c>
      <c r="C76" s="36">
        <f t="shared" si="8"/>
        <v>3347.59</v>
      </c>
      <c r="D76" s="36">
        <f t="shared" si="7"/>
        <v>4238.17</v>
      </c>
      <c r="E76" s="36">
        <f t="shared" si="7"/>
        <v>4148.322</v>
      </c>
      <c r="F76" s="36">
        <f t="shared" si="7"/>
        <v>3426.337</v>
      </c>
      <c r="G76" s="36">
        <f t="shared" si="7"/>
        <v>2969.682</v>
      </c>
      <c r="H76" s="36">
        <f t="shared" si="7"/>
        <v>3545.2</v>
      </c>
      <c r="I76" s="36">
        <f t="shared" si="7"/>
        <v>2752.376</v>
      </c>
      <c r="J76" s="36">
        <f t="shared" si="7"/>
        <v>3813.437</v>
      </c>
      <c r="K76" s="36">
        <f t="shared" si="7"/>
        <v>4074.738</v>
      </c>
      <c r="L76" s="36">
        <f t="shared" si="7"/>
        <v>3868.779</v>
      </c>
      <c r="M76" s="36">
        <f t="shared" si="7"/>
        <v>3738.876</v>
      </c>
      <c r="N76" s="36">
        <f t="shared" si="7"/>
        <v>3455.111</v>
      </c>
      <c r="O76" s="37">
        <f t="shared" si="5"/>
        <v>43378.617999999995</v>
      </c>
      <c r="R76" s="25">
        <v>10190</v>
      </c>
      <c r="S76" s="25" t="s">
        <v>65</v>
      </c>
      <c r="T76" s="26">
        <v>0.0007351</v>
      </c>
      <c r="U76" s="26">
        <v>0.0007351</v>
      </c>
      <c r="V76" s="26">
        <v>0.0007351</v>
      </c>
      <c r="W76" s="26">
        <v>0.0007351</v>
      </c>
      <c r="X76" s="26">
        <v>0</v>
      </c>
      <c r="Y76" s="26">
        <v>0</v>
      </c>
      <c r="Z76" s="27">
        <v>4.952</v>
      </c>
      <c r="AA76" s="27">
        <v>4.952</v>
      </c>
      <c r="AB76" s="27">
        <v>4.952</v>
      </c>
      <c r="AC76" s="43">
        <v>0</v>
      </c>
      <c r="AD76" s="44">
        <v>0</v>
      </c>
    </row>
    <row r="77" spans="1:30" ht="15">
      <c r="A77" s="25">
        <v>10191</v>
      </c>
      <c r="B77" s="25" t="s">
        <v>66</v>
      </c>
      <c r="C77" s="36">
        <f t="shared" si="8"/>
        <v>40522.186</v>
      </c>
      <c r="D77" s="36">
        <f t="shared" si="7"/>
        <v>51302.558000000005</v>
      </c>
      <c r="E77" s="36">
        <f t="shared" si="7"/>
        <v>50214.955</v>
      </c>
      <c r="F77" s="36">
        <f t="shared" si="7"/>
        <v>41475.417</v>
      </c>
      <c r="G77" s="36">
        <f t="shared" si="7"/>
        <v>35947.653</v>
      </c>
      <c r="H77" s="36">
        <f t="shared" si="7"/>
        <v>42914.238</v>
      </c>
      <c r="I77" s="36">
        <f t="shared" si="7"/>
        <v>33317.193</v>
      </c>
      <c r="J77" s="36">
        <f t="shared" si="7"/>
        <v>46161.216</v>
      </c>
      <c r="K77" s="36">
        <f t="shared" si="7"/>
        <v>49324.226</v>
      </c>
      <c r="L77" s="36">
        <f t="shared" si="7"/>
        <v>46831.119000000006</v>
      </c>
      <c r="M77" s="36">
        <f t="shared" si="7"/>
        <v>45258.664000000004</v>
      </c>
      <c r="N77" s="36">
        <f t="shared" si="7"/>
        <v>41823.723</v>
      </c>
      <c r="O77" s="37">
        <f t="shared" si="5"/>
        <v>525093.148</v>
      </c>
      <c r="R77" s="25">
        <v>10191</v>
      </c>
      <c r="S77" s="25" t="s">
        <v>66</v>
      </c>
      <c r="T77" s="26">
        <v>0.0178678</v>
      </c>
      <c r="U77" s="26">
        <v>0.018581</v>
      </c>
      <c r="V77" s="26">
        <v>0.008185099999999999</v>
      </c>
      <c r="W77" s="26">
        <v>0.0088983</v>
      </c>
      <c r="X77" s="26">
        <v>0.0096827</v>
      </c>
      <c r="Y77" s="26">
        <v>0.0096827</v>
      </c>
      <c r="Z77" s="27">
        <v>125.168</v>
      </c>
      <c r="AA77" s="27">
        <v>120.364</v>
      </c>
      <c r="AB77" s="27">
        <v>125.168</v>
      </c>
      <c r="AC77" s="43">
        <v>0</v>
      </c>
      <c r="AD77" s="44">
        <v>0</v>
      </c>
    </row>
    <row r="78" spans="1:30" ht="15">
      <c r="A78" s="25">
        <v>10197</v>
      </c>
      <c r="B78" s="25" t="s">
        <v>67</v>
      </c>
      <c r="C78" s="36">
        <f t="shared" si="8"/>
        <v>14672.289</v>
      </c>
      <c r="D78" s="36">
        <f t="shared" si="7"/>
        <v>18575.651</v>
      </c>
      <c r="E78" s="36">
        <f t="shared" si="7"/>
        <v>18181.851</v>
      </c>
      <c r="F78" s="36">
        <f t="shared" si="7"/>
        <v>15017.436</v>
      </c>
      <c r="G78" s="36">
        <f t="shared" si="7"/>
        <v>13015.941</v>
      </c>
      <c r="H78" s="36">
        <f t="shared" si="7"/>
        <v>15538.404999999999</v>
      </c>
      <c r="I78" s="36">
        <f t="shared" si="7"/>
        <v>12063.503</v>
      </c>
      <c r="J78" s="36">
        <f t="shared" si="7"/>
        <v>16714.071</v>
      </c>
      <c r="K78" s="36">
        <f t="shared" si="7"/>
        <v>17859.336</v>
      </c>
      <c r="L78" s="36">
        <f t="shared" si="7"/>
        <v>16956.631</v>
      </c>
      <c r="M78" s="36">
        <f t="shared" si="7"/>
        <v>16387.275</v>
      </c>
      <c r="N78" s="36">
        <f t="shared" si="7"/>
        <v>15143.55</v>
      </c>
      <c r="O78" s="37">
        <f aca="true" t="shared" si="9" ref="O78:O141">SUM(C78:N78)</f>
        <v>190125.93899999998</v>
      </c>
      <c r="R78" s="25">
        <v>10197</v>
      </c>
      <c r="S78" s="25" t="s">
        <v>67</v>
      </c>
      <c r="T78" s="26">
        <v>0.0032219</v>
      </c>
      <c r="U78" s="26">
        <v>0.0032219</v>
      </c>
      <c r="V78" s="26">
        <v>0.0032219</v>
      </c>
      <c r="W78" s="26">
        <v>0.0032219</v>
      </c>
      <c r="X78" s="26">
        <v>0</v>
      </c>
      <c r="Y78" s="26">
        <v>0</v>
      </c>
      <c r="Z78" s="27">
        <v>21.704</v>
      </c>
      <c r="AA78" s="27">
        <v>21.704</v>
      </c>
      <c r="AB78" s="27">
        <v>21.704</v>
      </c>
      <c r="AC78" s="43">
        <v>0.08592</v>
      </c>
      <c r="AD78" s="44">
        <v>0</v>
      </c>
    </row>
    <row r="79" spans="1:30" ht="15">
      <c r="A79" s="25">
        <v>10202</v>
      </c>
      <c r="B79" s="25" t="s">
        <v>68</v>
      </c>
      <c r="C79" s="36">
        <f t="shared" si="8"/>
        <v>8447.075</v>
      </c>
      <c r="D79" s="36">
        <f t="shared" si="7"/>
        <v>10694.302</v>
      </c>
      <c r="E79" s="36">
        <f t="shared" si="7"/>
        <v>10467.586</v>
      </c>
      <c r="F79" s="36">
        <f t="shared" si="7"/>
        <v>8645.780999999999</v>
      </c>
      <c r="G79" s="36">
        <f t="shared" si="7"/>
        <v>7493.488</v>
      </c>
      <c r="H79" s="36">
        <f t="shared" si="7"/>
        <v>8945.711</v>
      </c>
      <c r="I79" s="36">
        <f t="shared" si="7"/>
        <v>6945.154</v>
      </c>
      <c r="J79" s="36">
        <f t="shared" si="7"/>
        <v>9622.562</v>
      </c>
      <c r="K79" s="36">
        <f t="shared" si="7"/>
        <v>10281.908</v>
      </c>
      <c r="L79" s="36">
        <f t="shared" si="7"/>
        <v>9762.207</v>
      </c>
      <c r="M79" s="36">
        <f t="shared" si="7"/>
        <v>9434.419</v>
      </c>
      <c r="N79" s="36">
        <f t="shared" si="7"/>
        <v>8718.387</v>
      </c>
      <c r="O79" s="37">
        <f t="shared" si="9"/>
        <v>109458.57999999999</v>
      </c>
      <c r="R79" s="25">
        <v>10202</v>
      </c>
      <c r="S79" s="25" t="s">
        <v>68</v>
      </c>
      <c r="T79" s="26">
        <v>0.0018549</v>
      </c>
      <c r="U79" s="26">
        <v>0.0018549</v>
      </c>
      <c r="V79" s="26">
        <v>0.0018549</v>
      </c>
      <c r="W79" s="26">
        <v>0.0018549</v>
      </c>
      <c r="X79" s="26">
        <v>0</v>
      </c>
      <c r="Y79" s="26">
        <v>0</v>
      </c>
      <c r="Z79" s="27">
        <v>12.495</v>
      </c>
      <c r="AA79" s="27">
        <v>12.495</v>
      </c>
      <c r="AB79" s="27">
        <v>12.495</v>
      </c>
      <c r="AC79" s="43">
        <v>0</v>
      </c>
      <c r="AD79" s="44">
        <v>0</v>
      </c>
    </row>
    <row r="80" spans="1:30" ht="15">
      <c r="A80" s="25">
        <v>10203</v>
      </c>
      <c r="B80" s="25" t="s">
        <v>69</v>
      </c>
      <c r="C80" s="36">
        <f t="shared" si="8"/>
        <v>4006.998</v>
      </c>
      <c r="D80" s="36">
        <f t="shared" si="7"/>
        <v>5073.005</v>
      </c>
      <c r="E80" s="36">
        <f t="shared" si="7"/>
        <v>4965.459000000001</v>
      </c>
      <c r="F80" s="36">
        <f t="shared" si="7"/>
        <v>4101.257</v>
      </c>
      <c r="G80" s="36">
        <f t="shared" si="7"/>
        <v>3554.65</v>
      </c>
      <c r="H80" s="36">
        <f t="shared" si="7"/>
        <v>4243.534</v>
      </c>
      <c r="I80" s="36">
        <f t="shared" si="7"/>
        <v>3294.5389999999998</v>
      </c>
      <c r="J80" s="36">
        <f t="shared" si="7"/>
        <v>4564.608</v>
      </c>
      <c r="K80" s="36">
        <f t="shared" si="7"/>
        <v>4877.38</v>
      </c>
      <c r="L80" s="36">
        <f t="shared" si="7"/>
        <v>4630.851</v>
      </c>
      <c r="M80" s="36">
        <f t="shared" si="7"/>
        <v>4475.361</v>
      </c>
      <c r="N80" s="36">
        <f t="shared" si="7"/>
        <v>4135.7</v>
      </c>
      <c r="O80" s="37">
        <f t="shared" si="9"/>
        <v>51923.342</v>
      </c>
      <c r="R80" s="25">
        <v>10203</v>
      </c>
      <c r="S80" s="25" t="s">
        <v>69</v>
      </c>
      <c r="T80" s="26">
        <v>0.0008799</v>
      </c>
      <c r="U80" s="26">
        <v>0.0008799</v>
      </c>
      <c r="V80" s="26">
        <v>0.0008799</v>
      </c>
      <c r="W80" s="26">
        <v>0.0008799</v>
      </c>
      <c r="X80" s="26">
        <v>0</v>
      </c>
      <c r="Y80" s="26">
        <v>0</v>
      </c>
      <c r="Z80" s="27">
        <v>5.927</v>
      </c>
      <c r="AA80" s="27">
        <v>5.927</v>
      </c>
      <c r="AB80" s="27">
        <v>5.927</v>
      </c>
      <c r="AC80" s="43">
        <v>0.07677</v>
      </c>
      <c r="AD80" s="44">
        <v>0</v>
      </c>
    </row>
    <row r="81" spans="1:30" ht="15">
      <c r="A81" s="25">
        <v>10204</v>
      </c>
      <c r="B81" s="25" t="s">
        <v>70</v>
      </c>
      <c r="C81" s="36">
        <f t="shared" si="8"/>
        <v>26304.834000000003</v>
      </c>
      <c r="D81" s="36">
        <f t="shared" si="7"/>
        <v>33302.873999999996</v>
      </c>
      <c r="E81" s="36">
        <f t="shared" si="7"/>
        <v>32596.86</v>
      </c>
      <c r="F81" s="36">
        <f t="shared" si="7"/>
        <v>26923.62</v>
      </c>
      <c r="G81" s="36">
        <f t="shared" si="7"/>
        <v>23335.292</v>
      </c>
      <c r="H81" s="36">
        <f t="shared" si="7"/>
        <v>27857.626000000004</v>
      </c>
      <c r="I81" s="36">
        <f t="shared" si="7"/>
        <v>21627.738</v>
      </c>
      <c r="J81" s="36">
        <f t="shared" si="7"/>
        <v>29965.391</v>
      </c>
      <c r="K81" s="36">
        <f t="shared" si="7"/>
        <v>32018.647</v>
      </c>
      <c r="L81" s="36">
        <f t="shared" si="7"/>
        <v>30400.254999999997</v>
      </c>
      <c r="M81" s="36">
        <f t="shared" si="7"/>
        <v>29379.501</v>
      </c>
      <c r="N81" s="36">
        <f t="shared" si="7"/>
        <v>27149.722</v>
      </c>
      <c r="O81" s="37">
        <f t="shared" si="9"/>
        <v>340862.36</v>
      </c>
      <c r="R81" s="25">
        <v>10204</v>
      </c>
      <c r="S81" s="25" t="s">
        <v>70</v>
      </c>
      <c r="T81" s="26">
        <v>0.0112656</v>
      </c>
      <c r="U81" s="26">
        <v>0.0112656</v>
      </c>
      <c r="V81" s="26">
        <v>0.005776300000000001</v>
      </c>
      <c r="W81" s="26">
        <v>0.005776300000000001</v>
      </c>
      <c r="X81" s="26">
        <v>0.0054893</v>
      </c>
      <c r="Y81" s="26">
        <v>0.0054893</v>
      </c>
      <c r="Z81" s="27">
        <v>75.889</v>
      </c>
      <c r="AA81" s="27">
        <v>75.889</v>
      </c>
      <c r="AB81" s="27">
        <v>75.889</v>
      </c>
      <c r="AC81" s="43">
        <v>0</v>
      </c>
      <c r="AD81" s="44">
        <v>0</v>
      </c>
    </row>
    <row r="82" spans="1:30" ht="15">
      <c r="A82" s="25">
        <v>10209</v>
      </c>
      <c r="B82" s="25" t="s">
        <v>71</v>
      </c>
      <c r="C82" s="36">
        <f t="shared" si="8"/>
        <v>67639.44</v>
      </c>
      <c r="D82" s="36">
        <f t="shared" si="7"/>
        <v>85633.985</v>
      </c>
      <c r="E82" s="36">
        <f t="shared" si="7"/>
        <v>83818.563</v>
      </c>
      <c r="F82" s="36">
        <f t="shared" si="7"/>
        <v>69230.56899999999</v>
      </c>
      <c r="G82" s="36">
        <f t="shared" si="7"/>
        <v>60003.651</v>
      </c>
      <c r="H82" s="36">
        <f t="shared" si="7"/>
        <v>71632.242</v>
      </c>
      <c r="I82" s="36">
        <f t="shared" si="7"/>
        <v>55612.9</v>
      </c>
      <c r="J82" s="36">
        <f t="shared" si="7"/>
        <v>77052.083</v>
      </c>
      <c r="K82" s="36">
        <f t="shared" si="7"/>
        <v>82331.764</v>
      </c>
      <c r="L82" s="36">
        <f t="shared" si="7"/>
        <v>78170.281</v>
      </c>
      <c r="M82" s="36">
        <f t="shared" si="7"/>
        <v>75545.546</v>
      </c>
      <c r="N82" s="36">
        <f t="shared" si="7"/>
        <v>69811.96</v>
      </c>
      <c r="O82" s="37">
        <f t="shared" si="9"/>
        <v>876482.9839999998</v>
      </c>
      <c r="R82" s="25">
        <v>10209</v>
      </c>
      <c r="S82" s="25" t="s">
        <v>71</v>
      </c>
      <c r="T82" s="26">
        <v>0.014853</v>
      </c>
      <c r="U82" s="26">
        <v>0.014853</v>
      </c>
      <c r="V82" s="26">
        <v>0.014853</v>
      </c>
      <c r="W82" s="26">
        <v>0.014853</v>
      </c>
      <c r="X82" s="26">
        <v>0</v>
      </c>
      <c r="Y82" s="26">
        <v>0</v>
      </c>
      <c r="Z82" s="27">
        <v>100.055</v>
      </c>
      <c r="AA82" s="27">
        <v>100.055</v>
      </c>
      <c r="AB82" s="27">
        <v>100.055</v>
      </c>
      <c r="AC82" s="43">
        <v>0.08296</v>
      </c>
      <c r="AD82" s="44">
        <v>0</v>
      </c>
    </row>
    <row r="83" spans="1:30" ht="15">
      <c r="A83" s="25">
        <v>10230</v>
      </c>
      <c r="B83" s="25" t="s">
        <v>72</v>
      </c>
      <c r="C83" s="36">
        <f t="shared" si="8"/>
        <v>6256.637</v>
      </c>
      <c r="D83" s="36">
        <f t="shared" si="7"/>
        <v>7921.129000000001</v>
      </c>
      <c r="E83" s="36">
        <f t="shared" si="7"/>
        <v>7753.203</v>
      </c>
      <c r="F83" s="36">
        <f t="shared" si="7"/>
        <v>6403.816000000001</v>
      </c>
      <c r="G83" s="36">
        <f t="shared" si="7"/>
        <v>5550.3279999999995</v>
      </c>
      <c r="H83" s="36">
        <f t="shared" si="7"/>
        <v>6625.97</v>
      </c>
      <c r="I83" s="36">
        <f t="shared" si="7"/>
        <v>5144.184</v>
      </c>
      <c r="J83" s="36">
        <f t="shared" si="7"/>
        <v>7127.305</v>
      </c>
      <c r="K83" s="36">
        <f t="shared" si="7"/>
        <v>7615.675</v>
      </c>
      <c r="L83" s="36">
        <f t="shared" si="7"/>
        <v>7230.737999999999</v>
      </c>
      <c r="M83" s="36">
        <f t="shared" si="7"/>
        <v>6987.951</v>
      </c>
      <c r="N83" s="36">
        <f t="shared" si="7"/>
        <v>6457.594</v>
      </c>
      <c r="O83" s="37">
        <f t="shared" si="9"/>
        <v>81074.53000000001</v>
      </c>
      <c r="R83" s="25">
        <v>10230</v>
      </c>
      <c r="S83" s="25" t="s">
        <v>72</v>
      </c>
      <c r="T83" s="26">
        <v>0.0013739</v>
      </c>
      <c r="U83" s="26">
        <v>0.0013739</v>
      </c>
      <c r="V83" s="26">
        <v>0.0013739</v>
      </c>
      <c r="W83" s="26">
        <v>0.0013739</v>
      </c>
      <c r="X83" s="26">
        <v>0</v>
      </c>
      <c r="Y83" s="26">
        <v>0</v>
      </c>
      <c r="Z83" s="27">
        <v>9.255</v>
      </c>
      <c r="AA83" s="27">
        <v>9.255</v>
      </c>
      <c r="AB83" s="27">
        <v>9.255</v>
      </c>
      <c r="AC83" s="43">
        <v>0.09343</v>
      </c>
      <c r="AD83" s="44">
        <v>0</v>
      </c>
    </row>
    <row r="84" spans="1:30" ht="15">
      <c r="A84" s="25">
        <v>10231</v>
      </c>
      <c r="B84" s="25" t="s">
        <v>73</v>
      </c>
      <c r="C84" s="36">
        <f t="shared" si="8"/>
        <v>23639.877</v>
      </c>
      <c r="D84" s="36">
        <f t="shared" si="7"/>
        <v>29928.942000000003</v>
      </c>
      <c r="E84" s="36">
        <f t="shared" si="7"/>
        <v>29294.455</v>
      </c>
      <c r="F84" s="36">
        <f t="shared" si="7"/>
        <v>24195.975</v>
      </c>
      <c r="G84" s="36">
        <f t="shared" si="7"/>
        <v>20971.181</v>
      </c>
      <c r="H84" s="36">
        <f t="shared" si="7"/>
        <v>25035.356</v>
      </c>
      <c r="I84" s="36">
        <f t="shared" si="7"/>
        <v>19436.621</v>
      </c>
      <c r="J84" s="36">
        <f t="shared" si="7"/>
        <v>26929.58</v>
      </c>
      <c r="K84" s="36">
        <f t="shared" si="7"/>
        <v>28774.821</v>
      </c>
      <c r="L84" s="36">
        <f t="shared" si="7"/>
        <v>27320.39</v>
      </c>
      <c r="M84" s="36">
        <f t="shared" si="7"/>
        <v>26403.049</v>
      </c>
      <c r="N84" s="36">
        <f t="shared" si="7"/>
        <v>24399.17</v>
      </c>
      <c r="O84" s="37">
        <f t="shared" si="9"/>
        <v>306329.417</v>
      </c>
      <c r="R84" s="25">
        <v>10231</v>
      </c>
      <c r="S84" s="25" t="s">
        <v>73</v>
      </c>
      <c r="T84" s="26">
        <v>0.0051911</v>
      </c>
      <c r="U84" s="26">
        <v>0.0051911</v>
      </c>
      <c r="V84" s="26">
        <v>0.0051911</v>
      </c>
      <c r="W84" s="26">
        <v>0.0051911</v>
      </c>
      <c r="X84" s="26">
        <v>0</v>
      </c>
      <c r="Y84" s="26">
        <v>0</v>
      </c>
      <c r="Z84" s="27">
        <v>34.969</v>
      </c>
      <c r="AA84" s="27">
        <v>34.969</v>
      </c>
      <c r="AB84" s="27">
        <v>34.969</v>
      </c>
      <c r="AC84" s="43">
        <v>0.09084</v>
      </c>
      <c r="AD84" s="44">
        <v>0</v>
      </c>
    </row>
    <row r="85" spans="1:30" ht="15">
      <c r="A85" s="25">
        <v>10234</v>
      </c>
      <c r="B85" s="25" t="s">
        <v>74</v>
      </c>
      <c r="C85" s="36">
        <f t="shared" si="8"/>
        <v>32887.076</v>
      </c>
      <c r="D85" s="36">
        <f t="shared" si="7"/>
        <v>41636.232</v>
      </c>
      <c r="E85" s="36">
        <f t="shared" si="7"/>
        <v>40753.553</v>
      </c>
      <c r="F85" s="36">
        <f t="shared" si="7"/>
        <v>33660.701</v>
      </c>
      <c r="G85" s="36">
        <f t="shared" si="7"/>
        <v>29174.468</v>
      </c>
      <c r="H85" s="36">
        <f t="shared" si="7"/>
        <v>34828.422999999995</v>
      </c>
      <c r="I85" s="36">
        <f t="shared" si="7"/>
        <v>27039.634</v>
      </c>
      <c r="J85" s="36">
        <f t="shared" si="7"/>
        <v>37463.612</v>
      </c>
      <c r="K85" s="36">
        <f t="shared" si="7"/>
        <v>40030.654</v>
      </c>
      <c r="L85" s="36">
        <f t="shared" si="7"/>
        <v>38007.293</v>
      </c>
      <c r="M85" s="36">
        <f t="shared" si="7"/>
        <v>36731.116</v>
      </c>
      <c r="N85" s="36">
        <f t="shared" si="7"/>
        <v>33943.380000000005</v>
      </c>
      <c r="O85" s="37">
        <f t="shared" si="9"/>
        <v>426156.14199999993</v>
      </c>
      <c r="R85" s="25">
        <v>10234</v>
      </c>
      <c r="S85" s="25" t="s">
        <v>74</v>
      </c>
      <c r="T85" s="26">
        <v>0.0072217</v>
      </c>
      <c r="U85" s="26">
        <v>0.0072217</v>
      </c>
      <c r="V85" s="26">
        <v>0.0072217</v>
      </c>
      <c r="W85" s="26">
        <v>0.0072217</v>
      </c>
      <c r="X85" s="26">
        <v>0</v>
      </c>
      <c r="Y85" s="26">
        <v>0</v>
      </c>
      <c r="Z85" s="27">
        <v>48.648</v>
      </c>
      <c r="AA85" s="27">
        <v>48.648</v>
      </c>
      <c r="AB85" s="27">
        <v>48.648</v>
      </c>
      <c r="AC85" s="43">
        <v>0</v>
      </c>
      <c r="AD85" s="44">
        <v>0</v>
      </c>
    </row>
    <row r="86" spans="1:30" ht="15">
      <c r="A86" s="25">
        <v>10235</v>
      </c>
      <c r="B86" s="25" t="s">
        <v>75</v>
      </c>
      <c r="C86" s="36">
        <f t="shared" si="8"/>
        <v>20841.035</v>
      </c>
      <c r="D86" s="36">
        <f t="shared" si="7"/>
        <v>26385.507</v>
      </c>
      <c r="E86" s="36">
        <f t="shared" si="7"/>
        <v>25826.14</v>
      </c>
      <c r="F86" s="36">
        <f t="shared" si="7"/>
        <v>21331.294</v>
      </c>
      <c r="G86" s="36">
        <f t="shared" si="7"/>
        <v>18488.299</v>
      </c>
      <c r="H86" s="36">
        <f t="shared" si="7"/>
        <v>22071.296000000002</v>
      </c>
      <c r="I86" s="36">
        <f t="shared" si="7"/>
        <v>17135.423000000003</v>
      </c>
      <c r="J86" s="36">
        <f t="shared" si="7"/>
        <v>23741.254</v>
      </c>
      <c r="K86" s="36">
        <f t="shared" si="7"/>
        <v>25368.027000000002</v>
      </c>
      <c r="L86" s="36">
        <f t="shared" si="7"/>
        <v>24085.792999999998</v>
      </c>
      <c r="M86" s="36">
        <f t="shared" si="7"/>
        <v>23277.062</v>
      </c>
      <c r="N86" s="36">
        <f t="shared" si="7"/>
        <v>21510.431</v>
      </c>
      <c r="O86" s="37">
        <f t="shared" si="9"/>
        <v>270061.56100000005</v>
      </c>
      <c r="R86" s="25">
        <v>10235</v>
      </c>
      <c r="S86" s="25" t="s">
        <v>75</v>
      </c>
      <c r="T86" s="26">
        <v>0.0045538</v>
      </c>
      <c r="U86" s="26">
        <v>0.0045765</v>
      </c>
      <c r="V86" s="26">
        <v>0.0045538</v>
      </c>
      <c r="W86" s="26">
        <v>0.0045765</v>
      </c>
      <c r="X86" s="26">
        <v>0</v>
      </c>
      <c r="Y86" s="26">
        <v>0</v>
      </c>
      <c r="Z86" s="27">
        <v>31.587</v>
      </c>
      <c r="AA86" s="27">
        <v>30.676</v>
      </c>
      <c r="AB86" s="27">
        <v>30.829</v>
      </c>
      <c r="AC86" s="43">
        <v>0</v>
      </c>
      <c r="AD86" s="44">
        <v>0</v>
      </c>
    </row>
    <row r="87" spans="1:30" ht="15">
      <c r="A87" s="25">
        <v>10236</v>
      </c>
      <c r="B87" s="25" t="s">
        <v>76</v>
      </c>
      <c r="C87" s="36">
        <f t="shared" si="8"/>
        <v>18509.426</v>
      </c>
      <c r="D87" s="36">
        <f t="shared" si="7"/>
        <v>23433.605</v>
      </c>
      <c r="E87" s="36">
        <f t="shared" si="7"/>
        <v>22936.818</v>
      </c>
      <c r="F87" s="36">
        <f t="shared" si="7"/>
        <v>18944.836</v>
      </c>
      <c r="G87" s="36">
        <f t="shared" si="7"/>
        <v>16419.904</v>
      </c>
      <c r="H87" s="36">
        <f t="shared" si="7"/>
        <v>19602.050000000003</v>
      </c>
      <c r="I87" s="36">
        <f t="shared" si="7"/>
        <v>15218.381999999998</v>
      </c>
      <c r="J87" s="36">
        <f t="shared" si="7"/>
        <v>21085.181</v>
      </c>
      <c r="K87" s="36">
        <f t="shared" si="7"/>
        <v>22529.957000000002</v>
      </c>
      <c r="L87" s="36">
        <f t="shared" si="7"/>
        <v>21391.174</v>
      </c>
      <c r="M87" s="36">
        <f t="shared" si="7"/>
        <v>20672.92</v>
      </c>
      <c r="N87" s="36">
        <f t="shared" si="7"/>
        <v>19103.932999999997</v>
      </c>
      <c r="O87" s="37">
        <f t="shared" si="9"/>
        <v>239848.18600000002</v>
      </c>
      <c r="R87" s="25">
        <v>10236</v>
      </c>
      <c r="S87" s="25" t="s">
        <v>76</v>
      </c>
      <c r="T87" s="26">
        <v>0.0040645</v>
      </c>
      <c r="U87" s="26">
        <v>0.0040645</v>
      </c>
      <c r="V87" s="26">
        <v>0.0040645</v>
      </c>
      <c r="W87" s="26">
        <v>0.0040645</v>
      </c>
      <c r="X87" s="26">
        <v>0</v>
      </c>
      <c r="Y87" s="26">
        <v>0</v>
      </c>
      <c r="Z87" s="27">
        <v>27.761</v>
      </c>
      <c r="AA87" s="27">
        <v>27.38</v>
      </c>
      <c r="AB87" s="27">
        <v>27.38</v>
      </c>
      <c r="AC87" s="43">
        <v>0.065</v>
      </c>
      <c r="AD87" s="44">
        <v>1</v>
      </c>
    </row>
    <row r="88" spans="1:30" ht="15">
      <c r="A88" s="25">
        <v>10237</v>
      </c>
      <c r="B88" s="25" t="s">
        <v>77</v>
      </c>
      <c r="C88" s="36">
        <f t="shared" si="8"/>
        <v>29601.875</v>
      </c>
      <c r="D88" s="36">
        <f t="shared" si="7"/>
        <v>37477.048</v>
      </c>
      <c r="E88" s="36">
        <f t="shared" si="7"/>
        <v>36682.543</v>
      </c>
      <c r="F88" s="36">
        <f t="shared" si="7"/>
        <v>30298.220999999998</v>
      </c>
      <c r="G88" s="36">
        <f t="shared" si="7"/>
        <v>26260.131999999998</v>
      </c>
      <c r="H88" s="36">
        <f t="shared" si="7"/>
        <v>31349.295</v>
      </c>
      <c r="I88" s="36">
        <f t="shared" si="7"/>
        <v>24338.554</v>
      </c>
      <c r="J88" s="36">
        <f t="shared" si="7"/>
        <v>33721.245</v>
      </c>
      <c r="K88" s="36">
        <f t="shared" si="7"/>
        <v>36031.856</v>
      </c>
      <c r="L88" s="36">
        <f t="shared" si="7"/>
        <v>34210.616</v>
      </c>
      <c r="M88" s="36">
        <f t="shared" si="7"/>
        <v>33061.921</v>
      </c>
      <c r="N88" s="36">
        <f t="shared" si="7"/>
        <v>30552.661</v>
      </c>
      <c r="O88" s="37">
        <f t="shared" si="9"/>
        <v>383585.967</v>
      </c>
      <c r="R88" s="25">
        <v>10237</v>
      </c>
      <c r="S88" s="25" t="s">
        <v>77</v>
      </c>
      <c r="T88" s="26">
        <v>0.0161051</v>
      </c>
      <c r="U88" s="26">
        <v>0.0161051</v>
      </c>
      <c r="V88" s="26">
        <v>0.0065003000000000005</v>
      </c>
      <c r="W88" s="26">
        <v>0.0065003000000000005</v>
      </c>
      <c r="X88" s="26">
        <v>0.0096048</v>
      </c>
      <c r="Y88" s="26">
        <v>0.0096048</v>
      </c>
      <c r="Z88" s="27">
        <v>108.49</v>
      </c>
      <c r="AA88" s="27">
        <v>108.49</v>
      </c>
      <c r="AB88" s="27">
        <v>108.49</v>
      </c>
      <c r="AC88" s="43">
        <v>0.05151</v>
      </c>
      <c r="AD88" s="44">
        <v>0</v>
      </c>
    </row>
    <row r="89" spans="1:30" ht="15">
      <c r="A89" s="25">
        <v>10239</v>
      </c>
      <c r="B89" s="25" t="s">
        <v>78</v>
      </c>
      <c r="C89" s="36">
        <f t="shared" si="8"/>
        <v>9028.154999999999</v>
      </c>
      <c r="D89" s="36">
        <f t="shared" si="7"/>
        <v>11429.972</v>
      </c>
      <c r="E89" s="36">
        <f t="shared" si="7"/>
        <v>11187.659</v>
      </c>
      <c r="F89" s="36">
        <f t="shared" si="7"/>
        <v>9240.530999999999</v>
      </c>
      <c r="G89" s="36">
        <f t="shared" si="7"/>
        <v>8008.97</v>
      </c>
      <c r="H89" s="36">
        <f t="shared" si="7"/>
        <v>9561.092999999999</v>
      </c>
      <c r="I89" s="36">
        <f t="shared" si="7"/>
        <v>7422.915999999999</v>
      </c>
      <c r="J89" s="36">
        <f t="shared" si="7"/>
        <v>10284.505</v>
      </c>
      <c r="K89" s="36">
        <f t="shared" si="7"/>
        <v>10989.208999999999</v>
      </c>
      <c r="L89" s="36">
        <f t="shared" si="7"/>
        <v>10433.756</v>
      </c>
      <c r="M89" s="36">
        <f t="shared" si="7"/>
        <v>10083.42</v>
      </c>
      <c r="N89" s="36">
        <f t="shared" si="7"/>
        <v>9318.132</v>
      </c>
      <c r="O89" s="37">
        <f t="shared" si="9"/>
        <v>116988.318</v>
      </c>
      <c r="R89" s="25">
        <v>10239</v>
      </c>
      <c r="S89" s="25" t="s">
        <v>78</v>
      </c>
      <c r="T89" s="26">
        <v>0.0019825</v>
      </c>
      <c r="U89" s="26">
        <v>0.0019825</v>
      </c>
      <c r="V89" s="26">
        <v>0.0019825</v>
      </c>
      <c r="W89" s="26">
        <v>0.0019825</v>
      </c>
      <c r="X89" s="26">
        <v>0</v>
      </c>
      <c r="Y89" s="26">
        <v>0</v>
      </c>
      <c r="Z89" s="27">
        <v>13.355</v>
      </c>
      <c r="AA89" s="27">
        <v>13.355</v>
      </c>
      <c r="AB89" s="27">
        <v>13.355</v>
      </c>
      <c r="AC89" s="43">
        <v>0.07682</v>
      </c>
      <c r="AD89" s="44">
        <v>1</v>
      </c>
    </row>
    <row r="90" spans="1:30" ht="15">
      <c r="A90" s="25">
        <v>10242</v>
      </c>
      <c r="B90" s="25" t="s">
        <v>79</v>
      </c>
      <c r="C90" s="36">
        <f t="shared" si="8"/>
        <v>6142.789</v>
      </c>
      <c r="D90" s="36">
        <f t="shared" si="7"/>
        <v>7776.993</v>
      </c>
      <c r="E90" s="36">
        <f t="shared" si="7"/>
        <v>7612.123</v>
      </c>
      <c r="F90" s="36">
        <f t="shared" si="7"/>
        <v>6287.29</v>
      </c>
      <c r="G90" s="36">
        <f t="shared" si="7"/>
        <v>5449.331</v>
      </c>
      <c r="H90" s="36">
        <f aca="true" t="shared" si="10" ref="D90:N113">ROUND(H$3*$W90,3)+ROUND(H$4*$W90,3)</f>
        <v>6505.402</v>
      </c>
      <c r="I90" s="36">
        <f t="shared" si="10"/>
        <v>5050.5779999999995</v>
      </c>
      <c r="J90" s="36">
        <f t="shared" si="10"/>
        <v>6997.6140000000005</v>
      </c>
      <c r="K90" s="36">
        <f t="shared" si="10"/>
        <v>7477.096</v>
      </c>
      <c r="L90" s="36">
        <f t="shared" si="10"/>
        <v>7099.164</v>
      </c>
      <c r="M90" s="36">
        <f t="shared" si="10"/>
        <v>6860.795</v>
      </c>
      <c r="N90" s="36">
        <f t="shared" si="10"/>
        <v>6340.09</v>
      </c>
      <c r="O90" s="37">
        <f t="shared" si="9"/>
        <v>79599.265</v>
      </c>
      <c r="R90" s="25">
        <v>10242</v>
      </c>
      <c r="S90" s="25" t="s">
        <v>79</v>
      </c>
      <c r="T90" s="26">
        <v>0.0013489</v>
      </c>
      <c r="U90" s="26">
        <v>0.0013489</v>
      </c>
      <c r="V90" s="26">
        <v>0.0013489</v>
      </c>
      <c r="W90" s="26">
        <v>0.0013489</v>
      </c>
      <c r="X90" s="26">
        <v>0</v>
      </c>
      <c r="Y90" s="26">
        <v>0</v>
      </c>
      <c r="Z90" s="27">
        <v>9.087</v>
      </c>
      <c r="AA90" s="27">
        <v>9.087</v>
      </c>
      <c r="AB90" s="27">
        <v>9.087</v>
      </c>
      <c r="AC90" s="43">
        <v>0.07474</v>
      </c>
      <c r="AD90" s="44">
        <v>0</v>
      </c>
    </row>
    <row r="91" spans="1:30" ht="15">
      <c r="A91" s="25">
        <v>10244</v>
      </c>
      <c r="B91" s="25" t="s">
        <v>80</v>
      </c>
      <c r="C91" s="36">
        <f t="shared" si="8"/>
        <v>55481.827000000005</v>
      </c>
      <c r="D91" s="36">
        <f t="shared" si="10"/>
        <v>70242.007</v>
      </c>
      <c r="E91" s="36">
        <f t="shared" si="10"/>
        <v>68752.89199999999</v>
      </c>
      <c r="F91" s="36">
        <f t="shared" si="10"/>
        <v>56786.965</v>
      </c>
      <c r="G91" s="36">
        <f t="shared" si="10"/>
        <v>49218.507</v>
      </c>
      <c r="H91" s="36">
        <f t="shared" si="10"/>
        <v>58756.958</v>
      </c>
      <c r="I91" s="36">
        <f t="shared" si="10"/>
        <v>45616.956</v>
      </c>
      <c r="J91" s="36">
        <f t="shared" si="10"/>
        <v>63202.628</v>
      </c>
      <c r="K91" s="36">
        <f t="shared" si="10"/>
        <v>67533.332</v>
      </c>
      <c r="L91" s="36">
        <f t="shared" si="10"/>
        <v>64119.84</v>
      </c>
      <c r="M91" s="36">
        <f t="shared" si="10"/>
        <v>61966.879</v>
      </c>
      <c r="N91" s="36">
        <f t="shared" si="10"/>
        <v>57263.856</v>
      </c>
      <c r="O91" s="37">
        <f t="shared" si="9"/>
        <v>718942.6469999999</v>
      </c>
      <c r="R91" s="25">
        <v>10244</v>
      </c>
      <c r="S91" s="25" t="s">
        <v>80</v>
      </c>
      <c r="T91" s="26">
        <v>0.0121833</v>
      </c>
      <c r="U91" s="26">
        <v>0.0121833</v>
      </c>
      <c r="V91" s="26">
        <v>0.0121833</v>
      </c>
      <c r="W91" s="26">
        <v>0.0121833</v>
      </c>
      <c r="X91" s="26">
        <v>0</v>
      </c>
      <c r="Y91" s="26">
        <v>0</v>
      </c>
      <c r="Z91" s="27">
        <v>82.071</v>
      </c>
      <c r="AA91" s="27">
        <v>82.071</v>
      </c>
      <c r="AB91" s="27">
        <v>82.071</v>
      </c>
      <c r="AC91" s="43">
        <v>0.07272</v>
      </c>
      <c r="AD91" s="44">
        <v>0</v>
      </c>
    </row>
    <row r="92" spans="1:30" ht="15">
      <c r="A92" s="25">
        <v>10246</v>
      </c>
      <c r="B92" s="25" t="s">
        <v>81</v>
      </c>
      <c r="C92" s="36">
        <f t="shared" si="8"/>
        <v>5795.325000000001</v>
      </c>
      <c r="D92" s="36">
        <f t="shared" si="10"/>
        <v>7337.091</v>
      </c>
      <c r="E92" s="36">
        <f t="shared" si="10"/>
        <v>7181.546</v>
      </c>
      <c r="F92" s="36">
        <f t="shared" si="10"/>
        <v>5931.651</v>
      </c>
      <c r="G92" s="36">
        <f t="shared" si="10"/>
        <v>5141.093000000001</v>
      </c>
      <c r="H92" s="36">
        <f t="shared" si="10"/>
        <v>6137.427</v>
      </c>
      <c r="I92" s="36">
        <f t="shared" si="10"/>
        <v>4764.894</v>
      </c>
      <c r="J92" s="36">
        <f t="shared" si="10"/>
        <v>6601.796</v>
      </c>
      <c r="K92" s="36">
        <f t="shared" si="10"/>
        <v>7054.157</v>
      </c>
      <c r="L92" s="36">
        <f t="shared" si="10"/>
        <v>6697.603000000001</v>
      </c>
      <c r="M92" s="36">
        <f t="shared" si="10"/>
        <v>6472.717</v>
      </c>
      <c r="N92" s="36">
        <f t="shared" si="10"/>
        <v>5981.465</v>
      </c>
      <c r="O92" s="37">
        <f t="shared" si="9"/>
        <v>75096.765</v>
      </c>
      <c r="R92" s="25">
        <v>10246</v>
      </c>
      <c r="S92" s="25" t="s">
        <v>81</v>
      </c>
      <c r="T92" s="26">
        <v>0.0012726</v>
      </c>
      <c r="U92" s="26">
        <v>0.0012726</v>
      </c>
      <c r="V92" s="26">
        <v>0.0012726</v>
      </c>
      <c r="W92" s="26">
        <v>0.0012726</v>
      </c>
      <c r="X92" s="26">
        <v>0</v>
      </c>
      <c r="Y92" s="26">
        <v>0</v>
      </c>
      <c r="Z92" s="27">
        <v>8.573</v>
      </c>
      <c r="AA92" s="27">
        <v>8.573</v>
      </c>
      <c r="AB92" s="27">
        <v>8.573</v>
      </c>
      <c r="AC92" s="43">
        <v>0</v>
      </c>
      <c r="AD92" s="44">
        <v>0</v>
      </c>
    </row>
    <row r="93" spans="1:30" ht="15">
      <c r="A93" s="25">
        <v>10247</v>
      </c>
      <c r="B93" s="25" t="s">
        <v>82</v>
      </c>
      <c r="C93" s="36">
        <f t="shared" si="8"/>
        <v>51542.682</v>
      </c>
      <c r="D93" s="36">
        <f t="shared" si="10"/>
        <v>65254.90700000001</v>
      </c>
      <c r="E93" s="36">
        <f t="shared" si="10"/>
        <v>63871.517</v>
      </c>
      <c r="F93" s="36">
        <f t="shared" si="10"/>
        <v>52755.157</v>
      </c>
      <c r="G93" s="36">
        <f t="shared" si="10"/>
        <v>45724.05100000001</v>
      </c>
      <c r="H93" s="36">
        <f t="shared" si="10"/>
        <v>54585.282999999996</v>
      </c>
      <c r="I93" s="36">
        <f t="shared" si="10"/>
        <v>42378.206</v>
      </c>
      <c r="J93" s="36">
        <f t="shared" si="10"/>
        <v>58715.316000000006</v>
      </c>
      <c r="K93" s="36">
        <f t="shared" si="10"/>
        <v>62738.545</v>
      </c>
      <c r="L93" s="36">
        <f t="shared" si="10"/>
        <v>59567.40700000001</v>
      </c>
      <c r="M93" s="36">
        <f t="shared" si="10"/>
        <v>57567.304</v>
      </c>
      <c r="N93" s="36">
        <f t="shared" si="10"/>
        <v>53198.19</v>
      </c>
      <c r="O93" s="37">
        <f t="shared" si="9"/>
        <v>667898.565</v>
      </c>
      <c r="R93" s="25">
        <v>10247</v>
      </c>
      <c r="S93" s="25" t="s">
        <v>82</v>
      </c>
      <c r="T93" s="26">
        <v>0.0113183</v>
      </c>
      <c r="U93" s="26">
        <v>0.0113183</v>
      </c>
      <c r="V93" s="26">
        <v>0.0113183</v>
      </c>
      <c r="W93" s="26">
        <v>0.0113183</v>
      </c>
      <c r="X93" s="26">
        <v>0</v>
      </c>
      <c r="Y93" s="26">
        <v>0</v>
      </c>
      <c r="Z93" s="27">
        <v>76.244</v>
      </c>
      <c r="AA93" s="27">
        <v>76.244</v>
      </c>
      <c r="AB93" s="27">
        <v>76.244</v>
      </c>
      <c r="AC93" s="43">
        <v>0</v>
      </c>
      <c r="AD93" s="44">
        <v>0</v>
      </c>
    </row>
    <row r="94" spans="1:30" ht="15">
      <c r="A94" s="25">
        <v>10256</v>
      </c>
      <c r="B94" s="25" t="s">
        <v>83</v>
      </c>
      <c r="C94" s="36">
        <f t="shared" si="8"/>
        <v>30144.247000000003</v>
      </c>
      <c r="D94" s="36">
        <f t="shared" si="10"/>
        <v>38163.711</v>
      </c>
      <c r="E94" s="36">
        <f t="shared" si="10"/>
        <v>37354.649</v>
      </c>
      <c r="F94" s="36">
        <f t="shared" si="10"/>
        <v>30853.351</v>
      </c>
      <c r="G94" s="36">
        <f t="shared" si="10"/>
        <v>26741.275999999998</v>
      </c>
      <c r="H94" s="36">
        <f t="shared" si="10"/>
        <v>31923.682999999997</v>
      </c>
      <c r="I94" s="36">
        <f t="shared" si="10"/>
        <v>24784.489999999998</v>
      </c>
      <c r="J94" s="36">
        <f t="shared" si="10"/>
        <v>34339.094</v>
      </c>
      <c r="K94" s="36">
        <f t="shared" si="10"/>
        <v>36692.04</v>
      </c>
      <c r="L94" s="36">
        <f t="shared" si="10"/>
        <v>34837.431</v>
      </c>
      <c r="M94" s="36">
        <f t="shared" si="10"/>
        <v>33667.689</v>
      </c>
      <c r="N94" s="36">
        <f t="shared" si="10"/>
        <v>31112.455</v>
      </c>
      <c r="O94" s="37">
        <f t="shared" si="9"/>
        <v>390614.116</v>
      </c>
      <c r="R94" s="25">
        <v>10256</v>
      </c>
      <c r="S94" s="25" t="s">
        <v>83</v>
      </c>
      <c r="T94" s="26">
        <v>0.0066194</v>
      </c>
      <c r="U94" s="26">
        <v>0.0066194</v>
      </c>
      <c r="V94" s="26">
        <v>0.0066194</v>
      </c>
      <c r="W94" s="26">
        <v>0.0066194</v>
      </c>
      <c r="X94" s="26">
        <v>0</v>
      </c>
      <c r="Y94" s="26">
        <v>0</v>
      </c>
      <c r="Z94" s="27">
        <v>44.591</v>
      </c>
      <c r="AA94" s="27">
        <v>44.591</v>
      </c>
      <c r="AB94" s="27">
        <v>44.591</v>
      </c>
      <c r="AC94" s="43">
        <v>0.0753</v>
      </c>
      <c r="AD94" s="44">
        <v>0</v>
      </c>
    </row>
    <row r="95" spans="1:30" ht="15">
      <c r="A95" s="25">
        <v>10258</v>
      </c>
      <c r="B95" s="25" t="s">
        <v>84</v>
      </c>
      <c r="C95" s="36">
        <f t="shared" si="8"/>
        <v>24473.245000000003</v>
      </c>
      <c r="D95" s="36">
        <f t="shared" si="10"/>
        <v>30984.017</v>
      </c>
      <c r="E95" s="36">
        <f t="shared" si="10"/>
        <v>30327.162</v>
      </c>
      <c r="F95" s="36">
        <f t="shared" si="10"/>
        <v>25048.947</v>
      </c>
      <c r="G95" s="36">
        <f t="shared" si="10"/>
        <v>21710.47</v>
      </c>
      <c r="H95" s="36">
        <f t="shared" si="10"/>
        <v>25917.917999999998</v>
      </c>
      <c r="I95" s="36">
        <f t="shared" si="10"/>
        <v>20121.813000000002</v>
      </c>
      <c r="J95" s="36">
        <f t="shared" si="10"/>
        <v>27878.919</v>
      </c>
      <c r="K95" s="36">
        <f t="shared" si="10"/>
        <v>29789.21</v>
      </c>
      <c r="L95" s="36">
        <f t="shared" si="10"/>
        <v>28283.506</v>
      </c>
      <c r="M95" s="36">
        <f t="shared" si="10"/>
        <v>27333.826</v>
      </c>
      <c r="N95" s="36">
        <f t="shared" si="10"/>
        <v>25259.305</v>
      </c>
      <c r="O95" s="37">
        <f t="shared" si="9"/>
        <v>317128.338</v>
      </c>
      <c r="R95" s="25">
        <v>10258</v>
      </c>
      <c r="S95" s="25" t="s">
        <v>84</v>
      </c>
      <c r="T95" s="26">
        <v>0.0053741</v>
      </c>
      <c r="U95" s="26">
        <v>0.0053741</v>
      </c>
      <c r="V95" s="26">
        <v>0.0053741</v>
      </c>
      <c r="W95" s="26">
        <v>0.0053741</v>
      </c>
      <c r="X95" s="26">
        <v>0</v>
      </c>
      <c r="Y95" s="26">
        <v>0</v>
      </c>
      <c r="Z95" s="27">
        <v>36.202</v>
      </c>
      <c r="AA95" s="27">
        <v>36.202</v>
      </c>
      <c r="AB95" s="27">
        <v>36.202</v>
      </c>
      <c r="AC95" s="43">
        <v>0.05382</v>
      </c>
      <c r="AD95" s="44">
        <v>0</v>
      </c>
    </row>
    <row r="96" spans="1:30" ht="15">
      <c r="A96" s="25">
        <v>10259</v>
      </c>
      <c r="B96" s="25" t="s">
        <v>85</v>
      </c>
      <c r="C96" s="36">
        <f t="shared" si="8"/>
        <v>17401.456000000002</v>
      </c>
      <c r="D96" s="36">
        <f t="shared" si="10"/>
        <v>22030.875</v>
      </c>
      <c r="E96" s="36">
        <f t="shared" si="10"/>
        <v>21563.825</v>
      </c>
      <c r="F96" s="36">
        <f t="shared" si="10"/>
        <v>17810.802</v>
      </c>
      <c r="G96" s="36">
        <f t="shared" si="10"/>
        <v>15437.013</v>
      </c>
      <c r="H96" s="36">
        <f t="shared" si="10"/>
        <v>18428.676</v>
      </c>
      <c r="I96" s="36">
        <f t="shared" si="10"/>
        <v>14307.414</v>
      </c>
      <c r="J96" s="36">
        <f t="shared" si="10"/>
        <v>19823.027000000002</v>
      </c>
      <c r="K96" s="36">
        <f t="shared" si="10"/>
        <v>21181.319</v>
      </c>
      <c r="L96" s="36">
        <f t="shared" si="10"/>
        <v>20110.703999999998</v>
      </c>
      <c r="M96" s="36">
        <f t="shared" si="10"/>
        <v>19435.443</v>
      </c>
      <c r="N96" s="36">
        <f t="shared" si="10"/>
        <v>17960.375</v>
      </c>
      <c r="O96" s="37">
        <f t="shared" si="9"/>
        <v>225490.92899999997</v>
      </c>
      <c r="R96" s="25">
        <v>10259</v>
      </c>
      <c r="S96" s="25" t="s">
        <v>85</v>
      </c>
      <c r="T96" s="26">
        <v>0.0038212</v>
      </c>
      <c r="U96" s="26">
        <v>0.0038212</v>
      </c>
      <c r="V96" s="26">
        <v>0.0038212</v>
      </c>
      <c r="W96" s="26">
        <v>0.0038212</v>
      </c>
      <c r="X96" s="26">
        <v>0</v>
      </c>
      <c r="Y96" s="26">
        <v>0</v>
      </c>
      <c r="Z96" s="27">
        <v>25.741</v>
      </c>
      <c r="AA96" s="27">
        <v>25.741</v>
      </c>
      <c r="AB96" s="27">
        <v>25.741</v>
      </c>
      <c r="AC96" s="43">
        <v>0.07365</v>
      </c>
      <c r="AD96" s="44">
        <v>0</v>
      </c>
    </row>
    <row r="97" spans="1:30" ht="15">
      <c r="A97" s="25">
        <v>10260</v>
      </c>
      <c r="B97" s="25" t="s">
        <v>86</v>
      </c>
      <c r="C97" s="36">
        <f t="shared" si="8"/>
        <v>16949.706</v>
      </c>
      <c r="D97" s="36">
        <f t="shared" si="10"/>
        <v>21458.944</v>
      </c>
      <c r="E97" s="36">
        <f t="shared" si="10"/>
        <v>21004.019</v>
      </c>
      <c r="F97" s="36">
        <f t="shared" si="10"/>
        <v>17348.427</v>
      </c>
      <c r="G97" s="36">
        <f t="shared" si="10"/>
        <v>15036.261999999999</v>
      </c>
      <c r="H97" s="36">
        <f t="shared" si="10"/>
        <v>17950.260000000002</v>
      </c>
      <c r="I97" s="36">
        <f t="shared" si="10"/>
        <v>13935.987000000001</v>
      </c>
      <c r="J97" s="36">
        <f t="shared" si="10"/>
        <v>19308.412</v>
      </c>
      <c r="K97" s="36">
        <f t="shared" si="10"/>
        <v>20631.443</v>
      </c>
      <c r="L97" s="36">
        <f t="shared" si="10"/>
        <v>19588.621</v>
      </c>
      <c r="M97" s="36">
        <f t="shared" si="10"/>
        <v>18930.891</v>
      </c>
      <c r="N97" s="36">
        <f t="shared" si="10"/>
        <v>17494.117</v>
      </c>
      <c r="O97" s="37">
        <f t="shared" si="9"/>
        <v>219637.089</v>
      </c>
      <c r="R97" s="25">
        <v>10260</v>
      </c>
      <c r="S97" s="25" t="s">
        <v>86</v>
      </c>
      <c r="T97" s="26">
        <v>0.003722</v>
      </c>
      <c r="U97" s="26">
        <v>0.003722</v>
      </c>
      <c r="V97" s="26">
        <v>0.003722</v>
      </c>
      <c r="W97" s="26">
        <v>0.003722</v>
      </c>
      <c r="X97" s="26">
        <v>0</v>
      </c>
      <c r="Y97" s="26">
        <v>0</v>
      </c>
      <c r="Z97" s="27">
        <v>25.073</v>
      </c>
      <c r="AA97" s="27">
        <v>25.073</v>
      </c>
      <c r="AB97" s="27">
        <v>25.073</v>
      </c>
      <c r="AC97" s="43">
        <v>0</v>
      </c>
      <c r="AD97" s="44">
        <v>0</v>
      </c>
    </row>
    <row r="98" spans="1:30" ht="15">
      <c r="A98" s="25">
        <v>10273</v>
      </c>
      <c r="B98" s="25" t="s">
        <v>87</v>
      </c>
      <c r="C98" s="36">
        <f t="shared" si="8"/>
        <v>3792.5080000000003</v>
      </c>
      <c r="D98" s="36">
        <f t="shared" si="10"/>
        <v>4801.4529999999995</v>
      </c>
      <c r="E98" s="36">
        <f t="shared" si="10"/>
        <v>4699.663</v>
      </c>
      <c r="F98" s="36">
        <f t="shared" si="10"/>
        <v>3881.7219999999998</v>
      </c>
      <c r="G98" s="36">
        <f t="shared" si="10"/>
        <v>3364.374</v>
      </c>
      <c r="H98" s="36">
        <f t="shared" si="10"/>
        <v>4016.383</v>
      </c>
      <c r="I98" s="36">
        <f t="shared" si="10"/>
        <v>3118.187</v>
      </c>
      <c r="J98" s="36">
        <f t="shared" si="10"/>
        <v>4320.2699999999995</v>
      </c>
      <c r="K98" s="36">
        <f t="shared" si="10"/>
        <v>4616.3</v>
      </c>
      <c r="L98" s="36">
        <f t="shared" si="10"/>
        <v>4382.968</v>
      </c>
      <c r="M98" s="36">
        <f t="shared" si="10"/>
        <v>4235.8</v>
      </c>
      <c r="N98" s="36">
        <f t="shared" si="10"/>
        <v>3914.321</v>
      </c>
      <c r="O98" s="37">
        <f t="shared" si="9"/>
        <v>49143.94899999999</v>
      </c>
      <c r="R98" s="25">
        <v>10273</v>
      </c>
      <c r="S98" s="25" t="s">
        <v>87</v>
      </c>
      <c r="T98" s="26">
        <v>0.0008328</v>
      </c>
      <c r="U98" s="26">
        <v>0.0008328</v>
      </c>
      <c r="V98" s="26">
        <v>0.0008328</v>
      </c>
      <c r="W98" s="26">
        <v>0.0008328</v>
      </c>
      <c r="X98" s="26">
        <v>0</v>
      </c>
      <c r="Y98" s="26">
        <v>0</v>
      </c>
      <c r="Z98" s="27">
        <v>5.61</v>
      </c>
      <c r="AA98" s="27">
        <v>5.61</v>
      </c>
      <c r="AB98" s="27">
        <v>5.61</v>
      </c>
      <c r="AC98" s="43">
        <v>0.10566</v>
      </c>
      <c r="AD98" s="44">
        <v>0</v>
      </c>
    </row>
    <row r="99" spans="1:30" ht="15">
      <c r="A99" s="25">
        <v>10278</v>
      </c>
      <c r="B99" s="25" t="s">
        <v>88</v>
      </c>
      <c r="C99" s="36">
        <f t="shared" si="8"/>
        <v>23168.546000000002</v>
      </c>
      <c r="D99" s="36">
        <f t="shared" si="10"/>
        <v>29332.22</v>
      </c>
      <c r="E99" s="36">
        <f t="shared" si="10"/>
        <v>28710.383</v>
      </c>
      <c r="F99" s="36">
        <f t="shared" si="10"/>
        <v>23713.556</v>
      </c>
      <c r="G99" s="36">
        <f t="shared" si="10"/>
        <v>20553.059</v>
      </c>
      <c r="H99" s="36">
        <f t="shared" si="10"/>
        <v>24536.201</v>
      </c>
      <c r="I99" s="36">
        <f t="shared" si="10"/>
        <v>19049.094</v>
      </c>
      <c r="J99" s="36">
        <f t="shared" si="10"/>
        <v>26392.660000000003</v>
      </c>
      <c r="K99" s="36">
        <f t="shared" si="10"/>
        <v>28201.108999999997</v>
      </c>
      <c r="L99" s="36">
        <f t="shared" si="10"/>
        <v>26775.676</v>
      </c>
      <c r="M99" s="36">
        <f t="shared" si="10"/>
        <v>25876.625</v>
      </c>
      <c r="N99" s="36">
        <f t="shared" si="10"/>
        <v>23912.699</v>
      </c>
      <c r="O99" s="37">
        <f t="shared" si="9"/>
        <v>300221.82800000004</v>
      </c>
      <c r="R99" s="25">
        <v>10278</v>
      </c>
      <c r="S99" s="25" t="s">
        <v>88</v>
      </c>
      <c r="T99" s="26">
        <v>0.0050876</v>
      </c>
      <c r="U99" s="26">
        <v>0.0050876</v>
      </c>
      <c r="V99" s="26">
        <v>0.0050876</v>
      </c>
      <c r="W99" s="26">
        <v>0.0050876</v>
      </c>
      <c r="X99" s="26">
        <v>0</v>
      </c>
      <c r="Y99" s="26">
        <v>0</v>
      </c>
      <c r="Z99" s="27">
        <v>34.272</v>
      </c>
      <c r="AA99" s="27">
        <v>34.272</v>
      </c>
      <c r="AB99" s="27">
        <v>34.272</v>
      </c>
      <c r="AC99" s="43">
        <v>0.07398</v>
      </c>
      <c r="AD99" s="44">
        <v>1</v>
      </c>
    </row>
    <row r="100" spans="1:30" ht="15">
      <c r="A100" s="25">
        <v>10279</v>
      </c>
      <c r="B100" s="25" t="s">
        <v>89</v>
      </c>
      <c r="C100" s="36">
        <f t="shared" si="8"/>
        <v>41764.041</v>
      </c>
      <c r="D100" s="36">
        <f t="shared" si="10"/>
        <v>52874.791</v>
      </c>
      <c r="E100" s="36">
        <f t="shared" si="10"/>
        <v>51753.857</v>
      </c>
      <c r="F100" s="36">
        <f t="shared" si="10"/>
        <v>42746.486000000004</v>
      </c>
      <c r="G100" s="36">
        <f t="shared" si="10"/>
        <v>37049.316</v>
      </c>
      <c r="H100" s="36">
        <f t="shared" si="10"/>
        <v>44229.401</v>
      </c>
      <c r="I100" s="36">
        <f t="shared" si="10"/>
        <v>34338.242</v>
      </c>
      <c r="J100" s="36">
        <f t="shared" si="10"/>
        <v>47575.886</v>
      </c>
      <c r="K100" s="36">
        <f t="shared" si="10"/>
        <v>50835.831</v>
      </c>
      <c r="L100" s="36">
        <f t="shared" si="10"/>
        <v>48266.32</v>
      </c>
      <c r="M100" s="36">
        <f t="shared" si="10"/>
        <v>46645.675</v>
      </c>
      <c r="N100" s="36">
        <f t="shared" si="10"/>
        <v>43105.466</v>
      </c>
      <c r="O100" s="37">
        <f t="shared" si="9"/>
        <v>541185.3119999999</v>
      </c>
      <c r="R100" s="25">
        <v>10279</v>
      </c>
      <c r="S100" s="25" t="s">
        <v>89</v>
      </c>
      <c r="T100" s="26">
        <v>0.009171</v>
      </c>
      <c r="U100" s="26">
        <v>0.009171</v>
      </c>
      <c r="V100" s="26">
        <v>0.009171</v>
      </c>
      <c r="W100" s="26">
        <v>0.009171</v>
      </c>
      <c r="X100" s="26">
        <v>0</v>
      </c>
      <c r="Y100" s="26">
        <v>0</v>
      </c>
      <c r="Z100" s="27">
        <v>61.779</v>
      </c>
      <c r="AA100" s="27">
        <v>61.779</v>
      </c>
      <c r="AB100" s="27">
        <v>61.779</v>
      </c>
      <c r="AC100" s="43">
        <v>0</v>
      </c>
      <c r="AD100" s="44">
        <v>0</v>
      </c>
    </row>
    <row r="101" spans="1:30" ht="15">
      <c r="A101" s="25">
        <v>10284</v>
      </c>
      <c r="B101" s="25" t="s">
        <v>90</v>
      </c>
      <c r="C101" s="36">
        <f t="shared" si="8"/>
        <v>6550.82</v>
      </c>
      <c r="D101" s="36">
        <f t="shared" si="10"/>
        <v>8293.576000000001</v>
      </c>
      <c r="E101" s="36">
        <f t="shared" si="10"/>
        <v>8117.754000000001</v>
      </c>
      <c r="F101" s="36">
        <f t="shared" si="10"/>
        <v>6704.919</v>
      </c>
      <c r="G101" s="36">
        <f t="shared" si="10"/>
        <v>5811.3009999999995</v>
      </c>
      <c r="H101" s="36">
        <f t="shared" si="10"/>
        <v>6937.52</v>
      </c>
      <c r="I101" s="36">
        <f t="shared" si="10"/>
        <v>5386.061</v>
      </c>
      <c r="J101" s="36">
        <f t="shared" si="10"/>
        <v>7462.426</v>
      </c>
      <c r="K101" s="36">
        <f t="shared" si="10"/>
        <v>7973.759</v>
      </c>
      <c r="L101" s="36">
        <f t="shared" si="10"/>
        <v>7570.723</v>
      </c>
      <c r="M101" s="36">
        <f t="shared" si="10"/>
        <v>7316.519</v>
      </c>
      <c r="N101" s="36">
        <f t="shared" si="10"/>
        <v>6761.226999999999</v>
      </c>
      <c r="O101" s="37">
        <f t="shared" si="9"/>
        <v>84886.605</v>
      </c>
      <c r="R101" s="25">
        <v>10284</v>
      </c>
      <c r="S101" s="25" t="s">
        <v>90</v>
      </c>
      <c r="T101" s="26">
        <v>0.0014385000000000001</v>
      </c>
      <c r="U101" s="26">
        <v>0.0014385000000000001</v>
      </c>
      <c r="V101" s="26">
        <v>0.0014385000000000001</v>
      </c>
      <c r="W101" s="26">
        <v>0.0014385000000000001</v>
      </c>
      <c r="X101" s="26">
        <v>0</v>
      </c>
      <c r="Y101" s="26">
        <v>0</v>
      </c>
      <c r="Z101" s="27">
        <v>9.69</v>
      </c>
      <c r="AA101" s="27">
        <v>9.69</v>
      </c>
      <c r="AB101" s="27">
        <v>9.69</v>
      </c>
      <c r="AC101" s="43">
        <v>0.05048</v>
      </c>
      <c r="AD101" s="44">
        <v>0</v>
      </c>
    </row>
    <row r="102" spans="1:30" ht="15">
      <c r="A102" s="25">
        <v>10285</v>
      </c>
      <c r="B102" s="25" t="s">
        <v>91</v>
      </c>
      <c r="C102" s="36">
        <f t="shared" si="8"/>
        <v>4210.104</v>
      </c>
      <c r="D102" s="36">
        <f t="shared" si="10"/>
        <v>5330.143</v>
      </c>
      <c r="E102" s="36">
        <f t="shared" si="10"/>
        <v>5217.145</v>
      </c>
      <c r="F102" s="36">
        <f t="shared" si="10"/>
        <v>4309.14</v>
      </c>
      <c r="G102" s="36">
        <f t="shared" si="10"/>
        <v>3734.826</v>
      </c>
      <c r="H102" s="36">
        <f t="shared" si="10"/>
        <v>4458.628</v>
      </c>
      <c r="I102" s="36">
        <f t="shared" si="10"/>
        <v>3461.531</v>
      </c>
      <c r="J102" s="36">
        <f t="shared" si="10"/>
        <v>4795.978</v>
      </c>
      <c r="K102" s="36">
        <f t="shared" si="10"/>
        <v>5124.602</v>
      </c>
      <c r="L102" s="36">
        <f t="shared" si="10"/>
        <v>4865.577</v>
      </c>
      <c r="M102" s="36">
        <f t="shared" si="10"/>
        <v>4702.205</v>
      </c>
      <c r="N102" s="36">
        <f t="shared" si="10"/>
        <v>4345.3279999999995</v>
      </c>
      <c r="O102" s="37">
        <f t="shared" si="9"/>
        <v>54555.207</v>
      </c>
      <c r="R102" s="25">
        <v>10285</v>
      </c>
      <c r="S102" s="25" t="s">
        <v>91</v>
      </c>
      <c r="T102" s="26">
        <v>0.0009245</v>
      </c>
      <c r="U102" s="26">
        <v>0.0009245</v>
      </c>
      <c r="V102" s="26">
        <v>0.0009245</v>
      </c>
      <c r="W102" s="26">
        <v>0.0009245</v>
      </c>
      <c r="X102" s="26">
        <v>0</v>
      </c>
      <c r="Y102" s="26">
        <v>0</v>
      </c>
      <c r="Z102" s="27">
        <v>6.228</v>
      </c>
      <c r="AA102" s="27">
        <v>6.228</v>
      </c>
      <c r="AB102" s="27">
        <v>6.228</v>
      </c>
      <c r="AC102" s="43">
        <v>0.07279</v>
      </c>
      <c r="AD102" s="44">
        <v>1</v>
      </c>
    </row>
    <row r="103" spans="1:30" ht="15">
      <c r="A103" s="25">
        <v>10286</v>
      </c>
      <c r="B103" s="25" t="s">
        <v>92</v>
      </c>
      <c r="C103" s="36">
        <f t="shared" si="8"/>
        <v>29606.429000000004</v>
      </c>
      <c r="D103" s="36">
        <f t="shared" si="10"/>
        <v>37482.812999999995</v>
      </c>
      <c r="E103" s="36">
        <f t="shared" si="10"/>
        <v>36688.186</v>
      </c>
      <c r="F103" s="36">
        <f t="shared" si="10"/>
        <v>30302.881</v>
      </c>
      <c r="G103" s="36">
        <f t="shared" si="10"/>
        <v>26264.171000000002</v>
      </c>
      <c r="H103" s="36">
        <f t="shared" si="10"/>
        <v>31354.117</v>
      </c>
      <c r="I103" s="36">
        <f t="shared" si="10"/>
        <v>24342.298000000003</v>
      </c>
      <c r="J103" s="36">
        <f t="shared" si="10"/>
        <v>33726.432</v>
      </c>
      <c r="K103" s="36">
        <f t="shared" si="10"/>
        <v>36037.4</v>
      </c>
      <c r="L103" s="36">
        <f t="shared" si="10"/>
        <v>34215.878</v>
      </c>
      <c r="M103" s="36">
        <f t="shared" si="10"/>
        <v>33067.007</v>
      </c>
      <c r="N103" s="36">
        <f t="shared" si="10"/>
        <v>30557.362</v>
      </c>
      <c r="O103" s="37">
        <f t="shared" si="9"/>
        <v>383644.974</v>
      </c>
      <c r="R103" s="25">
        <v>10286</v>
      </c>
      <c r="S103" s="25" t="s">
        <v>92</v>
      </c>
      <c r="T103" s="26">
        <v>0.0065013</v>
      </c>
      <c r="U103" s="26">
        <v>0.0065013</v>
      </c>
      <c r="V103" s="26">
        <v>0.0065013</v>
      </c>
      <c r="W103" s="26">
        <v>0.0065013</v>
      </c>
      <c r="X103" s="26">
        <v>0</v>
      </c>
      <c r="Y103" s="26">
        <v>0</v>
      </c>
      <c r="Z103" s="27">
        <v>43.795</v>
      </c>
      <c r="AA103" s="27">
        <v>43.795</v>
      </c>
      <c r="AB103" s="27">
        <v>43.795</v>
      </c>
      <c r="AC103" s="43">
        <v>0</v>
      </c>
      <c r="AD103" s="44">
        <v>0</v>
      </c>
    </row>
    <row r="104" spans="1:30" ht="15">
      <c r="A104" s="25">
        <v>10288</v>
      </c>
      <c r="B104" s="25" t="s">
        <v>93</v>
      </c>
      <c r="C104" s="36">
        <f t="shared" si="8"/>
        <v>15950.119999999999</v>
      </c>
      <c r="D104" s="36">
        <f t="shared" si="10"/>
        <v>20193.431</v>
      </c>
      <c r="E104" s="36">
        <f t="shared" si="10"/>
        <v>19765.335</v>
      </c>
      <c r="F104" s="36">
        <f t="shared" si="10"/>
        <v>16325.326</v>
      </c>
      <c r="G104" s="36">
        <f t="shared" si="10"/>
        <v>14149.518</v>
      </c>
      <c r="H104" s="36">
        <f t="shared" si="10"/>
        <v>16891.667</v>
      </c>
      <c r="I104" s="36">
        <f t="shared" si="10"/>
        <v>13114.131000000001</v>
      </c>
      <c r="J104" s="36">
        <f t="shared" si="10"/>
        <v>18169.724000000002</v>
      </c>
      <c r="K104" s="36">
        <f t="shared" si="10"/>
        <v>19414.732</v>
      </c>
      <c r="L104" s="36">
        <f t="shared" si="10"/>
        <v>18433.408</v>
      </c>
      <c r="M104" s="36">
        <f t="shared" si="10"/>
        <v>17814.467</v>
      </c>
      <c r="N104" s="36">
        <f t="shared" si="10"/>
        <v>16462.425000000003</v>
      </c>
      <c r="O104" s="37">
        <f t="shared" si="9"/>
        <v>206684.28399999999</v>
      </c>
      <c r="R104" s="25">
        <v>10288</v>
      </c>
      <c r="S104" s="25" t="s">
        <v>93</v>
      </c>
      <c r="T104" s="26">
        <v>0.0035025</v>
      </c>
      <c r="U104" s="26">
        <v>0.0035025</v>
      </c>
      <c r="V104" s="26">
        <v>0.0035025</v>
      </c>
      <c r="W104" s="26">
        <v>0.0035025</v>
      </c>
      <c r="X104" s="26">
        <v>0</v>
      </c>
      <c r="Y104" s="26">
        <v>0</v>
      </c>
      <c r="Z104" s="27">
        <v>23.594</v>
      </c>
      <c r="AA104" s="27">
        <v>23.594</v>
      </c>
      <c r="AB104" s="27">
        <v>23.594</v>
      </c>
      <c r="AC104" s="43">
        <v>0.06382</v>
      </c>
      <c r="AD104" s="44">
        <v>1</v>
      </c>
    </row>
    <row r="105" spans="1:30" ht="15">
      <c r="A105" s="25">
        <v>10291</v>
      </c>
      <c r="B105" s="25" t="s">
        <v>172</v>
      </c>
      <c r="C105" s="36">
        <f t="shared" si="8"/>
        <v>51061.333</v>
      </c>
      <c r="D105" s="36">
        <f t="shared" si="10"/>
        <v>64645.501000000004</v>
      </c>
      <c r="E105" s="36">
        <f t="shared" si="10"/>
        <v>63275.03</v>
      </c>
      <c r="F105" s="36">
        <f t="shared" si="10"/>
        <v>52262.484</v>
      </c>
      <c r="G105" s="36">
        <f t="shared" si="10"/>
        <v>45297.041</v>
      </c>
      <c r="H105" s="36">
        <f t="shared" si="10"/>
        <v>54075.519</v>
      </c>
      <c r="I105" s="36">
        <f t="shared" si="10"/>
        <v>41982.442</v>
      </c>
      <c r="J105" s="36">
        <f t="shared" si="10"/>
        <v>58166.981</v>
      </c>
      <c r="K105" s="36">
        <f t="shared" si="10"/>
        <v>62152.638000000006</v>
      </c>
      <c r="L105" s="36">
        <f t="shared" si="10"/>
        <v>59011.116</v>
      </c>
      <c r="M105" s="36">
        <f t="shared" si="10"/>
        <v>57029.691000000006</v>
      </c>
      <c r="N105" s="36">
        <f t="shared" si="10"/>
        <v>52701.379</v>
      </c>
      <c r="O105" s="37">
        <f t="shared" si="9"/>
        <v>661661.1549999999</v>
      </c>
      <c r="R105" s="25">
        <v>10291</v>
      </c>
      <c r="S105" s="25" t="s">
        <v>172</v>
      </c>
      <c r="T105" s="26">
        <v>0.0112126</v>
      </c>
      <c r="U105" s="26">
        <v>0.0112126</v>
      </c>
      <c r="V105" s="26">
        <v>0.0112126</v>
      </c>
      <c r="W105" s="26">
        <v>0.0112126</v>
      </c>
      <c r="X105" s="26">
        <v>0</v>
      </c>
      <c r="Y105" s="26">
        <v>0</v>
      </c>
      <c r="Z105" s="27">
        <v>75.532</v>
      </c>
      <c r="AA105" s="27">
        <v>75.532</v>
      </c>
      <c r="AB105" s="27">
        <v>75.532</v>
      </c>
      <c r="AC105" s="43">
        <v>0.05211</v>
      </c>
      <c r="AD105" s="44">
        <v>0</v>
      </c>
    </row>
    <row r="106" spans="1:30" ht="15">
      <c r="A106" s="25">
        <v>10294</v>
      </c>
      <c r="B106" s="25" t="s">
        <v>94</v>
      </c>
      <c r="C106" s="36">
        <f t="shared" si="8"/>
        <v>10601.992</v>
      </c>
      <c r="D106" s="36">
        <f t="shared" si="10"/>
        <v>13422.506000000001</v>
      </c>
      <c r="E106" s="36">
        <f t="shared" si="10"/>
        <v>13137.952</v>
      </c>
      <c r="F106" s="36">
        <f t="shared" si="10"/>
        <v>10851.39</v>
      </c>
      <c r="G106" s="36">
        <f t="shared" si="10"/>
        <v>9405.136999999999</v>
      </c>
      <c r="H106" s="36">
        <f t="shared" si="10"/>
        <v>11227.833999999999</v>
      </c>
      <c r="I106" s="36">
        <f t="shared" si="10"/>
        <v>8716.919</v>
      </c>
      <c r="J106" s="36">
        <f t="shared" si="10"/>
        <v>12077.355</v>
      </c>
      <c r="K106" s="36">
        <f t="shared" si="10"/>
        <v>12904.907</v>
      </c>
      <c r="L106" s="36">
        <f t="shared" si="10"/>
        <v>12252.624</v>
      </c>
      <c r="M106" s="36">
        <f t="shared" si="10"/>
        <v>11841.216</v>
      </c>
      <c r="N106" s="36">
        <f t="shared" si="10"/>
        <v>10942.519</v>
      </c>
      <c r="O106" s="37">
        <f t="shared" si="9"/>
        <v>137382.351</v>
      </c>
      <c r="R106" s="25">
        <v>10294</v>
      </c>
      <c r="S106" s="25" t="s">
        <v>94</v>
      </c>
      <c r="T106" s="26">
        <v>0.005144</v>
      </c>
      <c r="U106" s="26">
        <v>0.005144</v>
      </c>
      <c r="V106" s="26">
        <v>0.0023281</v>
      </c>
      <c r="W106" s="26">
        <v>0.0023281</v>
      </c>
      <c r="X106" s="26">
        <v>0.0028159</v>
      </c>
      <c r="Y106" s="26">
        <v>0.0028159</v>
      </c>
      <c r="Z106" s="27">
        <v>34.652</v>
      </c>
      <c r="AA106" s="27">
        <v>34.652</v>
      </c>
      <c r="AB106" s="27">
        <v>34.652</v>
      </c>
      <c r="AC106" s="43">
        <v>0</v>
      </c>
      <c r="AD106" s="44">
        <v>0</v>
      </c>
    </row>
    <row r="107" spans="1:30" ht="15">
      <c r="A107" s="25">
        <v>10304</v>
      </c>
      <c r="B107" s="25" t="s">
        <v>95</v>
      </c>
      <c r="C107" s="36">
        <f t="shared" si="8"/>
        <v>9070.962</v>
      </c>
      <c r="D107" s="36">
        <f t="shared" si="10"/>
        <v>11484.167000000001</v>
      </c>
      <c r="E107" s="36">
        <f t="shared" si="10"/>
        <v>11240.705</v>
      </c>
      <c r="F107" s="36">
        <f t="shared" si="10"/>
        <v>9284.345</v>
      </c>
      <c r="G107" s="36">
        <f t="shared" si="10"/>
        <v>8046.945</v>
      </c>
      <c r="H107" s="36">
        <f t="shared" si="10"/>
        <v>9606.428</v>
      </c>
      <c r="I107" s="36">
        <f t="shared" si="10"/>
        <v>7458.112</v>
      </c>
      <c r="J107" s="36">
        <f t="shared" si="10"/>
        <v>10333.269</v>
      </c>
      <c r="K107" s="36">
        <f t="shared" si="10"/>
        <v>11041.314</v>
      </c>
      <c r="L107" s="36">
        <f t="shared" si="10"/>
        <v>10483.226999999999</v>
      </c>
      <c r="M107" s="36">
        <f t="shared" si="10"/>
        <v>10131.231</v>
      </c>
      <c r="N107" s="36">
        <f t="shared" si="10"/>
        <v>9362.314</v>
      </c>
      <c r="O107" s="37">
        <f t="shared" si="9"/>
        <v>117543.019</v>
      </c>
      <c r="R107" s="25">
        <v>10304</v>
      </c>
      <c r="S107" s="25" t="s">
        <v>95</v>
      </c>
      <c r="T107" s="26">
        <v>0.0019871</v>
      </c>
      <c r="U107" s="26">
        <v>0.0019919</v>
      </c>
      <c r="V107" s="26">
        <v>0.0019871</v>
      </c>
      <c r="W107" s="26">
        <v>0.0019919</v>
      </c>
      <c r="X107" s="26">
        <v>0</v>
      </c>
      <c r="Y107" s="26">
        <v>0</v>
      </c>
      <c r="Z107" s="27">
        <v>13.42</v>
      </c>
      <c r="AA107" s="27">
        <v>13.386</v>
      </c>
      <c r="AB107" s="27">
        <v>13.418</v>
      </c>
      <c r="AC107" s="43">
        <v>0</v>
      </c>
      <c r="AD107" s="44">
        <v>0</v>
      </c>
    </row>
    <row r="108" spans="1:30" ht="15">
      <c r="A108" s="25">
        <v>10306</v>
      </c>
      <c r="B108" s="25" t="s">
        <v>96</v>
      </c>
      <c r="C108" s="36">
        <f t="shared" si="8"/>
        <v>16617.271</v>
      </c>
      <c r="D108" s="36">
        <f t="shared" si="10"/>
        <v>21038.067</v>
      </c>
      <c r="E108" s="36">
        <f t="shared" si="10"/>
        <v>20592.065000000002</v>
      </c>
      <c r="F108" s="36">
        <f t="shared" si="10"/>
        <v>17008.169</v>
      </c>
      <c r="G108" s="36">
        <f t="shared" si="10"/>
        <v>14741.353</v>
      </c>
      <c r="H108" s="36">
        <f t="shared" si="10"/>
        <v>17598.199</v>
      </c>
      <c r="I108" s="36">
        <f t="shared" si="10"/>
        <v>13662.658</v>
      </c>
      <c r="J108" s="36">
        <f t="shared" si="10"/>
        <v>18929.715</v>
      </c>
      <c r="K108" s="36">
        <f t="shared" si="10"/>
        <v>20226.796000000002</v>
      </c>
      <c r="L108" s="36">
        <f t="shared" si="10"/>
        <v>19204.427</v>
      </c>
      <c r="M108" s="36">
        <f t="shared" si="10"/>
        <v>18559.598</v>
      </c>
      <c r="N108" s="36">
        <f t="shared" si="10"/>
        <v>17151.003</v>
      </c>
      <c r="O108" s="37">
        <f t="shared" si="9"/>
        <v>215329.321</v>
      </c>
      <c r="R108" s="25">
        <v>10306</v>
      </c>
      <c r="S108" s="25" t="s">
        <v>96</v>
      </c>
      <c r="T108" s="26">
        <v>0.0034842</v>
      </c>
      <c r="U108" s="26">
        <v>0.003649</v>
      </c>
      <c r="V108" s="26">
        <v>0.0034842</v>
      </c>
      <c r="W108" s="26">
        <v>0.003649</v>
      </c>
      <c r="X108" s="26">
        <v>0</v>
      </c>
      <c r="Y108" s="26">
        <v>0</v>
      </c>
      <c r="Z108" s="27">
        <v>24.581</v>
      </c>
      <c r="AA108" s="27">
        <v>23.471</v>
      </c>
      <c r="AB108" s="27">
        <v>24.581</v>
      </c>
      <c r="AC108" s="43">
        <v>0</v>
      </c>
      <c r="AD108" s="44">
        <v>0</v>
      </c>
    </row>
    <row r="109" spans="1:30" ht="15">
      <c r="A109" s="25">
        <v>10307</v>
      </c>
      <c r="B109" s="25" t="s">
        <v>97</v>
      </c>
      <c r="C109" s="36">
        <f t="shared" si="8"/>
        <v>46105.297</v>
      </c>
      <c r="D109" s="36">
        <f t="shared" si="10"/>
        <v>58370.979</v>
      </c>
      <c r="E109" s="36">
        <f t="shared" si="10"/>
        <v>57133.527</v>
      </c>
      <c r="F109" s="36">
        <f t="shared" si="10"/>
        <v>47189.864</v>
      </c>
      <c r="G109" s="36">
        <f t="shared" si="10"/>
        <v>40900.489</v>
      </c>
      <c r="H109" s="36">
        <f t="shared" si="10"/>
        <v>48826.925</v>
      </c>
      <c r="I109" s="36">
        <f t="shared" si="10"/>
        <v>37907.606</v>
      </c>
      <c r="J109" s="36">
        <f t="shared" si="10"/>
        <v>52521.268</v>
      </c>
      <c r="K109" s="36">
        <f t="shared" si="10"/>
        <v>56120.075</v>
      </c>
      <c r="L109" s="36">
        <f t="shared" si="10"/>
        <v>53283.47</v>
      </c>
      <c r="M109" s="36">
        <f t="shared" si="10"/>
        <v>51494.363</v>
      </c>
      <c r="N109" s="36">
        <f t="shared" si="10"/>
        <v>47586.16</v>
      </c>
      <c r="O109" s="37">
        <f t="shared" si="9"/>
        <v>597440.023</v>
      </c>
      <c r="R109" s="25">
        <v>10307</v>
      </c>
      <c r="S109" s="25" t="s">
        <v>97</v>
      </c>
      <c r="T109" s="26">
        <v>0.0101139</v>
      </c>
      <c r="U109" s="26">
        <v>0.0101243</v>
      </c>
      <c r="V109" s="26">
        <v>0.0101139</v>
      </c>
      <c r="W109" s="26">
        <v>0.0101243</v>
      </c>
      <c r="X109" s="26">
        <v>0</v>
      </c>
      <c r="Y109" s="26">
        <v>0</v>
      </c>
      <c r="Z109" s="27">
        <v>68.667</v>
      </c>
      <c r="AA109" s="27">
        <v>68.131</v>
      </c>
      <c r="AB109" s="27">
        <v>68.201</v>
      </c>
      <c r="AC109" s="43">
        <v>0</v>
      </c>
      <c r="AD109" s="44">
        <v>0</v>
      </c>
    </row>
    <row r="110" spans="1:30" ht="15">
      <c r="A110" s="25">
        <v>10326</v>
      </c>
      <c r="B110" s="25" t="s">
        <v>98</v>
      </c>
      <c r="C110" s="36">
        <f t="shared" si="8"/>
        <v>19641.987</v>
      </c>
      <c r="D110" s="36">
        <f t="shared" si="10"/>
        <v>24867.468</v>
      </c>
      <c r="E110" s="36">
        <f t="shared" si="10"/>
        <v>24340.283000000003</v>
      </c>
      <c r="F110" s="36">
        <f t="shared" si="10"/>
        <v>20104.039</v>
      </c>
      <c r="G110" s="36">
        <f t="shared" si="10"/>
        <v>17424.611</v>
      </c>
      <c r="H110" s="36">
        <f t="shared" si="10"/>
        <v>20801.467</v>
      </c>
      <c r="I110" s="36">
        <f t="shared" si="10"/>
        <v>16149.57</v>
      </c>
      <c r="J110" s="36">
        <f t="shared" si="10"/>
        <v>22375.347999999998</v>
      </c>
      <c r="K110" s="36">
        <f t="shared" si="10"/>
        <v>23908.527000000002</v>
      </c>
      <c r="L110" s="36">
        <f t="shared" si="10"/>
        <v>22700.065</v>
      </c>
      <c r="M110" s="36">
        <f t="shared" si="10"/>
        <v>21937.861</v>
      </c>
      <c r="N110" s="36">
        <f t="shared" si="10"/>
        <v>20272.87</v>
      </c>
      <c r="O110" s="37">
        <f t="shared" si="9"/>
        <v>254524.09600000002</v>
      </c>
      <c r="R110" s="25">
        <v>10326</v>
      </c>
      <c r="S110" s="25" t="s">
        <v>98</v>
      </c>
      <c r="T110" s="26">
        <v>0.0043132</v>
      </c>
      <c r="U110" s="26">
        <v>0.0043132</v>
      </c>
      <c r="V110" s="26">
        <v>0.0043132</v>
      </c>
      <c r="W110" s="26">
        <v>0.0043132</v>
      </c>
      <c r="X110" s="26">
        <v>0</v>
      </c>
      <c r="Y110" s="26">
        <v>0</v>
      </c>
      <c r="Z110" s="27">
        <v>29.055</v>
      </c>
      <c r="AA110" s="27">
        <v>29.055</v>
      </c>
      <c r="AB110" s="27">
        <v>29.055</v>
      </c>
      <c r="AC110" s="43">
        <v>0</v>
      </c>
      <c r="AD110" s="44">
        <v>0</v>
      </c>
    </row>
    <row r="111" spans="1:30" ht="15">
      <c r="A111" s="25">
        <v>10331</v>
      </c>
      <c r="B111" s="25" t="s">
        <v>99</v>
      </c>
      <c r="C111" s="36">
        <f t="shared" si="8"/>
        <v>23603.446</v>
      </c>
      <c r="D111" s="36">
        <f t="shared" si="10"/>
        <v>29882.819000000003</v>
      </c>
      <c r="E111" s="36">
        <f t="shared" si="10"/>
        <v>29249.309999999998</v>
      </c>
      <c r="F111" s="36">
        <f t="shared" si="10"/>
        <v>24158.686</v>
      </c>
      <c r="G111" s="36">
        <f t="shared" si="10"/>
        <v>20938.862999999998</v>
      </c>
      <c r="H111" s="36">
        <f t="shared" si="10"/>
        <v>24996.773</v>
      </c>
      <c r="I111" s="36">
        <f t="shared" si="10"/>
        <v>19406.667</v>
      </c>
      <c r="J111" s="36">
        <f t="shared" si="10"/>
        <v>26888.08</v>
      </c>
      <c r="K111" s="36">
        <f t="shared" si="10"/>
        <v>28730.477</v>
      </c>
      <c r="L111" s="36">
        <f t="shared" si="10"/>
        <v>27278.286</v>
      </c>
      <c r="M111" s="36">
        <f t="shared" si="10"/>
        <v>26362.358999999997</v>
      </c>
      <c r="N111" s="36">
        <f t="shared" si="10"/>
        <v>24361.568</v>
      </c>
      <c r="O111" s="37">
        <f t="shared" si="9"/>
        <v>305857.33400000003</v>
      </c>
      <c r="R111" s="25">
        <v>10331</v>
      </c>
      <c r="S111" s="25" t="s">
        <v>99</v>
      </c>
      <c r="T111" s="26">
        <v>0.0051831</v>
      </c>
      <c r="U111" s="26">
        <v>0.0051831</v>
      </c>
      <c r="V111" s="26">
        <v>0.0051831</v>
      </c>
      <c r="W111" s="26">
        <v>0.0051831</v>
      </c>
      <c r="X111" s="26">
        <v>0</v>
      </c>
      <c r="Y111" s="26">
        <v>0</v>
      </c>
      <c r="Z111" s="27">
        <v>34.915</v>
      </c>
      <c r="AA111" s="27">
        <v>34.915</v>
      </c>
      <c r="AB111" s="27">
        <v>34.915</v>
      </c>
      <c r="AC111" s="43">
        <v>0.07099</v>
      </c>
      <c r="AD111" s="44">
        <v>1</v>
      </c>
    </row>
    <row r="112" spans="1:30" ht="15">
      <c r="A112" s="25">
        <v>10333</v>
      </c>
      <c r="B112" s="25" t="s">
        <v>100</v>
      </c>
      <c r="C112" s="36">
        <f t="shared" si="8"/>
        <v>11939.024</v>
      </c>
      <c r="D112" s="36">
        <f t="shared" si="10"/>
        <v>15115.237000000001</v>
      </c>
      <c r="E112" s="36">
        <f t="shared" si="10"/>
        <v>14794.797</v>
      </c>
      <c r="F112" s="36">
        <f t="shared" si="10"/>
        <v>12219.874</v>
      </c>
      <c r="G112" s="36">
        <f t="shared" si="10"/>
        <v>10591.232</v>
      </c>
      <c r="H112" s="36">
        <f t="shared" si="10"/>
        <v>12643.793</v>
      </c>
      <c r="I112" s="36">
        <f t="shared" si="10"/>
        <v>9816.221</v>
      </c>
      <c r="J112" s="36">
        <f t="shared" si="10"/>
        <v>13600.447</v>
      </c>
      <c r="K112" s="36">
        <f t="shared" si="10"/>
        <v>14532.363000000001</v>
      </c>
      <c r="L112" s="36">
        <f t="shared" si="10"/>
        <v>13797.82</v>
      </c>
      <c r="M112" s="36">
        <f t="shared" si="10"/>
        <v>13334.529</v>
      </c>
      <c r="N112" s="36">
        <f t="shared" si="10"/>
        <v>12322.494999999999</v>
      </c>
      <c r="O112" s="37">
        <f t="shared" si="9"/>
        <v>154707.83200000002</v>
      </c>
      <c r="R112" s="25">
        <v>10333</v>
      </c>
      <c r="S112" s="25" t="s">
        <v>100</v>
      </c>
      <c r="T112" s="26">
        <v>0.0026217</v>
      </c>
      <c r="U112" s="26">
        <v>0.0026217</v>
      </c>
      <c r="V112" s="26">
        <v>0.0026217</v>
      </c>
      <c r="W112" s="26">
        <v>0.0026217</v>
      </c>
      <c r="X112" s="26">
        <v>0</v>
      </c>
      <c r="Y112" s="26">
        <v>0</v>
      </c>
      <c r="Z112" s="27">
        <v>17.661</v>
      </c>
      <c r="AA112" s="27">
        <v>17.661</v>
      </c>
      <c r="AB112" s="27">
        <v>17.661</v>
      </c>
      <c r="AC112" s="43">
        <v>0.0641</v>
      </c>
      <c r="AD112" s="44">
        <v>1</v>
      </c>
    </row>
    <row r="113" spans="1:30" ht="15">
      <c r="A113" s="25">
        <v>10338</v>
      </c>
      <c r="B113" s="25" t="s">
        <v>101</v>
      </c>
      <c r="C113" s="36">
        <f t="shared" si="8"/>
        <v>1529.663</v>
      </c>
      <c r="D113" s="36">
        <f t="shared" si="10"/>
        <v>1936.609</v>
      </c>
      <c r="E113" s="36">
        <f t="shared" si="10"/>
        <v>1895.5539999999999</v>
      </c>
      <c r="F113" s="36">
        <f t="shared" si="10"/>
        <v>1565.647</v>
      </c>
      <c r="G113" s="36">
        <f t="shared" si="10"/>
        <v>1356.98</v>
      </c>
      <c r="H113" s="36">
        <f t="shared" si="10"/>
        <v>1619.96</v>
      </c>
      <c r="I113" s="36">
        <f t="shared" si="10"/>
        <v>1257.684</v>
      </c>
      <c r="J113" s="36">
        <f aca="true" t="shared" si="11" ref="D113:N136">ROUND(J$3*$W113,3)+ROUND(J$4*$W113,3)</f>
        <v>1742.5300000000002</v>
      </c>
      <c r="K113" s="36">
        <f t="shared" si="11"/>
        <v>1861.929</v>
      </c>
      <c r="L113" s="36">
        <f t="shared" si="11"/>
        <v>1767.817</v>
      </c>
      <c r="M113" s="36">
        <f t="shared" si="11"/>
        <v>1708.46</v>
      </c>
      <c r="N113" s="36">
        <f t="shared" si="11"/>
        <v>1578.794</v>
      </c>
      <c r="O113" s="37">
        <f t="shared" si="9"/>
        <v>19821.627</v>
      </c>
      <c r="R113" s="25">
        <v>10338</v>
      </c>
      <c r="S113" s="25" t="s">
        <v>101</v>
      </c>
      <c r="T113" s="26">
        <v>0.0003359</v>
      </c>
      <c r="U113" s="26">
        <v>0.0003359</v>
      </c>
      <c r="V113" s="26">
        <v>0.0003359</v>
      </c>
      <c r="W113" s="26">
        <v>0.0003359</v>
      </c>
      <c r="X113" s="26">
        <v>0</v>
      </c>
      <c r="Y113" s="26">
        <v>0</v>
      </c>
      <c r="Z113" s="27">
        <v>2.263</v>
      </c>
      <c r="AA113" s="27">
        <v>2.263</v>
      </c>
      <c r="AB113" s="27">
        <v>2.263</v>
      </c>
      <c r="AC113" s="43">
        <v>0.0338</v>
      </c>
      <c r="AD113" s="44">
        <v>0</v>
      </c>
    </row>
    <row r="114" spans="1:30" ht="15">
      <c r="A114" s="25">
        <v>10342</v>
      </c>
      <c r="B114" s="25" t="s">
        <v>102</v>
      </c>
      <c r="C114" s="36">
        <f t="shared" si="8"/>
        <v>24950.040999999997</v>
      </c>
      <c r="D114" s="36">
        <f t="shared" si="11"/>
        <v>31587.658</v>
      </c>
      <c r="E114" s="36">
        <f t="shared" si="11"/>
        <v>30918.006</v>
      </c>
      <c r="F114" s="36">
        <f t="shared" si="11"/>
        <v>25536.958</v>
      </c>
      <c r="G114" s="36">
        <f t="shared" si="11"/>
        <v>22133.442000000003</v>
      </c>
      <c r="H114" s="36">
        <f t="shared" si="11"/>
        <v>26422.86</v>
      </c>
      <c r="I114" s="36">
        <f t="shared" si="11"/>
        <v>20513.833</v>
      </c>
      <c r="J114" s="36">
        <f t="shared" si="11"/>
        <v>28422.066000000003</v>
      </c>
      <c r="K114" s="36">
        <f t="shared" si="11"/>
        <v>30369.573000000004</v>
      </c>
      <c r="L114" s="36">
        <f t="shared" si="11"/>
        <v>28834.534</v>
      </c>
      <c r="M114" s="36">
        <f t="shared" si="11"/>
        <v>27866.353000000003</v>
      </c>
      <c r="N114" s="36">
        <f t="shared" si="11"/>
        <v>25751.415</v>
      </c>
      <c r="O114" s="37">
        <f t="shared" si="9"/>
        <v>323306.73899999994</v>
      </c>
      <c r="R114" s="25">
        <v>10342</v>
      </c>
      <c r="S114" s="25" t="s">
        <v>102</v>
      </c>
      <c r="T114" s="26">
        <v>0.0054788</v>
      </c>
      <c r="U114" s="26">
        <v>0.0054788</v>
      </c>
      <c r="V114" s="26">
        <v>0.0054788</v>
      </c>
      <c r="W114" s="26">
        <v>0.0054788</v>
      </c>
      <c r="X114" s="26">
        <v>0</v>
      </c>
      <c r="Y114" s="26">
        <v>0</v>
      </c>
      <c r="Z114" s="27">
        <v>36.907</v>
      </c>
      <c r="AA114" s="27">
        <v>36.907</v>
      </c>
      <c r="AB114" s="27">
        <v>36.907</v>
      </c>
      <c r="AC114" s="43">
        <v>0</v>
      </c>
      <c r="AD114" s="44">
        <v>0</v>
      </c>
    </row>
    <row r="115" spans="1:30" ht="15">
      <c r="A115" s="25">
        <v>10343</v>
      </c>
      <c r="B115" s="25" t="s">
        <v>103</v>
      </c>
      <c r="C115" s="36">
        <f t="shared" si="8"/>
        <v>8123.290999999999</v>
      </c>
      <c r="D115" s="36">
        <f t="shared" si="11"/>
        <v>10284.381</v>
      </c>
      <c r="E115" s="36">
        <f t="shared" si="11"/>
        <v>10066.354</v>
      </c>
      <c r="F115" s="36">
        <f t="shared" si="11"/>
        <v>8314.380000000001</v>
      </c>
      <c r="G115" s="36">
        <f t="shared" si="11"/>
        <v>7206.255999999999</v>
      </c>
      <c r="H115" s="36">
        <f t="shared" si="11"/>
        <v>8602.814</v>
      </c>
      <c r="I115" s="36">
        <f t="shared" si="11"/>
        <v>6678.9400000000005</v>
      </c>
      <c r="J115" s="36">
        <f t="shared" si="11"/>
        <v>9253.72</v>
      </c>
      <c r="K115" s="36">
        <f t="shared" si="11"/>
        <v>9887.794</v>
      </c>
      <c r="L115" s="36">
        <f t="shared" si="11"/>
        <v>9388.011999999999</v>
      </c>
      <c r="M115" s="36">
        <f t="shared" si="11"/>
        <v>9072.789</v>
      </c>
      <c r="N115" s="36">
        <f t="shared" si="11"/>
        <v>8384.203</v>
      </c>
      <c r="O115" s="37">
        <f t="shared" si="9"/>
        <v>105262.934</v>
      </c>
      <c r="R115" s="25">
        <v>10343</v>
      </c>
      <c r="S115" s="25" t="s">
        <v>103</v>
      </c>
      <c r="T115" s="26">
        <v>0.0017838</v>
      </c>
      <c r="U115" s="26">
        <v>0.0017838</v>
      </c>
      <c r="V115" s="26">
        <v>0.0017838</v>
      </c>
      <c r="W115" s="26">
        <v>0.0017838</v>
      </c>
      <c r="X115" s="26">
        <v>0</v>
      </c>
      <c r="Y115" s="26">
        <v>0</v>
      </c>
      <c r="Z115" s="27">
        <v>29.942</v>
      </c>
      <c r="AA115" s="27">
        <v>12.016</v>
      </c>
      <c r="AB115" s="27">
        <v>12.016</v>
      </c>
      <c r="AC115" s="43">
        <v>0.07</v>
      </c>
      <c r="AD115" s="44">
        <v>0</v>
      </c>
    </row>
    <row r="116" spans="1:30" ht="15">
      <c r="A116" s="25">
        <v>10349</v>
      </c>
      <c r="B116" s="25" t="s">
        <v>104</v>
      </c>
      <c r="C116" s="36">
        <f t="shared" si="8"/>
        <v>300778.967</v>
      </c>
      <c r="D116" s="36">
        <f t="shared" si="11"/>
        <v>380797.087</v>
      </c>
      <c r="E116" s="36">
        <f t="shared" si="11"/>
        <v>372724.272</v>
      </c>
      <c r="F116" s="36">
        <f t="shared" si="11"/>
        <v>307854.39800000004</v>
      </c>
      <c r="G116" s="36">
        <f t="shared" si="11"/>
        <v>266824.154</v>
      </c>
      <c r="H116" s="36">
        <f t="shared" si="11"/>
        <v>318534.158</v>
      </c>
      <c r="I116" s="36">
        <f t="shared" si="11"/>
        <v>247299.36800000002</v>
      </c>
      <c r="J116" s="36">
        <f t="shared" si="11"/>
        <v>342635.093</v>
      </c>
      <c r="K116" s="36">
        <f t="shared" si="11"/>
        <v>366112.772</v>
      </c>
      <c r="L116" s="36">
        <f t="shared" si="11"/>
        <v>347607.499</v>
      </c>
      <c r="M116" s="36">
        <f t="shared" si="11"/>
        <v>335935.831</v>
      </c>
      <c r="N116" s="36">
        <f t="shared" si="11"/>
        <v>310439.728</v>
      </c>
      <c r="O116" s="37">
        <f t="shared" si="9"/>
        <v>3897543.3269999996</v>
      </c>
      <c r="R116" s="25">
        <v>10349</v>
      </c>
      <c r="S116" s="25" t="s">
        <v>104</v>
      </c>
      <c r="T116" s="26">
        <v>0.0639256</v>
      </c>
      <c r="U116" s="26">
        <v>0.0660483</v>
      </c>
      <c r="V116" s="26">
        <v>0.0639256</v>
      </c>
      <c r="W116" s="26">
        <v>0.0660483</v>
      </c>
      <c r="X116" s="26">
        <v>0</v>
      </c>
      <c r="Y116" s="26">
        <v>0</v>
      </c>
      <c r="Z116" s="27">
        <v>499.76</v>
      </c>
      <c r="AA116" s="27">
        <v>430.626</v>
      </c>
      <c r="AB116" s="27">
        <v>444.925</v>
      </c>
      <c r="AC116" s="43">
        <v>0</v>
      </c>
      <c r="AD116" s="44">
        <v>0</v>
      </c>
    </row>
    <row r="117" spans="1:30" ht="15">
      <c r="A117" s="25">
        <v>10352</v>
      </c>
      <c r="B117" s="25" t="s">
        <v>105</v>
      </c>
      <c r="C117" s="36">
        <f t="shared" si="8"/>
        <v>10257.259</v>
      </c>
      <c r="D117" s="36">
        <f t="shared" si="11"/>
        <v>12986.063</v>
      </c>
      <c r="E117" s="36">
        <f t="shared" si="11"/>
        <v>12710.761</v>
      </c>
      <c r="F117" s="36">
        <f t="shared" si="11"/>
        <v>10498.547999999999</v>
      </c>
      <c r="G117" s="36">
        <f t="shared" si="11"/>
        <v>9099.322</v>
      </c>
      <c r="H117" s="36">
        <f t="shared" si="11"/>
        <v>10862.753</v>
      </c>
      <c r="I117" s="36">
        <f t="shared" si="11"/>
        <v>8433.481</v>
      </c>
      <c r="J117" s="36">
        <f t="shared" si="11"/>
        <v>11684.65</v>
      </c>
      <c r="K117" s="36">
        <f t="shared" si="11"/>
        <v>12485.293</v>
      </c>
      <c r="L117" s="36">
        <f t="shared" si="11"/>
        <v>11854.221000000001</v>
      </c>
      <c r="M117" s="36">
        <f t="shared" si="11"/>
        <v>11456.19</v>
      </c>
      <c r="N117" s="36">
        <f t="shared" si="11"/>
        <v>10586.713</v>
      </c>
      <c r="O117" s="37">
        <f t="shared" si="9"/>
        <v>132915.254</v>
      </c>
      <c r="R117" s="25">
        <v>10352</v>
      </c>
      <c r="S117" s="25" t="s">
        <v>105</v>
      </c>
      <c r="T117" s="26">
        <v>0.0022524</v>
      </c>
      <c r="U117" s="26">
        <v>0.0022524</v>
      </c>
      <c r="V117" s="26">
        <v>0.0022524</v>
      </c>
      <c r="W117" s="26">
        <v>0.0022524</v>
      </c>
      <c r="X117" s="26">
        <v>0</v>
      </c>
      <c r="Y117" s="26">
        <v>0</v>
      </c>
      <c r="Z117" s="27">
        <v>15.173</v>
      </c>
      <c r="AA117" s="27">
        <v>15.173</v>
      </c>
      <c r="AB117" s="27">
        <v>15.173</v>
      </c>
      <c r="AC117" s="43">
        <v>0.05043</v>
      </c>
      <c r="AD117" s="44">
        <v>0</v>
      </c>
    </row>
    <row r="118" spans="1:30" ht="15">
      <c r="A118" s="25">
        <v>10354</v>
      </c>
      <c r="B118" s="25" t="s">
        <v>106</v>
      </c>
      <c r="C118" s="36">
        <f t="shared" si="8"/>
        <v>254293.87200000003</v>
      </c>
      <c r="D118" s="36">
        <f t="shared" si="11"/>
        <v>321945.271</v>
      </c>
      <c r="E118" s="36">
        <f t="shared" si="11"/>
        <v>315120.101</v>
      </c>
      <c r="F118" s="36">
        <f t="shared" si="11"/>
        <v>260275.803</v>
      </c>
      <c r="G118" s="36">
        <f t="shared" si="11"/>
        <v>225586.74300000002</v>
      </c>
      <c r="H118" s="36">
        <f t="shared" si="11"/>
        <v>269305.016</v>
      </c>
      <c r="I118" s="36">
        <f t="shared" si="11"/>
        <v>209079.49300000002</v>
      </c>
      <c r="J118" s="36">
        <f t="shared" si="11"/>
        <v>289681.176</v>
      </c>
      <c r="K118" s="36">
        <f t="shared" si="11"/>
        <v>309530.403</v>
      </c>
      <c r="L118" s="36">
        <f t="shared" si="11"/>
        <v>293885.101</v>
      </c>
      <c r="M118" s="36">
        <f t="shared" si="11"/>
        <v>284017.278</v>
      </c>
      <c r="N118" s="36">
        <f t="shared" si="11"/>
        <v>262461.573</v>
      </c>
      <c r="O118" s="37">
        <f t="shared" si="9"/>
        <v>3295181.83</v>
      </c>
      <c r="R118" s="25">
        <v>10354</v>
      </c>
      <c r="S118" s="25" t="s">
        <v>106</v>
      </c>
      <c r="T118" s="26">
        <v>0.106592</v>
      </c>
      <c r="U118" s="26">
        <v>0.1102043</v>
      </c>
      <c r="V118" s="26">
        <v>0.052228300000000005</v>
      </c>
      <c r="W118" s="26">
        <v>0.055840600000000004</v>
      </c>
      <c r="X118" s="26">
        <v>0.0543637</v>
      </c>
      <c r="Y118" s="26">
        <v>0.0543637</v>
      </c>
      <c r="Z118" s="27">
        <v>762.234</v>
      </c>
      <c r="AA118" s="27">
        <v>718.042</v>
      </c>
      <c r="AB118" s="27">
        <v>742.376</v>
      </c>
      <c r="AC118" s="43">
        <v>0</v>
      </c>
      <c r="AD118" s="44">
        <v>0</v>
      </c>
    </row>
    <row r="119" spans="1:30" ht="15">
      <c r="A119" s="25">
        <v>10360</v>
      </c>
      <c r="B119" s="25" t="s">
        <v>173</v>
      </c>
      <c r="C119" s="36">
        <f t="shared" si="8"/>
        <v>4362.204</v>
      </c>
      <c r="D119" s="36">
        <f t="shared" si="11"/>
        <v>5522.709</v>
      </c>
      <c r="E119" s="36">
        <f t="shared" si="11"/>
        <v>5405.629000000001</v>
      </c>
      <c r="F119" s="36">
        <f t="shared" si="11"/>
        <v>4464.8189999999995</v>
      </c>
      <c r="G119" s="36">
        <f t="shared" si="11"/>
        <v>3869.756</v>
      </c>
      <c r="H119" s="36">
        <f t="shared" si="11"/>
        <v>4619.7080000000005</v>
      </c>
      <c r="I119" s="36">
        <f t="shared" si="11"/>
        <v>3586.589</v>
      </c>
      <c r="J119" s="36">
        <f t="shared" si="11"/>
        <v>4969.244</v>
      </c>
      <c r="K119" s="36">
        <f t="shared" si="11"/>
        <v>5309.741</v>
      </c>
      <c r="L119" s="36">
        <f t="shared" si="11"/>
        <v>5041.36</v>
      </c>
      <c r="M119" s="36">
        <f t="shared" si="11"/>
        <v>4872.085</v>
      </c>
      <c r="N119" s="36">
        <f t="shared" si="11"/>
        <v>4502.314</v>
      </c>
      <c r="O119" s="37">
        <f t="shared" si="9"/>
        <v>56526.158</v>
      </c>
      <c r="R119" s="25">
        <v>10360</v>
      </c>
      <c r="S119" s="25" t="s">
        <v>173</v>
      </c>
      <c r="T119" s="26">
        <v>0.0009579</v>
      </c>
      <c r="U119" s="26">
        <v>0.0009579</v>
      </c>
      <c r="V119" s="26">
        <v>0.0009579</v>
      </c>
      <c r="W119" s="26">
        <v>0.0009579</v>
      </c>
      <c r="X119" s="26">
        <v>0</v>
      </c>
      <c r="Y119" s="26">
        <v>0</v>
      </c>
      <c r="Z119" s="27">
        <v>6.453</v>
      </c>
      <c r="AA119" s="27">
        <v>6.453</v>
      </c>
      <c r="AB119" s="27">
        <v>6.453</v>
      </c>
      <c r="AC119" s="43">
        <v>0.0504</v>
      </c>
      <c r="AD119" s="44">
        <v>0</v>
      </c>
    </row>
    <row r="120" spans="1:30" ht="15">
      <c r="A120" s="25">
        <v>10363</v>
      </c>
      <c r="B120" s="25" t="s">
        <v>107</v>
      </c>
      <c r="C120" s="36">
        <f t="shared" si="8"/>
        <v>61748.939</v>
      </c>
      <c r="D120" s="36">
        <f t="shared" si="11"/>
        <v>78176.397</v>
      </c>
      <c r="E120" s="36">
        <f t="shared" si="11"/>
        <v>76519.074</v>
      </c>
      <c r="F120" s="36">
        <f t="shared" si="11"/>
        <v>63201.501000000004</v>
      </c>
      <c r="G120" s="36">
        <f t="shared" si="11"/>
        <v>54778.127</v>
      </c>
      <c r="H120" s="36">
        <f t="shared" si="11"/>
        <v>65394.021</v>
      </c>
      <c r="I120" s="36">
        <f t="shared" si="11"/>
        <v>50769.751000000004</v>
      </c>
      <c r="J120" s="36">
        <f t="shared" si="11"/>
        <v>70341.864</v>
      </c>
      <c r="K120" s="36">
        <f t="shared" si="11"/>
        <v>75161.755</v>
      </c>
      <c r="L120" s="36">
        <f t="shared" si="11"/>
        <v>71362.682</v>
      </c>
      <c r="M120" s="36">
        <f t="shared" si="11"/>
        <v>68966.527</v>
      </c>
      <c r="N120" s="36">
        <f t="shared" si="11"/>
        <v>63732.261</v>
      </c>
      <c r="O120" s="37">
        <f t="shared" si="9"/>
        <v>800152.899</v>
      </c>
      <c r="R120" s="25">
        <v>10363</v>
      </c>
      <c r="S120" s="25" t="s">
        <v>107</v>
      </c>
      <c r="T120" s="26">
        <v>0.0135261</v>
      </c>
      <c r="U120" s="26">
        <v>0.0135595</v>
      </c>
      <c r="V120" s="26">
        <v>0.0135261</v>
      </c>
      <c r="W120" s="26">
        <v>0.0135595</v>
      </c>
      <c r="X120" s="26">
        <v>0</v>
      </c>
      <c r="Y120" s="26">
        <v>0</v>
      </c>
      <c r="Z120" s="27">
        <v>96.063</v>
      </c>
      <c r="AA120" s="27">
        <v>91.117</v>
      </c>
      <c r="AB120" s="27">
        <v>91.342</v>
      </c>
      <c r="AC120" s="43">
        <v>0</v>
      </c>
      <c r="AD120" s="44">
        <v>0</v>
      </c>
    </row>
    <row r="121" spans="1:30" ht="15">
      <c r="A121" s="25">
        <v>10369</v>
      </c>
      <c r="B121" s="25" t="s">
        <v>108</v>
      </c>
      <c r="C121" s="36">
        <f t="shared" si="8"/>
        <v>10596.072</v>
      </c>
      <c r="D121" s="36">
        <f t="shared" si="11"/>
        <v>13415.011</v>
      </c>
      <c r="E121" s="36">
        <f t="shared" si="11"/>
        <v>13130.615</v>
      </c>
      <c r="F121" s="36">
        <f t="shared" si="11"/>
        <v>10845.33</v>
      </c>
      <c r="G121" s="36">
        <f t="shared" si="11"/>
        <v>9399.886</v>
      </c>
      <c r="H121" s="36">
        <f t="shared" si="11"/>
        <v>11221.565</v>
      </c>
      <c r="I121" s="36">
        <f t="shared" si="11"/>
        <v>8712.051</v>
      </c>
      <c r="J121" s="36">
        <f t="shared" si="11"/>
        <v>12070.611</v>
      </c>
      <c r="K121" s="36">
        <f t="shared" si="11"/>
        <v>12897.699999999999</v>
      </c>
      <c r="L121" s="36">
        <f t="shared" si="11"/>
        <v>12245.783</v>
      </c>
      <c r="M121" s="36">
        <f t="shared" si="11"/>
        <v>11834.604</v>
      </c>
      <c r="N121" s="36">
        <f t="shared" si="11"/>
        <v>10936.408</v>
      </c>
      <c r="O121" s="37">
        <f t="shared" si="9"/>
        <v>137305.636</v>
      </c>
      <c r="R121" s="25">
        <v>10369</v>
      </c>
      <c r="S121" s="25" t="s">
        <v>108</v>
      </c>
      <c r="T121" s="26">
        <v>0.0023268</v>
      </c>
      <c r="U121" s="26">
        <v>0.0023268</v>
      </c>
      <c r="V121" s="26">
        <v>0.0023268</v>
      </c>
      <c r="W121" s="26">
        <v>0.0023268</v>
      </c>
      <c r="X121" s="26">
        <v>0</v>
      </c>
      <c r="Y121" s="26">
        <v>0</v>
      </c>
      <c r="Z121" s="27">
        <v>15.674</v>
      </c>
      <c r="AA121" s="27">
        <v>15.674</v>
      </c>
      <c r="AB121" s="27">
        <v>15.674</v>
      </c>
      <c r="AC121" s="43">
        <v>0.07659</v>
      </c>
      <c r="AD121" s="44">
        <v>0</v>
      </c>
    </row>
    <row r="122" spans="1:30" ht="15">
      <c r="A122" s="25">
        <v>10370</v>
      </c>
      <c r="B122" s="25" t="s">
        <v>109</v>
      </c>
      <c r="C122" s="36">
        <f t="shared" si="8"/>
        <v>122140.352</v>
      </c>
      <c r="D122" s="36">
        <f t="shared" si="11"/>
        <v>154634.118</v>
      </c>
      <c r="E122" s="36">
        <f t="shared" si="11"/>
        <v>151355.908</v>
      </c>
      <c r="F122" s="36">
        <f t="shared" si="11"/>
        <v>125013.544</v>
      </c>
      <c r="G122" s="36">
        <f t="shared" si="11"/>
        <v>108351.978</v>
      </c>
      <c r="H122" s="36">
        <f t="shared" si="11"/>
        <v>129350.381</v>
      </c>
      <c r="I122" s="36">
        <f t="shared" si="11"/>
        <v>100423.351</v>
      </c>
      <c r="J122" s="36">
        <f t="shared" si="11"/>
        <v>139137.29200000002</v>
      </c>
      <c r="K122" s="36">
        <f t="shared" si="11"/>
        <v>148671.109</v>
      </c>
      <c r="L122" s="36">
        <f t="shared" si="11"/>
        <v>141156.486</v>
      </c>
      <c r="M122" s="36">
        <f t="shared" si="11"/>
        <v>136416.854</v>
      </c>
      <c r="N122" s="36">
        <f t="shared" si="11"/>
        <v>126063.394</v>
      </c>
      <c r="O122" s="37">
        <f t="shared" si="9"/>
        <v>1582714.7670000002</v>
      </c>
      <c r="R122" s="25">
        <v>10370</v>
      </c>
      <c r="S122" s="25" t="s">
        <v>109</v>
      </c>
      <c r="T122" s="26">
        <v>0.0566188</v>
      </c>
      <c r="U122" s="26">
        <v>0.056432</v>
      </c>
      <c r="V122" s="26">
        <v>0.027007699999999996</v>
      </c>
      <c r="W122" s="26">
        <v>0.0268209</v>
      </c>
      <c r="X122" s="26">
        <v>0.0296111</v>
      </c>
      <c r="Y122" s="26">
        <v>0.0296111</v>
      </c>
      <c r="Z122" s="27">
        <v>383.841</v>
      </c>
      <c r="AA122" s="27">
        <v>381.405</v>
      </c>
      <c r="AB122" s="27">
        <v>380.146</v>
      </c>
      <c r="AC122" s="43">
        <v>0</v>
      </c>
      <c r="AD122" s="44">
        <v>0</v>
      </c>
    </row>
    <row r="123" spans="1:30" ht="15">
      <c r="A123" s="25">
        <v>10371</v>
      </c>
      <c r="B123" s="25" t="s">
        <v>110</v>
      </c>
      <c r="C123" s="36">
        <f t="shared" si="8"/>
        <v>7114.596</v>
      </c>
      <c r="D123" s="36">
        <f t="shared" si="11"/>
        <v>9007.337</v>
      </c>
      <c r="E123" s="36">
        <f t="shared" si="11"/>
        <v>8816.383</v>
      </c>
      <c r="F123" s="36">
        <f t="shared" si="11"/>
        <v>7281.9580000000005</v>
      </c>
      <c r="G123" s="36">
        <f t="shared" si="11"/>
        <v>6311.432</v>
      </c>
      <c r="H123" s="36">
        <f t="shared" si="11"/>
        <v>7534.575</v>
      </c>
      <c r="I123" s="36">
        <f t="shared" si="11"/>
        <v>5849.594999999999</v>
      </c>
      <c r="J123" s="36">
        <f t="shared" si="11"/>
        <v>8104.656999999999</v>
      </c>
      <c r="K123" s="36">
        <f t="shared" si="11"/>
        <v>8659.995</v>
      </c>
      <c r="L123" s="36">
        <f t="shared" si="11"/>
        <v>8222.274</v>
      </c>
      <c r="M123" s="36">
        <f t="shared" si="11"/>
        <v>7946.193</v>
      </c>
      <c r="N123" s="36">
        <f t="shared" si="11"/>
        <v>7343.111000000001</v>
      </c>
      <c r="O123" s="37">
        <f t="shared" si="9"/>
        <v>92192.106</v>
      </c>
      <c r="R123" s="25">
        <v>10371</v>
      </c>
      <c r="S123" s="25" t="s">
        <v>110</v>
      </c>
      <c r="T123" s="26">
        <v>0.0015623</v>
      </c>
      <c r="U123" s="26">
        <v>0.0015623</v>
      </c>
      <c r="V123" s="26">
        <v>0.0015623</v>
      </c>
      <c r="W123" s="26">
        <v>0.0015623</v>
      </c>
      <c r="X123" s="26">
        <v>0</v>
      </c>
      <c r="Y123" s="26">
        <v>0</v>
      </c>
      <c r="Z123" s="27">
        <v>10.524</v>
      </c>
      <c r="AA123" s="27">
        <v>10.524</v>
      </c>
      <c r="AB123" s="27">
        <v>10.524</v>
      </c>
      <c r="AC123" s="43">
        <v>0</v>
      </c>
      <c r="AD123" s="44">
        <v>0</v>
      </c>
    </row>
    <row r="124" spans="1:30" ht="15">
      <c r="A124" s="25">
        <v>10376</v>
      </c>
      <c r="B124" s="25" t="s">
        <v>111</v>
      </c>
      <c r="C124" s="36">
        <f t="shared" si="8"/>
        <v>36130.835999999996</v>
      </c>
      <c r="D124" s="36">
        <f t="shared" si="11"/>
        <v>45742.95</v>
      </c>
      <c r="E124" s="36">
        <f t="shared" si="11"/>
        <v>44773.209</v>
      </c>
      <c r="F124" s="36">
        <f t="shared" si="11"/>
        <v>36980.768</v>
      </c>
      <c r="G124" s="36">
        <f t="shared" si="11"/>
        <v>32052.040999999997</v>
      </c>
      <c r="H124" s="36">
        <f t="shared" si="11"/>
        <v>38263.665</v>
      </c>
      <c r="I124" s="36">
        <f t="shared" si="11"/>
        <v>29706.641</v>
      </c>
      <c r="J124" s="36">
        <f t="shared" si="11"/>
        <v>41158.771</v>
      </c>
      <c r="K124" s="36">
        <f t="shared" si="11"/>
        <v>43979.009</v>
      </c>
      <c r="L124" s="36">
        <f t="shared" si="11"/>
        <v>41756.077000000005</v>
      </c>
      <c r="M124" s="36">
        <f t="shared" si="11"/>
        <v>40354.027</v>
      </c>
      <c r="N124" s="36">
        <f t="shared" si="11"/>
        <v>37291.328</v>
      </c>
      <c r="O124" s="37">
        <f t="shared" si="9"/>
        <v>468189.322</v>
      </c>
      <c r="R124" s="25">
        <v>10376</v>
      </c>
      <c r="S124" s="25" t="s">
        <v>111</v>
      </c>
      <c r="T124" s="26">
        <v>0.007934</v>
      </c>
      <c r="U124" s="26">
        <v>0.007934</v>
      </c>
      <c r="V124" s="26">
        <v>0.007934</v>
      </c>
      <c r="W124" s="26">
        <v>0.007934</v>
      </c>
      <c r="X124" s="26">
        <v>0</v>
      </c>
      <c r="Y124" s="26">
        <v>0</v>
      </c>
      <c r="Z124" s="27">
        <v>53.446</v>
      </c>
      <c r="AA124" s="27">
        <v>53.446</v>
      </c>
      <c r="AB124" s="27">
        <v>53.446</v>
      </c>
      <c r="AC124" s="43">
        <v>0</v>
      </c>
      <c r="AD124" s="44">
        <v>0</v>
      </c>
    </row>
    <row r="125" spans="1:30" ht="15">
      <c r="A125" s="25">
        <v>10378</v>
      </c>
      <c r="B125" s="25" t="s">
        <v>112</v>
      </c>
      <c r="C125" s="36">
        <f t="shared" si="8"/>
        <v>1272.8220000000001</v>
      </c>
      <c r="D125" s="36">
        <f t="shared" si="11"/>
        <v>1611.4389999999999</v>
      </c>
      <c r="E125" s="36">
        <f t="shared" si="11"/>
        <v>1577.2759999999998</v>
      </c>
      <c r="F125" s="36">
        <f t="shared" si="11"/>
        <v>1302.7640000000001</v>
      </c>
      <c r="G125" s="36">
        <f t="shared" si="11"/>
        <v>1129.134</v>
      </c>
      <c r="H125" s="36">
        <f t="shared" si="11"/>
        <v>1347.9569999999999</v>
      </c>
      <c r="I125" s="36">
        <f t="shared" si="11"/>
        <v>1046.509</v>
      </c>
      <c r="J125" s="36">
        <f t="shared" si="11"/>
        <v>1449.9470000000001</v>
      </c>
      <c r="K125" s="36">
        <f t="shared" si="11"/>
        <v>1549.299</v>
      </c>
      <c r="L125" s="36">
        <f t="shared" si="11"/>
        <v>1470.9879999999998</v>
      </c>
      <c r="M125" s="36">
        <f t="shared" si="11"/>
        <v>1421.597</v>
      </c>
      <c r="N125" s="36">
        <f t="shared" si="11"/>
        <v>1313.704</v>
      </c>
      <c r="O125" s="37">
        <f t="shared" si="9"/>
        <v>16493.436</v>
      </c>
      <c r="R125" s="25">
        <v>10378</v>
      </c>
      <c r="S125" s="25" t="s">
        <v>112</v>
      </c>
      <c r="T125" s="26">
        <v>0.0002789</v>
      </c>
      <c r="U125" s="26">
        <v>0.0002795</v>
      </c>
      <c r="V125" s="26">
        <v>0.0002789</v>
      </c>
      <c r="W125" s="26">
        <v>0.0002795</v>
      </c>
      <c r="X125" s="26">
        <v>0</v>
      </c>
      <c r="Y125" s="26">
        <v>0</v>
      </c>
      <c r="Z125" s="27">
        <v>1.928</v>
      </c>
      <c r="AA125" s="27">
        <v>1.879</v>
      </c>
      <c r="AB125" s="27">
        <v>1.883</v>
      </c>
      <c r="AC125" s="43">
        <v>0</v>
      </c>
      <c r="AD125" s="44">
        <v>0</v>
      </c>
    </row>
    <row r="126" spans="1:30" ht="15">
      <c r="A126" s="25">
        <v>10379</v>
      </c>
      <c r="B126" s="25" t="s">
        <v>113</v>
      </c>
      <c r="C126" s="36">
        <f t="shared" si="8"/>
        <v>3088.927</v>
      </c>
      <c r="D126" s="36">
        <f t="shared" si="11"/>
        <v>3910.693</v>
      </c>
      <c r="E126" s="36">
        <f t="shared" si="11"/>
        <v>3827.7880000000005</v>
      </c>
      <c r="F126" s="36">
        <f t="shared" si="11"/>
        <v>3161.59</v>
      </c>
      <c r="G126" s="36">
        <f t="shared" si="11"/>
        <v>2740.219</v>
      </c>
      <c r="H126" s="36">
        <f t="shared" si="11"/>
        <v>3271.2690000000002</v>
      </c>
      <c r="I126" s="36">
        <f t="shared" si="11"/>
        <v>2539.705</v>
      </c>
      <c r="J126" s="36">
        <f t="shared" si="11"/>
        <v>3518.7789999999995</v>
      </c>
      <c r="K126" s="36">
        <f t="shared" si="11"/>
        <v>3759.889</v>
      </c>
      <c r="L126" s="36">
        <f t="shared" si="11"/>
        <v>3569.8450000000003</v>
      </c>
      <c r="M126" s="36">
        <f t="shared" si="11"/>
        <v>3449.9790000000003</v>
      </c>
      <c r="N126" s="36">
        <f t="shared" si="11"/>
        <v>3188.14</v>
      </c>
      <c r="O126" s="37">
        <f t="shared" si="9"/>
        <v>40026.823</v>
      </c>
      <c r="R126" s="25">
        <v>10379</v>
      </c>
      <c r="S126" s="25" t="s">
        <v>113</v>
      </c>
      <c r="T126" s="26">
        <v>0.000675</v>
      </c>
      <c r="U126" s="26">
        <v>0.0006783</v>
      </c>
      <c r="V126" s="26">
        <v>0.000675</v>
      </c>
      <c r="W126" s="26">
        <v>0.0006783</v>
      </c>
      <c r="X126" s="26">
        <v>0</v>
      </c>
      <c r="Y126" s="26">
        <v>0</v>
      </c>
      <c r="Z126" s="27">
        <v>4.587</v>
      </c>
      <c r="AA126" s="27">
        <v>4.547</v>
      </c>
      <c r="AB126" s="27">
        <v>4.569</v>
      </c>
      <c r="AC126" s="43">
        <v>0</v>
      </c>
      <c r="AD126" s="44">
        <v>0</v>
      </c>
    </row>
    <row r="127" spans="1:30" ht="15">
      <c r="A127" s="25">
        <v>10388</v>
      </c>
      <c r="B127" s="25" t="s">
        <v>114</v>
      </c>
      <c r="C127" s="36">
        <f t="shared" si="8"/>
        <v>73013.07</v>
      </c>
      <c r="D127" s="36">
        <f t="shared" si="11"/>
        <v>92437.197</v>
      </c>
      <c r="E127" s="36">
        <f t="shared" si="11"/>
        <v>90477.549</v>
      </c>
      <c r="F127" s="36">
        <f t="shared" si="11"/>
        <v>74730.60800000001</v>
      </c>
      <c r="G127" s="36">
        <f t="shared" si="11"/>
        <v>64770.655</v>
      </c>
      <c r="H127" s="36">
        <f t="shared" si="11"/>
        <v>77323.083</v>
      </c>
      <c r="I127" s="36">
        <f t="shared" si="11"/>
        <v>60031.079</v>
      </c>
      <c r="J127" s="36">
        <f t="shared" si="11"/>
        <v>83173.50200000001</v>
      </c>
      <c r="K127" s="36">
        <f t="shared" si="11"/>
        <v>88872.629</v>
      </c>
      <c r="L127" s="36">
        <f t="shared" si="11"/>
        <v>84380.53700000001</v>
      </c>
      <c r="M127" s="36">
        <f t="shared" si="11"/>
        <v>81547.279</v>
      </c>
      <c r="N127" s="36">
        <f t="shared" si="11"/>
        <v>75358.188</v>
      </c>
      <c r="O127" s="37">
        <f t="shared" si="9"/>
        <v>946115.3759999999</v>
      </c>
      <c r="R127" s="25">
        <v>10388</v>
      </c>
      <c r="S127" s="25" t="s">
        <v>114</v>
      </c>
      <c r="T127" s="26">
        <v>0.016033</v>
      </c>
      <c r="U127" s="26">
        <v>0.016033</v>
      </c>
      <c r="V127" s="26">
        <v>0.016033</v>
      </c>
      <c r="W127" s="26">
        <v>0.016033</v>
      </c>
      <c r="X127" s="26">
        <v>0</v>
      </c>
      <c r="Y127" s="26">
        <v>0</v>
      </c>
      <c r="Z127" s="27">
        <v>108.004</v>
      </c>
      <c r="AA127" s="27">
        <v>108.004</v>
      </c>
      <c r="AB127" s="27">
        <v>108.004</v>
      </c>
      <c r="AC127" s="43">
        <v>0.08225</v>
      </c>
      <c r="AD127" s="44">
        <v>0</v>
      </c>
    </row>
    <row r="128" spans="1:30" ht="15">
      <c r="A128" s="25">
        <v>10391</v>
      </c>
      <c r="B128" s="25" t="s">
        <v>115</v>
      </c>
      <c r="C128" s="36">
        <f t="shared" si="8"/>
        <v>19330.953999999998</v>
      </c>
      <c r="D128" s="36">
        <f t="shared" si="11"/>
        <v>24473.689</v>
      </c>
      <c r="E128" s="36">
        <f t="shared" si="11"/>
        <v>23954.852</v>
      </c>
      <c r="F128" s="36">
        <f t="shared" si="11"/>
        <v>19785.689</v>
      </c>
      <c r="G128" s="36">
        <f t="shared" si="11"/>
        <v>17148.691</v>
      </c>
      <c r="H128" s="36">
        <f t="shared" si="11"/>
        <v>20472.073</v>
      </c>
      <c r="I128" s="36">
        <f t="shared" si="11"/>
        <v>15893.84</v>
      </c>
      <c r="J128" s="36">
        <f t="shared" si="11"/>
        <v>22021.032</v>
      </c>
      <c r="K128" s="36">
        <f t="shared" si="11"/>
        <v>23529.934</v>
      </c>
      <c r="L128" s="36">
        <f t="shared" si="11"/>
        <v>22340.607</v>
      </c>
      <c r="M128" s="36">
        <f t="shared" si="11"/>
        <v>21590.472999999998</v>
      </c>
      <c r="N128" s="36">
        <f t="shared" si="11"/>
        <v>19951.847999999998</v>
      </c>
      <c r="O128" s="37">
        <f t="shared" si="9"/>
        <v>250493.682</v>
      </c>
      <c r="R128" s="25">
        <v>10391</v>
      </c>
      <c r="S128" s="25" t="s">
        <v>115</v>
      </c>
      <c r="T128" s="26">
        <v>0.0042449</v>
      </c>
      <c r="U128" s="26">
        <v>0.0042449</v>
      </c>
      <c r="V128" s="26">
        <v>0.0042449</v>
      </c>
      <c r="W128" s="26">
        <v>0.0042449</v>
      </c>
      <c r="X128" s="26">
        <v>0</v>
      </c>
      <c r="Y128" s="26">
        <v>0</v>
      </c>
      <c r="Z128" s="27">
        <v>28.595</v>
      </c>
      <c r="AA128" s="27">
        <v>28.595</v>
      </c>
      <c r="AB128" s="27">
        <v>28.595</v>
      </c>
      <c r="AC128" s="43">
        <v>0.03464</v>
      </c>
      <c r="AD128" s="44">
        <v>0</v>
      </c>
    </row>
    <row r="129" spans="1:30" ht="15">
      <c r="A129" s="25">
        <v>10406</v>
      </c>
      <c r="B129" s="25" t="s">
        <v>116</v>
      </c>
      <c r="C129" s="36">
        <f t="shared" si="8"/>
        <v>295.549</v>
      </c>
      <c r="D129" s="36">
        <f t="shared" si="11"/>
        <v>374.177</v>
      </c>
      <c r="E129" s="36">
        <f t="shared" si="11"/>
        <v>366.244</v>
      </c>
      <c r="F129" s="36">
        <f t="shared" si="11"/>
        <v>302.503</v>
      </c>
      <c r="G129" s="36">
        <f t="shared" si="11"/>
        <v>262.185</v>
      </c>
      <c r="H129" s="36">
        <f t="shared" si="11"/>
        <v>312.996</v>
      </c>
      <c r="I129" s="36">
        <f t="shared" si="11"/>
        <v>243</v>
      </c>
      <c r="J129" s="36">
        <f t="shared" si="11"/>
        <v>336.67900000000003</v>
      </c>
      <c r="K129" s="36">
        <f t="shared" si="11"/>
        <v>359.747</v>
      </c>
      <c r="L129" s="36">
        <f t="shared" si="11"/>
        <v>341.565</v>
      </c>
      <c r="M129" s="36">
        <f t="shared" si="11"/>
        <v>330.095</v>
      </c>
      <c r="N129" s="36">
        <f t="shared" si="11"/>
        <v>305.043</v>
      </c>
      <c r="O129" s="37">
        <f t="shared" si="9"/>
        <v>3829.783</v>
      </c>
      <c r="R129" s="25">
        <v>10406</v>
      </c>
      <c r="S129" s="25" t="s">
        <v>116</v>
      </c>
      <c r="T129" s="26">
        <v>6.49E-05</v>
      </c>
      <c r="U129" s="26">
        <v>6.49E-05</v>
      </c>
      <c r="V129" s="26">
        <v>6.49E-05</v>
      </c>
      <c r="W129" s="26">
        <v>6.49E-05</v>
      </c>
      <c r="X129" s="26">
        <v>0</v>
      </c>
      <c r="Y129" s="26">
        <v>0</v>
      </c>
      <c r="Z129" s="27">
        <v>0.437</v>
      </c>
      <c r="AA129" s="27">
        <v>0.437</v>
      </c>
      <c r="AB129" s="27">
        <v>0.437</v>
      </c>
      <c r="AC129" s="43">
        <v>0</v>
      </c>
      <c r="AD129" s="44">
        <v>0</v>
      </c>
    </row>
    <row r="130" spans="1:30" ht="15">
      <c r="A130" s="25">
        <v>10408</v>
      </c>
      <c r="B130" s="25" t="s">
        <v>117</v>
      </c>
      <c r="C130" s="36">
        <f t="shared" si="8"/>
        <v>985.0140000000001</v>
      </c>
      <c r="D130" s="36">
        <f t="shared" si="11"/>
        <v>1247.064</v>
      </c>
      <c r="E130" s="36">
        <f t="shared" si="11"/>
        <v>1220.626</v>
      </c>
      <c r="F130" s="36">
        <f t="shared" si="11"/>
        <v>1008.1850000000001</v>
      </c>
      <c r="G130" s="36">
        <f t="shared" si="11"/>
        <v>873.816</v>
      </c>
      <c r="H130" s="36">
        <f t="shared" si="11"/>
        <v>1043.1599999999999</v>
      </c>
      <c r="I130" s="36">
        <f t="shared" si="11"/>
        <v>809.875</v>
      </c>
      <c r="J130" s="36">
        <f t="shared" si="11"/>
        <v>1122.087</v>
      </c>
      <c r="K130" s="36">
        <f t="shared" si="11"/>
        <v>1198.974</v>
      </c>
      <c r="L130" s="36">
        <f t="shared" si="11"/>
        <v>1138.372</v>
      </c>
      <c r="M130" s="36">
        <f t="shared" si="11"/>
        <v>1100.149</v>
      </c>
      <c r="N130" s="36">
        <f t="shared" si="11"/>
        <v>1016.652</v>
      </c>
      <c r="O130" s="37">
        <f t="shared" si="9"/>
        <v>12763.974</v>
      </c>
      <c r="R130" s="25">
        <v>10408</v>
      </c>
      <c r="S130" s="25" t="s">
        <v>117</v>
      </c>
      <c r="T130" s="26">
        <v>0.0002163</v>
      </c>
      <c r="U130" s="26">
        <v>0.0002163</v>
      </c>
      <c r="V130" s="26">
        <v>0.0002163</v>
      </c>
      <c r="W130" s="26">
        <v>0.0002163</v>
      </c>
      <c r="X130" s="26">
        <v>0</v>
      </c>
      <c r="Y130" s="26">
        <v>0</v>
      </c>
      <c r="Z130" s="27">
        <v>1.457</v>
      </c>
      <c r="AA130" s="27">
        <v>1.457</v>
      </c>
      <c r="AB130" s="27">
        <v>1.457</v>
      </c>
      <c r="AC130" s="43">
        <v>0</v>
      </c>
      <c r="AD130" s="44">
        <v>0</v>
      </c>
    </row>
    <row r="131" spans="1:30" ht="15">
      <c r="A131" s="25">
        <v>10409</v>
      </c>
      <c r="B131" s="25" t="s">
        <v>118</v>
      </c>
      <c r="C131" s="36">
        <f t="shared" si="8"/>
        <v>13169.038</v>
      </c>
      <c r="D131" s="36">
        <f t="shared" si="11"/>
        <v>16672.481</v>
      </c>
      <c r="E131" s="36">
        <f t="shared" si="11"/>
        <v>16319.028</v>
      </c>
      <c r="F131" s="36">
        <f t="shared" si="11"/>
        <v>13478.823</v>
      </c>
      <c r="G131" s="36">
        <f t="shared" si="11"/>
        <v>11682.391</v>
      </c>
      <c r="H131" s="36">
        <f t="shared" si="11"/>
        <v>13946.416000000001</v>
      </c>
      <c r="I131" s="36">
        <f t="shared" si="11"/>
        <v>10827.536</v>
      </c>
      <c r="J131" s="36">
        <f t="shared" si="11"/>
        <v>15001.630000000001</v>
      </c>
      <c r="K131" s="36">
        <f t="shared" si="11"/>
        <v>16029.555</v>
      </c>
      <c r="L131" s="36">
        <f t="shared" si="11"/>
        <v>15219.337</v>
      </c>
      <c r="M131" s="36">
        <f t="shared" si="11"/>
        <v>14708.315</v>
      </c>
      <c r="N131" s="36">
        <f t="shared" si="11"/>
        <v>13592.017</v>
      </c>
      <c r="O131" s="37">
        <f t="shared" si="9"/>
        <v>170646.56699999998</v>
      </c>
      <c r="R131" s="25">
        <v>10409</v>
      </c>
      <c r="S131" s="25" t="s">
        <v>118</v>
      </c>
      <c r="T131" s="26">
        <v>0.0028918</v>
      </c>
      <c r="U131" s="26">
        <v>0.0028918</v>
      </c>
      <c r="V131" s="26">
        <v>0.0028918</v>
      </c>
      <c r="W131" s="26">
        <v>0.0028918</v>
      </c>
      <c r="X131" s="26">
        <v>0</v>
      </c>
      <c r="Y131" s="26">
        <v>0</v>
      </c>
      <c r="Z131" s="27">
        <v>19.48</v>
      </c>
      <c r="AA131" s="27">
        <v>19.48</v>
      </c>
      <c r="AB131" s="27">
        <v>19.48</v>
      </c>
      <c r="AC131" s="43">
        <v>0</v>
      </c>
      <c r="AD131" s="44">
        <v>0</v>
      </c>
    </row>
    <row r="132" spans="1:30" ht="15">
      <c r="A132" s="25">
        <v>10426</v>
      </c>
      <c r="B132" s="25" t="s">
        <v>119</v>
      </c>
      <c r="C132" s="36">
        <f aca="true" t="shared" si="12" ref="C132:C146">ROUND(C$3*$W132,3)+ROUND(C$4*$W132,3)</f>
        <v>11074.689</v>
      </c>
      <c r="D132" s="36">
        <f t="shared" si="11"/>
        <v>14020.958</v>
      </c>
      <c r="E132" s="36">
        <f t="shared" si="11"/>
        <v>13723.717</v>
      </c>
      <c r="F132" s="36">
        <f t="shared" si="11"/>
        <v>11335.207</v>
      </c>
      <c r="G132" s="36">
        <f t="shared" si="11"/>
        <v>9824.472</v>
      </c>
      <c r="H132" s="36">
        <f t="shared" si="11"/>
        <v>11728.436</v>
      </c>
      <c r="I132" s="36">
        <f t="shared" si="11"/>
        <v>9105.569</v>
      </c>
      <c r="J132" s="36">
        <f t="shared" si="11"/>
        <v>12615.832</v>
      </c>
      <c r="K132" s="36">
        <f t="shared" si="11"/>
        <v>13480.282000000001</v>
      </c>
      <c r="L132" s="36">
        <f t="shared" si="11"/>
        <v>12798.917000000001</v>
      </c>
      <c r="M132" s="36">
        <f t="shared" si="11"/>
        <v>12369.166000000001</v>
      </c>
      <c r="N132" s="36">
        <f t="shared" si="11"/>
        <v>11430.398000000001</v>
      </c>
      <c r="O132" s="37">
        <f t="shared" si="9"/>
        <v>143507.64300000004</v>
      </c>
      <c r="R132" s="25">
        <v>10426</v>
      </c>
      <c r="S132" s="25" t="s">
        <v>119</v>
      </c>
      <c r="T132" s="26">
        <v>0.0024319</v>
      </c>
      <c r="U132" s="26">
        <v>0.0024319</v>
      </c>
      <c r="V132" s="26">
        <v>0.0024319</v>
      </c>
      <c r="W132" s="26">
        <v>0.0024319</v>
      </c>
      <c r="X132" s="26">
        <v>0</v>
      </c>
      <c r="Y132" s="26">
        <v>0</v>
      </c>
      <c r="Z132" s="27">
        <v>33.455</v>
      </c>
      <c r="AA132" s="27">
        <v>16.382</v>
      </c>
      <c r="AB132" s="27">
        <v>16.382</v>
      </c>
      <c r="AC132" s="43">
        <v>0</v>
      </c>
      <c r="AD132" s="44">
        <v>0</v>
      </c>
    </row>
    <row r="133" spans="1:30" ht="15">
      <c r="A133" s="25">
        <v>10434</v>
      </c>
      <c r="B133" s="25" t="s">
        <v>120</v>
      </c>
      <c r="C133" s="36">
        <f t="shared" si="12"/>
        <v>17512.115999999998</v>
      </c>
      <c r="D133" s="36">
        <f t="shared" si="11"/>
        <v>22170.975</v>
      </c>
      <c r="E133" s="36">
        <f t="shared" si="11"/>
        <v>21700.955</v>
      </c>
      <c r="F133" s="36">
        <f t="shared" si="11"/>
        <v>17924.066</v>
      </c>
      <c r="G133" s="36">
        <f t="shared" si="11"/>
        <v>15535.181</v>
      </c>
      <c r="H133" s="36">
        <f t="shared" si="11"/>
        <v>18545.869</v>
      </c>
      <c r="I133" s="36">
        <f t="shared" si="11"/>
        <v>14398.399</v>
      </c>
      <c r="J133" s="36">
        <f t="shared" si="11"/>
        <v>19949.087</v>
      </c>
      <c r="K133" s="36">
        <f t="shared" si="11"/>
        <v>21316.017</v>
      </c>
      <c r="L133" s="36">
        <f t="shared" si="11"/>
        <v>20238.592</v>
      </c>
      <c r="M133" s="36">
        <f t="shared" si="11"/>
        <v>19559.038</v>
      </c>
      <c r="N133" s="36">
        <f t="shared" si="11"/>
        <v>18074.591</v>
      </c>
      <c r="O133" s="37">
        <f t="shared" si="9"/>
        <v>226924.886</v>
      </c>
      <c r="R133" s="25">
        <v>10434</v>
      </c>
      <c r="S133" s="25" t="s">
        <v>120</v>
      </c>
      <c r="T133" s="26">
        <v>0.0038455</v>
      </c>
      <c r="U133" s="26">
        <v>0.0038455</v>
      </c>
      <c r="V133" s="26">
        <v>0.0038455</v>
      </c>
      <c r="W133" s="26">
        <v>0.0038455</v>
      </c>
      <c r="X133" s="26">
        <v>0</v>
      </c>
      <c r="Y133" s="26">
        <v>0</v>
      </c>
      <c r="Z133" s="27">
        <v>25.905</v>
      </c>
      <c r="AA133" s="27">
        <v>25.905</v>
      </c>
      <c r="AB133" s="27">
        <v>25.905</v>
      </c>
      <c r="AC133" s="43">
        <v>0</v>
      </c>
      <c r="AD133" s="44">
        <v>0</v>
      </c>
    </row>
    <row r="134" spans="1:30" ht="15">
      <c r="A134" s="25">
        <v>10436</v>
      </c>
      <c r="B134" s="25" t="s">
        <v>121</v>
      </c>
      <c r="C134" s="36">
        <f t="shared" si="12"/>
        <v>12350.243</v>
      </c>
      <c r="D134" s="36">
        <f t="shared" si="11"/>
        <v>15635.856</v>
      </c>
      <c r="E134" s="36">
        <f t="shared" si="11"/>
        <v>15304.379</v>
      </c>
      <c r="F134" s="36">
        <f t="shared" si="11"/>
        <v>12640.766</v>
      </c>
      <c r="G134" s="36">
        <f t="shared" si="11"/>
        <v>10956.029999999999</v>
      </c>
      <c r="H134" s="36">
        <f t="shared" si="11"/>
        <v>13079.286</v>
      </c>
      <c r="I134" s="36">
        <f t="shared" si="11"/>
        <v>10154.325</v>
      </c>
      <c r="J134" s="36">
        <f t="shared" si="11"/>
        <v>14068.892</v>
      </c>
      <c r="K134" s="36">
        <f t="shared" si="11"/>
        <v>15032.904999999999</v>
      </c>
      <c r="L134" s="36">
        <f t="shared" si="11"/>
        <v>14273.062999999998</v>
      </c>
      <c r="M134" s="36">
        <f t="shared" si="11"/>
        <v>13793.814</v>
      </c>
      <c r="N134" s="36">
        <f t="shared" si="11"/>
        <v>12746.922999999999</v>
      </c>
      <c r="O134" s="37">
        <f t="shared" si="9"/>
        <v>160036.48200000002</v>
      </c>
      <c r="R134" s="25">
        <v>10436</v>
      </c>
      <c r="S134" s="25" t="s">
        <v>121</v>
      </c>
      <c r="T134" s="26">
        <v>0.002712</v>
      </c>
      <c r="U134" s="26">
        <v>0.002712</v>
      </c>
      <c r="V134" s="26">
        <v>0.002712</v>
      </c>
      <c r="W134" s="26">
        <v>0.002712</v>
      </c>
      <c r="X134" s="26">
        <v>0</v>
      </c>
      <c r="Y134" s="26">
        <v>0</v>
      </c>
      <c r="Z134" s="27">
        <v>18.269</v>
      </c>
      <c r="AA134" s="27">
        <v>18.269</v>
      </c>
      <c r="AB134" s="27">
        <v>18.269</v>
      </c>
      <c r="AC134" s="43">
        <v>0.0821</v>
      </c>
      <c r="AD134" s="44">
        <v>0</v>
      </c>
    </row>
    <row r="135" spans="1:30" ht="15">
      <c r="A135" s="25">
        <v>10440</v>
      </c>
      <c r="B135" s="25" t="s">
        <v>122</v>
      </c>
      <c r="C135" s="36">
        <f t="shared" si="12"/>
        <v>3227.821</v>
      </c>
      <c r="D135" s="36">
        <f t="shared" si="11"/>
        <v>4086.54</v>
      </c>
      <c r="E135" s="36">
        <f t="shared" si="11"/>
        <v>3999.906</v>
      </c>
      <c r="F135" s="36">
        <f t="shared" si="11"/>
        <v>3303.752</v>
      </c>
      <c r="G135" s="36">
        <f t="shared" si="11"/>
        <v>2863.434</v>
      </c>
      <c r="H135" s="36">
        <f t="shared" si="11"/>
        <v>3418.363</v>
      </c>
      <c r="I135" s="36">
        <f t="shared" si="11"/>
        <v>2653.9030000000002</v>
      </c>
      <c r="J135" s="36">
        <f t="shared" si="11"/>
        <v>3677.002</v>
      </c>
      <c r="K135" s="36">
        <f t="shared" si="11"/>
        <v>3928.9539999999997</v>
      </c>
      <c r="L135" s="36">
        <f t="shared" si="11"/>
        <v>3730.364</v>
      </c>
      <c r="M135" s="36">
        <f t="shared" si="11"/>
        <v>3605.1090000000004</v>
      </c>
      <c r="N135" s="36">
        <f t="shared" si="11"/>
        <v>3331.4970000000003</v>
      </c>
      <c r="O135" s="37">
        <f t="shared" si="9"/>
        <v>41826.645000000004</v>
      </c>
      <c r="R135" s="25">
        <v>10440</v>
      </c>
      <c r="S135" s="25" t="s">
        <v>122</v>
      </c>
      <c r="T135" s="26">
        <v>0.0007088</v>
      </c>
      <c r="U135" s="26">
        <v>0.0007088</v>
      </c>
      <c r="V135" s="26">
        <v>0.0007088</v>
      </c>
      <c r="W135" s="26">
        <v>0.0007088</v>
      </c>
      <c r="X135" s="26">
        <v>0</v>
      </c>
      <c r="Y135" s="26">
        <v>0</v>
      </c>
      <c r="Z135" s="27">
        <v>4.775</v>
      </c>
      <c r="AA135" s="27">
        <v>4.775</v>
      </c>
      <c r="AB135" s="27">
        <v>4.775</v>
      </c>
      <c r="AC135" s="43">
        <v>0.05668</v>
      </c>
      <c r="AD135" s="44">
        <v>0</v>
      </c>
    </row>
    <row r="136" spans="1:30" ht="15">
      <c r="A136" s="25">
        <v>10442</v>
      </c>
      <c r="B136" s="25" t="s">
        <v>123</v>
      </c>
      <c r="C136" s="36">
        <f t="shared" si="12"/>
        <v>8599.631</v>
      </c>
      <c r="D136" s="36">
        <f t="shared" si="11"/>
        <v>10887.445</v>
      </c>
      <c r="E136" s="36">
        <f t="shared" si="11"/>
        <v>10656.633</v>
      </c>
      <c r="F136" s="36">
        <f t="shared" si="11"/>
        <v>8801.926</v>
      </c>
      <c r="G136" s="36">
        <f t="shared" si="11"/>
        <v>7628.823</v>
      </c>
      <c r="H136" s="36">
        <f t="shared" si="11"/>
        <v>9107.273</v>
      </c>
      <c r="I136" s="36">
        <f t="shared" si="11"/>
        <v>7070.585000000001</v>
      </c>
      <c r="J136" s="36">
        <f t="shared" si="11"/>
        <v>9796.348</v>
      </c>
      <c r="K136" s="36">
        <f t="shared" si="11"/>
        <v>10467.603</v>
      </c>
      <c r="L136" s="36">
        <f aca="true" t="shared" si="13" ref="D136:N146">ROUND(L$3*$W136,3)+ROUND(L$4*$W136,3)</f>
        <v>9938.515</v>
      </c>
      <c r="M136" s="36">
        <f t="shared" si="13"/>
        <v>9604.807</v>
      </c>
      <c r="N136" s="36">
        <f t="shared" si="13"/>
        <v>8875.842999999999</v>
      </c>
      <c r="O136" s="37">
        <f t="shared" si="9"/>
        <v>111435.432</v>
      </c>
      <c r="R136" s="25">
        <v>10442</v>
      </c>
      <c r="S136" s="25" t="s">
        <v>123</v>
      </c>
      <c r="T136" s="26">
        <v>0.0018884</v>
      </c>
      <c r="U136" s="26">
        <v>0.0018884</v>
      </c>
      <c r="V136" s="26">
        <v>0.0018884</v>
      </c>
      <c r="W136" s="26">
        <v>0.0018884</v>
      </c>
      <c r="X136" s="26">
        <v>0</v>
      </c>
      <c r="Y136" s="26">
        <v>0</v>
      </c>
      <c r="Z136" s="27">
        <v>12.779</v>
      </c>
      <c r="AA136" s="27">
        <v>12.721</v>
      </c>
      <c r="AB136" s="27">
        <v>12.721</v>
      </c>
      <c r="AC136" s="43">
        <v>0.07</v>
      </c>
      <c r="AD136" s="44">
        <v>0</v>
      </c>
    </row>
    <row r="137" spans="1:30" ht="15">
      <c r="A137" s="25">
        <v>10446</v>
      </c>
      <c r="B137" s="25" t="s">
        <v>124</v>
      </c>
      <c r="C137" s="36">
        <f t="shared" si="12"/>
        <v>61758.501000000004</v>
      </c>
      <c r="D137" s="36">
        <f t="shared" si="13"/>
        <v>78188.504</v>
      </c>
      <c r="E137" s="36">
        <f t="shared" si="13"/>
        <v>76530.924</v>
      </c>
      <c r="F137" s="36">
        <f t="shared" si="13"/>
        <v>63211.28999999999</v>
      </c>
      <c r="G137" s="36">
        <f t="shared" si="13"/>
        <v>54786.61</v>
      </c>
      <c r="H137" s="36">
        <f t="shared" si="13"/>
        <v>65404.149000000005</v>
      </c>
      <c r="I137" s="36">
        <f t="shared" si="13"/>
        <v>50777.615000000005</v>
      </c>
      <c r="J137" s="36">
        <f t="shared" si="13"/>
        <v>70352.758</v>
      </c>
      <c r="K137" s="36">
        <f t="shared" si="13"/>
        <v>75173.395</v>
      </c>
      <c r="L137" s="36">
        <f t="shared" si="13"/>
        <v>71373.735</v>
      </c>
      <c r="M137" s="36">
        <f t="shared" si="13"/>
        <v>68977.209</v>
      </c>
      <c r="N137" s="36">
        <f t="shared" si="13"/>
        <v>63742.130999999994</v>
      </c>
      <c r="O137" s="37">
        <f t="shared" si="9"/>
        <v>800276.821</v>
      </c>
      <c r="R137" s="25">
        <v>10446</v>
      </c>
      <c r="S137" s="25" t="s">
        <v>124</v>
      </c>
      <c r="T137" s="26">
        <v>0.0135616</v>
      </c>
      <c r="U137" s="26">
        <v>0.0135616</v>
      </c>
      <c r="V137" s="26">
        <v>0.0135616</v>
      </c>
      <c r="W137" s="26">
        <v>0.0135616</v>
      </c>
      <c r="X137" s="26">
        <v>0</v>
      </c>
      <c r="Y137" s="26">
        <v>0</v>
      </c>
      <c r="Z137" s="27">
        <v>91.356</v>
      </c>
      <c r="AA137" s="27">
        <v>91.356</v>
      </c>
      <c r="AB137" s="27">
        <v>91.356</v>
      </c>
      <c r="AC137" s="43">
        <v>0.07469</v>
      </c>
      <c r="AD137" s="44">
        <v>0</v>
      </c>
    </row>
    <row r="138" spans="1:30" ht="15">
      <c r="A138" s="25">
        <v>10448</v>
      </c>
      <c r="B138" s="25" t="s">
        <v>125</v>
      </c>
      <c r="C138" s="36">
        <f t="shared" si="12"/>
        <v>5468.808</v>
      </c>
      <c r="D138" s="36">
        <f t="shared" si="13"/>
        <v>6923.709</v>
      </c>
      <c r="E138" s="36">
        <f t="shared" si="13"/>
        <v>6776.928</v>
      </c>
      <c r="F138" s="36">
        <f t="shared" si="13"/>
        <v>5597.454</v>
      </c>
      <c r="G138" s="36">
        <f t="shared" si="13"/>
        <v>4851.436</v>
      </c>
      <c r="H138" s="36">
        <f t="shared" si="13"/>
        <v>5791.636</v>
      </c>
      <c r="I138" s="36">
        <f t="shared" si="13"/>
        <v>4496.434</v>
      </c>
      <c r="J138" s="36">
        <f t="shared" si="13"/>
        <v>6229.842</v>
      </c>
      <c r="K138" s="36">
        <f t="shared" si="13"/>
        <v>6656.717000000001</v>
      </c>
      <c r="L138" s="36">
        <f t="shared" si="13"/>
        <v>6320.251</v>
      </c>
      <c r="M138" s="36">
        <f t="shared" si="13"/>
        <v>6108.035</v>
      </c>
      <c r="N138" s="36">
        <f t="shared" si="13"/>
        <v>5644.462</v>
      </c>
      <c r="O138" s="37">
        <f t="shared" si="9"/>
        <v>70865.712</v>
      </c>
      <c r="R138" s="25">
        <v>10448</v>
      </c>
      <c r="S138" s="25" t="s">
        <v>125</v>
      </c>
      <c r="T138" s="26">
        <v>0.0012009</v>
      </c>
      <c r="U138" s="26">
        <v>0.0012009</v>
      </c>
      <c r="V138" s="26">
        <v>0.0012009</v>
      </c>
      <c r="W138" s="26">
        <v>0.0012009</v>
      </c>
      <c r="X138" s="26">
        <v>0</v>
      </c>
      <c r="Y138" s="26">
        <v>0</v>
      </c>
      <c r="Z138" s="27">
        <v>8.09</v>
      </c>
      <c r="AA138" s="27">
        <v>8.09</v>
      </c>
      <c r="AB138" s="27">
        <v>8.09</v>
      </c>
      <c r="AC138" s="43">
        <v>0.07144</v>
      </c>
      <c r="AD138" s="44">
        <v>1</v>
      </c>
    </row>
    <row r="139" spans="1:30" ht="15">
      <c r="A139" s="25">
        <v>10451</v>
      </c>
      <c r="B139" s="25" t="s">
        <v>126</v>
      </c>
      <c r="C139" s="36">
        <f t="shared" si="12"/>
        <v>17303.547</v>
      </c>
      <c r="D139" s="36">
        <f t="shared" si="13"/>
        <v>21906.917999999998</v>
      </c>
      <c r="E139" s="36">
        <f t="shared" si="13"/>
        <v>21442.496</v>
      </c>
      <c r="F139" s="36">
        <f t="shared" si="13"/>
        <v>17710.589</v>
      </c>
      <c r="G139" s="36">
        <f t="shared" si="13"/>
        <v>15350.156</v>
      </c>
      <c r="H139" s="36">
        <f t="shared" si="13"/>
        <v>18324.987</v>
      </c>
      <c r="I139" s="36">
        <f t="shared" si="13"/>
        <v>14226.913</v>
      </c>
      <c r="J139" s="36">
        <f t="shared" si="13"/>
        <v>19711.492</v>
      </c>
      <c r="K139" s="36">
        <f t="shared" si="13"/>
        <v>21062.142</v>
      </c>
      <c r="L139" s="36">
        <f t="shared" si="13"/>
        <v>19997.551</v>
      </c>
      <c r="M139" s="36">
        <f t="shared" si="13"/>
        <v>19326.09</v>
      </c>
      <c r="N139" s="36">
        <f t="shared" si="13"/>
        <v>17859.322</v>
      </c>
      <c r="O139" s="37">
        <f t="shared" si="9"/>
        <v>224222.20299999998</v>
      </c>
      <c r="R139" s="25">
        <v>10451</v>
      </c>
      <c r="S139" s="25" t="s">
        <v>126</v>
      </c>
      <c r="T139" s="26">
        <v>0.0037997</v>
      </c>
      <c r="U139" s="26">
        <v>0.0037997</v>
      </c>
      <c r="V139" s="26">
        <v>0.0037997</v>
      </c>
      <c r="W139" s="26">
        <v>0.0037997</v>
      </c>
      <c r="X139" s="26">
        <v>0</v>
      </c>
      <c r="Y139" s="26">
        <v>0</v>
      </c>
      <c r="Z139" s="27">
        <v>25.596</v>
      </c>
      <c r="AA139" s="27">
        <v>25.596</v>
      </c>
      <c r="AB139" s="27">
        <v>25.596</v>
      </c>
      <c r="AC139" s="43">
        <v>0</v>
      </c>
      <c r="AD139" s="44">
        <v>0</v>
      </c>
    </row>
    <row r="140" spans="1:30" ht="15">
      <c r="A140" s="25">
        <v>10482</v>
      </c>
      <c r="B140" s="25" t="s">
        <v>127</v>
      </c>
      <c r="C140" s="36">
        <f t="shared" si="12"/>
        <v>1896.709</v>
      </c>
      <c r="D140" s="36">
        <f t="shared" si="13"/>
        <v>2401.303</v>
      </c>
      <c r="E140" s="36">
        <f t="shared" si="13"/>
        <v>2350.3959999999997</v>
      </c>
      <c r="F140" s="36">
        <f t="shared" si="13"/>
        <v>1941.327</v>
      </c>
      <c r="G140" s="36">
        <f t="shared" si="13"/>
        <v>1682.59</v>
      </c>
      <c r="H140" s="36">
        <f t="shared" si="13"/>
        <v>2008.674</v>
      </c>
      <c r="I140" s="36">
        <f t="shared" si="13"/>
        <v>1559.4679999999998</v>
      </c>
      <c r="J140" s="36">
        <f t="shared" si="13"/>
        <v>2160.654</v>
      </c>
      <c r="K140" s="36">
        <f t="shared" si="13"/>
        <v>2308.7039999999997</v>
      </c>
      <c r="L140" s="36">
        <f t="shared" si="13"/>
        <v>2192.0099999999998</v>
      </c>
      <c r="M140" s="36">
        <f t="shared" si="13"/>
        <v>2118.408</v>
      </c>
      <c r="N140" s="36">
        <f t="shared" si="13"/>
        <v>1957.6299999999999</v>
      </c>
      <c r="O140" s="37">
        <f t="shared" si="9"/>
        <v>24577.873</v>
      </c>
      <c r="R140" s="25">
        <v>10482</v>
      </c>
      <c r="S140" s="25" t="s">
        <v>127</v>
      </c>
      <c r="T140" s="26">
        <v>0.0004165</v>
      </c>
      <c r="U140" s="26">
        <v>0.0004165</v>
      </c>
      <c r="V140" s="26">
        <v>0.0004165</v>
      </c>
      <c r="W140" s="26">
        <v>0.0004165</v>
      </c>
      <c r="X140" s="26">
        <v>0</v>
      </c>
      <c r="Y140" s="26">
        <v>0</v>
      </c>
      <c r="Z140" s="27">
        <v>3.924</v>
      </c>
      <c r="AA140" s="27">
        <v>2.806</v>
      </c>
      <c r="AB140" s="27">
        <v>2.806</v>
      </c>
      <c r="AC140" s="43">
        <v>0</v>
      </c>
      <c r="AD140" s="44">
        <v>0</v>
      </c>
    </row>
    <row r="141" spans="1:30" ht="15">
      <c r="A141" s="25">
        <v>10502</v>
      </c>
      <c r="B141" s="25" t="s">
        <v>128</v>
      </c>
      <c r="C141" s="36">
        <f t="shared" si="12"/>
        <v>12063.801</v>
      </c>
      <c r="D141" s="36">
        <f t="shared" si="13"/>
        <v>15273.211</v>
      </c>
      <c r="E141" s="36">
        <f t="shared" si="13"/>
        <v>14949.421000000002</v>
      </c>
      <c r="F141" s="36">
        <f t="shared" si="13"/>
        <v>12347.586</v>
      </c>
      <c r="G141" s="36">
        <f t="shared" si="13"/>
        <v>10701.923999999999</v>
      </c>
      <c r="H141" s="36">
        <f t="shared" si="13"/>
        <v>12775.935</v>
      </c>
      <c r="I141" s="36">
        <f t="shared" si="13"/>
        <v>9918.814</v>
      </c>
      <c r="J141" s="36">
        <f t="shared" si="13"/>
        <v>13742.588</v>
      </c>
      <c r="K141" s="36">
        <f t="shared" si="13"/>
        <v>14684.244</v>
      </c>
      <c r="L141" s="36">
        <f t="shared" si="13"/>
        <v>13942.024000000001</v>
      </c>
      <c r="M141" s="36">
        <f t="shared" si="13"/>
        <v>13473.891</v>
      </c>
      <c r="N141" s="36">
        <f t="shared" si="13"/>
        <v>12451.280999999999</v>
      </c>
      <c r="O141" s="37">
        <f t="shared" si="9"/>
        <v>156324.72</v>
      </c>
      <c r="R141" s="25">
        <v>10502</v>
      </c>
      <c r="S141" s="25" t="s">
        <v>128</v>
      </c>
      <c r="T141" s="26">
        <v>0.0026491</v>
      </c>
      <c r="U141" s="26">
        <v>0.0026491</v>
      </c>
      <c r="V141" s="26">
        <v>0.0026491</v>
      </c>
      <c r="W141" s="26">
        <v>0.0026491</v>
      </c>
      <c r="X141" s="26">
        <v>0</v>
      </c>
      <c r="Y141" s="26">
        <v>0</v>
      </c>
      <c r="Z141" s="27">
        <v>17.845</v>
      </c>
      <c r="AA141" s="27">
        <v>17.845</v>
      </c>
      <c r="AB141" s="27">
        <v>17.845</v>
      </c>
      <c r="AC141" s="43">
        <v>0.07301</v>
      </c>
      <c r="AD141" s="44">
        <v>0</v>
      </c>
    </row>
    <row r="142" spans="1:30" ht="15">
      <c r="A142" s="25">
        <v>13927</v>
      </c>
      <c r="B142" s="25" t="s">
        <v>129</v>
      </c>
      <c r="C142" s="36">
        <f t="shared" si="12"/>
        <v>2588.45</v>
      </c>
      <c r="D142" s="36">
        <f t="shared" si="13"/>
        <v>3277.072</v>
      </c>
      <c r="E142" s="36">
        <f t="shared" si="13"/>
        <v>3207.599</v>
      </c>
      <c r="F142" s="36">
        <f t="shared" si="13"/>
        <v>2649.341</v>
      </c>
      <c r="G142" s="36">
        <f t="shared" si="13"/>
        <v>2296.242</v>
      </c>
      <c r="H142" s="36">
        <f t="shared" si="13"/>
        <v>2741.248</v>
      </c>
      <c r="I142" s="36">
        <f t="shared" si="13"/>
        <v>2128.215</v>
      </c>
      <c r="J142" s="36">
        <f t="shared" si="13"/>
        <v>2948.657</v>
      </c>
      <c r="K142" s="36">
        <f t="shared" si="13"/>
        <v>3150.702</v>
      </c>
      <c r="L142" s="36">
        <f t="shared" si="13"/>
        <v>2991.449</v>
      </c>
      <c r="M142" s="36">
        <f t="shared" si="13"/>
        <v>2891.004</v>
      </c>
      <c r="N142" s="36">
        <f t="shared" si="13"/>
        <v>2671.589</v>
      </c>
      <c r="O142" s="37">
        <f aca="true" t="shared" si="14" ref="O142:O146">SUM(C142:N142)</f>
        <v>33541.568</v>
      </c>
      <c r="R142" s="25">
        <v>13927</v>
      </c>
      <c r="S142" s="25" t="s">
        <v>129</v>
      </c>
      <c r="T142" s="26">
        <v>0.0005613</v>
      </c>
      <c r="U142" s="26">
        <v>0.0005684</v>
      </c>
      <c r="V142" s="26">
        <v>0.0005613</v>
      </c>
      <c r="W142" s="26">
        <v>0.0005684</v>
      </c>
      <c r="X142" s="26">
        <v>0</v>
      </c>
      <c r="Y142" s="26">
        <v>0</v>
      </c>
      <c r="Z142" s="27">
        <v>3.885</v>
      </c>
      <c r="AA142" s="27">
        <v>3.781</v>
      </c>
      <c r="AB142" s="27">
        <v>3.829</v>
      </c>
      <c r="AC142" s="43">
        <v>0</v>
      </c>
      <c r="AD142" s="44">
        <v>0</v>
      </c>
    </row>
    <row r="143" spans="1:30" ht="15">
      <c r="A143" s="25">
        <v>10597</v>
      </c>
      <c r="B143" s="25" t="s">
        <v>130</v>
      </c>
      <c r="C143" s="36">
        <f t="shared" si="12"/>
        <v>8324.574</v>
      </c>
      <c r="D143" s="36">
        <f t="shared" si="13"/>
        <v>10539.213</v>
      </c>
      <c r="E143" s="36">
        <f t="shared" si="13"/>
        <v>10315.783</v>
      </c>
      <c r="F143" s="36">
        <f t="shared" si="13"/>
        <v>8520.399</v>
      </c>
      <c r="G143" s="36">
        <f t="shared" si="13"/>
        <v>7384.817</v>
      </c>
      <c r="H143" s="36">
        <f t="shared" si="13"/>
        <v>8815.979</v>
      </c>
      <c r="I143" s="36">
        <f t="shared" si="13"/>
        <v>6844.434</v>
      </c>
      <c r="J143" s="36">
        <f t="shared" si="13"/>
        <v>9483.014</v>
      </c>
      <c r="K143" s="36">
        <f t="shared" si="13"/>
        <v>10132.799</v>
      </c>
      <c r="L143" s="36">
        <f t="shared" si="13"/>
        <v>9620.634</v>
      </c>
      <c r="M143" s="36">
        <f t="shared" si="13"/>
        <v>9297.600999999999</v>
      </c>
      <c r="N143" s="36">
        <f t="shared" si="13"/>
        <v>8591.952</v>
      </c>
      <c r="O143" s="37">
        <f t="shared" si="14"/>
        <v>107871.19900000001</v>
      </c>
      <c r="R143" s="25">
        <v>10597</v>
      </c>
      <c r="S143" s="25" t="s">
        <v>130</v>
      </c>
      <c r="T143" s="26">
        <v>0.001827</v>
      </c>
      <c r="U143" s="26">
        <v>0.001828</v>
      </c>
      <c r="V143" s="26">
        <v>0.001827</v>
      </c>
      <c r="W143" s="26">
        <v>0.001828</v>
      </c>
      <c r="X143" s="26">
        <v>0</v>
      </c>
      <c r="Y143" s="26">
        <v>0</v>
      </c>
      <c r="Z143" s="27">
        <v>12.341</v>
      </c>
      <c r="AA143" s="27">
        <v>12.307</v>
      </c>
      <c r="AB143" s="27">
        <v>12.314</v>
      </c>
      <c r="AC143" s="43">
        <v>0</v>
      </c>
      <c r="AD143" s="44">
        <v>0</v>
      </c>
    </row>
    <row r="144" spans="1:30" ht="15">
      <c r="A144" s="25">
        <v>10706</v>
      </c>
      <c r="B144" s="25" t="s">
        <v>131</v>
      </c>
      <c r="C144" s="36">
        <f t="shared" si="12"/>
        <v>11142.087</v>
      </c>
      <c r="D144" s="36">
        <f t="shared" si="13"/>
        <v>14106.286</v>
      </c>
      <c r="E144" s="36">
        <f t="shared" si="13"/>
        <v>13807.236</v>
      </c>
      <c r="F144" s="36">
        <f t="shared" si="13"/>
        <v>11404.189999999999</v>
      </c>
      <c r="G144" s="36">
        <f t="shared" si="13"/>
        <v>9884.261999999999</v>
      </c>
      <c r="H144" s="36">
        <f t="shared" si="13"/>
        <v>11799.812</v>
      </c>
      <c r="I144" s="36">
        <f t="shared" si="13"/>
        <v>9160.983</v>
      </c>
      <c r="J144" s="36">
        <f t="shared" si="13"/>
        <v>12692.61</v>
      </c>
      <c r="K144" s="36">
        <f t="shared" si="13"/>
        <v>13562.319</v>
      </c>
      <c r="L144" s="36">
        <f t="shared" si="13"/>
        <v>12876.807999999999</v>
      </c>
      <c r="M144" s="36">
        <f t="shared" si="13"/>
        <v>12444.442000000001</v>
      </c>
      <c r="N144" s="36">
        <f t="shared" si="13"/>
        <v>11499.961</v>
      </c>
      <c r="O144" s="37">
        <f t="shared" si="14"/>
        <v>144380.996</v>
      </c>
      <c r="R144" s="25">
        <v>10706</v>
      </c>
      <c r="S144" s="25" t="s">
        <v>131</v>
      </c>
      <c r="T144" s="26">
        <v>0.0024467</v>
      </c>
      <c r="U144" s="26">
        <v>0.0024467</v>
      </c>
      <c r="V144" s="26">
        <v>0.0024467</v>
      </c>
      <c r="W144" s="26">
        <v>0.0024467</v>
      </c>
      <c r="X144" s="26">
        <v>0</v>
      </c>
      <c r="Y144" s="26">
        <v>0</v>
      </c>
      <c r="Z144" s="27">
        <v>16.482</v>
      </c>
      <c r="AA144" s="27">
        <v>16.482</v>
      </c>
      <c r="AB144" s="27">
        <v>16.482</v>
      </c>
      <c r="AC144" s="43">
        <v>0</v>
      </c>
      <c r="AD144" s="44">
        <v>0</v>
      </c>
    </row>
    <row r="145" spans="1:30" ht="15">
      <c r="A145" s="25">
        <v>11680</v>
      </c>
      <c r="B145" s="25" t="s">
        <v>132</v>
      </c>
      <c r="C145" s="36">
        <f>ROUND(C$3*$W145,3)+ROUND(C$4*$W145,3)</f>
        <v>4081.227</v>
      </c>
      <c r="D145" s="36">
        <f t="shared" si="13"/>
        <v>5166.981</v>
      </c>
      <c r="E145" s="36">
        <f t="shared" si="13"/>
        <v>5057.443</v>
      </c>
      <c r="F145" s="36">
        <f t="shared" si="13"/>
        <v>4177.233</v>
      </c>
      <c r="G145" s="36">
        <f t="shared" si="13"/>
        <v>3620.499</v>
      </c>
      <c r="H145" s="36">
        <f t="shared" si="13"/>
        <v>4322.144</v>
      </c>
      <c r="I145" s="36">
        <f t="shared" si="13"/>
        <v>3355.5699999999997</v>
      </c>
      <c r="J145" s="36">
        <f t="shared" si="13"/>
        <v>4649.1669999999995</v>
      </c>
      <c r="K145" s="36">
        <f t="shared" si="13"/>
        <v>4967.732</v>
      </c>
      <c r="L145" s="36">
        <f t="shared" si="13"/>
        <v>4716.637000000001</v>
      </c>
      <c r="M145" s="36">
        <f t="shared" si="13"/>
        <v>4558.265</v>
      </c>
      <c r="N145" s="36">
        <f t="shared" si="13"/>
        <v>4212.313</v>
      </c>
      <c r="O145" s="37">
        <f t="shared" si="14"/>
        <v>52885.211</v>
      </c>
      <c r="R145" s="25">
        <v>11680</v>
      </c>
      <c r="S145" s="25" t="s">
        <v>132</v>
      </c>
      <c r="T145" s="26">
        <v>0.0008962</v>
      </c>
      <c r="U145" s="26">
        <v>0.0008962</v>
      </c>
      <c r="V145" s="26">
        <v>0.0008962</v>
      </c>
      <c r="W145" s="26">
        <v>0.0008962</v>
      </c>
      <c r="X145" s="26">
        <v>0</v>
      </c>
      <c r="Y145" s="26">
        <v>0</v>
      </c>
      <c r="Z145" s="27">
        <v>6.037</v>
      </c>
      <c r="AA145" s="27">
        <v>6.037</v>
      </c>
      <c r="AB145" s="27">
        <v>6.037</v>
      </c>
      <c r="AC145" s="43">
        <v>0</v>
      </c>
      <c r="AD145" s="44">
        <v>0</v>
      </c>
    </row>
    <row r="146" spans="1:30" ht="15">
      <c r="A146" s="25">
        <v>12026</v>
      </c>
      <c r="B146" s="25" t="s">
        <v>133</v>
      </c>
      <c r="C146" s="36">
        <f t="shared" si="12"/>
        <v>29130.544</v>
      </c>
      <c r="D146" s="36">
        <f t="shared" si="13"/>
        <v>36880.326</v>
      </c>
      <c r="E146" s="36">
        <f t="shared" si="13"/>
        <v>36098.471000000005</v>
      </c>
      <c r="F146" s="36">
        <f t="shared" si="13"/>
        <v>29815.802</v>
      </c>
      <c r="G146" s="36">
        <f t="shared" si="13"/>
        <v>25842.008</v>
      </c>
      <c r="H146" s="36">
        <f t="shared" si="13"/>
        <v>30850.14</v>
      </c>
      <c r="I146" s="36">
        <f t="shared" si="13"/>
        <v>23951.027000000002</v>
      </c>
      <c r="J146" s="36">
        <f t="shared" si="13"/>
        <v>33184.324</v>
      </c>
      <c r="K146" s="36">
        <f t="shared" si="13"/>
        <v>35458.144</v>
      </c>
      <c r="L146" s="36">
        <f t="shared" si="13"/>
        <v>33665.902</v>
      </c>
      <c r="M146" s="36">
        <f t="shared" si="13"/>
        <v>32535.498</v>
      </c>
      <c r="N146" s="36">
        <f t="shared" si="13"/>
        <v>30066.192</v>
      </c>
      <c r="O146" s="37">
        <f t="shared" si="14"/>
        <v>377478.378</v>
      </c>
      <c r="R146" s="25">
        <v>12026</v>
      </c>
      <c r="S146" s="25" t="s">
        <v>133</v>
      </c>
      <c r="T146" s="26">
        <v>0.0063968</v>
      </c>
      <c r="U146" s="26">
        <v>0.0063968</v>
      </c>
      <c r="V146" s="26">
        <v>0.0063968</v>
      </c>
      <c r="W146" s="26">
        <v>0.0063968</v>
      </c>
      <c r="X146" s="26">
        <v>0</v>
      </c>
      <c r="Y146" s="26">
        <v>0</v>
      </c>
      <c r="Z146" s="27">
        <v>43.091</v>
      </c>
      <c r="AA146" s="27">
        <v>43.091</v>
      </c>
      <c r="AB146" s="27">
        <v>43.091</v>
      </c>
      <c r="AC146" s="43">
        <v>0</v>
      </c>
      <c r="AD146" s="44">
        <v>0</v>
      </c>
    </row>
    <row r="147" spans="1:29" ht="15">
      <c r="A147" s="25"/>
      <c r="B147" s="2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7"/>
      <c r="R147" s="25">
        <v>10298</v>
      </c>
      <c r="S147" s="25" t="s">
        <v>153</v>
      </c>
      <c r="T147" s="26">
        <v>0.0615935</v>
      </c>
      <c r="U147" s="26">
        <v>0.08521630000000001</v>
      </c>
      <c r="V147" s="26">
        <v>0.0615935</v>
      </c>
      <c r="W147" s="26">
        <v>0.08521630000000001</v>
      </c>
      <c r="X147" s="26">
        <v>0</v>
      </c>
      <c r="Y147" s="26">
        <v>0</v>
      </c>
      <c r="Z147" s="27">
        <v>574.513</v>
      </c>
      <c r="AA147" s="27">
        <v>414.916</v>
      </c>
      <c r="AB147" s="27">
        <v>574.048</v>
      </c>
      <c r="AC147" s="28"/>
    </row>
    <row r="148" spans="18:29" ht="15">
      <c r="R148" s="25" t="s">
        <v>174</v>
      </c>
      <c r="S148" s="25"/>
      <c r="AC148" s="28"/>
    </row>
    <row r="149" spans="18:29" ht="15">
      <c r="R149" s="25"/>
      <c r="X149" s="42"/>
      <c r="AC149" s="28"/>
    </row>
    <row r="150" ht="15">
      <c r="X150" s="41"/>
    </row>
  </sheetData>
  <printOptions/>
  <pageMargins left="0.25" right="0.25" top="0.75" bottom="0.75" header="0.3" footer="0.3"/>
  <pageSetup fitToHeight="1" fitToWidth="1" horizontalDpi="600" verticalDpi="600" orientation="landscape" scale="71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4"/>
  <sheetViews>
    <sheetView view="pageBreakPreview" zoomScale="110" zoomScaleSheetLayoutView="110" workbookViewId="0" topLeftCell="A1">
      <selection activeCell="L17" sqref="L17"/>
    </sheetView>
  </sheetViews>
  <sheetFormatPr defaultColWidth="9.140625" defaultRowHeight="15"/>
  <cols>
    <col min="1" max="1" width="3.8515625" style="22" customWidth="1"/>
    <col min="2" max="2" width="6.00390625" style="21" bestFit="1" customWidth="1"/>
    <col min="3" max="3" width="26.57421875" style="21" customWidth="1"/>
    <col min="4" max="4" width="10.7109375" style="21" customWidth="1"/>
    <col min="5" max="14" width="10.7109375" style="0" customWidth="1"/>
    <col min="15" max="15" width="8.00390625" style="0" bestFit="1" customWidth="1"/>
    <col min="16" max="16" width="11.8515625" style="0" bestFit="1" customWidth="1"/>
  </cols>
  <sheetData>
    <row r="1" spans="1:2" ht="15">
      <c r="A1" s="39" t="s">
        <v>180</v>
      </c>
      <c r="B1" s="20"/>
    </row>
    <row r="2" spans="1:8" ht="15">
      <c r="A2" s="20" t="s">
        <v>158</v>
      </c>
      <c r="B2" s="20"/>
      <c r="D2" s="31"/>
      <c r="E2" s="35"/>
      <c r="F2" s="35"/>
      <c r="G2" s="35"/>
      <c r="H2" s="35"/>
    </row>
    <row r="3" spans="1:8" ht="15">
      <c r="A3" s="20"/>
      <c r="B3" s="20"/>
      <c r="D3" s="31"/>
      <c r="E3" s="35"/>
      <c r="F3" s="35"/>
      <c r="G3" s="35"/>
      <c r="H3" s="35"/>
    </row>
    <row r="4" spans="2:14" ht="15">
      <c r="B4" s="23" t="s">
        <v>0</v>
      </c>
      <c r="C4" s="23" t="s">
        <v>1</v>
      </c>
      <c r="D4" s="24">
        <v>44896</v>
      </c>
      <c r="E4" s="24">
        <v>44927</v>
      </c>
      <c r="F4" s="24">
        <v>44958</v>
      </c>
      <c r="G4" s="24">
        <v>44986</v>
      </c>
      <c r="H4" s="24">
        <v>45017</v>
      </c>
      <c r="I4" s="24">
        <v>45047</v>
      </c>
      <c r="J4" s="24">
        <v>45078</v>
      </c>
      <c r="K4" s="24">
        <v>45108</v>
      </c>
      <c r="L4" s="24">
        <v>45139</v>
      </c>
      <c r="M4" s="24">
        <v>45170</v>
      </c>
      <c r="N4" s="24" t="s">
        <v>136</v>
      </c>
    </row>
    <row r="5" spans="2:16" ht="15">
      <c r="B5" s="25">
        <f>'Sum of Billing Determinants'!A13</f>
        <v>10005</v>
      </c>
      <c r="C5" s="25" t="str">
        <f>'Sum of Billing Determinants'!B13</f>
        <v>Alder Mutual</v>
      </c>
      <c r="D5" s="29">
        <f>ROUND('Sum of Billing Determinants'!E13*-1*'Rate Calculations'!$G$9*(1-'Sum of Billing Determinants'!$AC13),0)</f>
        <v>-4128</v>
      </c>
      <c r="E5" s="29">
        <f>ROUND('Sum of Billing Determinants'!F13*-1*'Rate Calculations'!$G$9*(1-'Sum of Billing Determinants'!$AC13),0)</f>
        <v>-3409</v>
      </c>
      <c r="F5" s="29">
        <f>ROUND('Sum of Billing Determinants'!G13*-1*'Rate Calculations'!$G$9*(1-'Sum of Billing Determinants'!$AC13),0)</f>
        <v>-2955</v>
      </c>
      <c r="G5" s="29">
        <f>ROUND('Sum of Billing Determinants'!H13*-1*'Rate Calculations'!$G$9*(1-'Sum of Billing Determinants'!$AC13),0)</f>
        <v>-3528</v>
      </c>
      <c r="H5" s="29">
        <f>ROUND('Sum of Billing Determinants'!I13*-1*'Rate Calculations'!$G$9*(1-'Sum of Billing Determinants'!$AC13),0)</f>
        <v>-2739</v>
      </c>
      <c r="I5" s="29">
        <f>ROUND('Sum of Billing Determinants'!J13*-1*'Rate Calculations'!$G$9*(1-'Sum of Billing Determinants'!$AC13),0)</f>
        <v>-3795</v>
      </c>
      <c r="J5" s="29">
        <f>ROUND('Sum of Billing Determinants'!K13*-1*'Rate Calculations'!$G$9*(1-'Sum of Billing Determinants'!$AC13),0)</f>
        <v>-4055</v>
      </c>
      <c r="K5" s="29">
        <f>ROUND('Sum of Billing Determinants'!L13*-1*'Rate Calculations'!$G$9*(1-'Sum of Billing Determinants'!$AC13),0)</f>
        <v>-3850</v>
      </c>
      <c r="L5" s="29">
        <f>ROUND('Sum of Billing Determinants'!M13*-1*'Rate Calculations'!$G$9*(1-'Sum of Billing Determinants'!$AC13),0)</f>
        <v>-3720</v>
      </c>
      <c r="M5" s="29">
        <f>ROUND('Sum of Billing Determinants'!N13*-1*'Rate Calculations'!$G$9*(1-'Sum of Billing Determinants'!$AC13),0)</f>
        <v>-3438</v>
      </c>
      <c r="N5" s="29">
        <f>SUM(D5:M5)</f>
        <v>-35617</v>
      </c>
      <c r="P5" s="13"/>
    </row>
    <row r="6" spans="2:16" ht="15">
      <c r="B6" s="25">
        <f>'Sum of Billing Determinants'!A14</f>
        <v>10015</v>
      </c>
      <c r="C6" s="25" t="str">
        <f>'Sum of Billing Determinants'!B14</f>
        <v>Asotin County PUD #1</v>
      </c>
      <c r="D6" s="29">
        <f>ROUND('Sum of Billing Determinants'!E14*-1*'Rate Calculations'!$G$9*(1-'Sum of Billing Determinants'!$AC14),0)</f>
        <v>-4399</v>
      </c>
      <c r="E6" s="29">
        <f>ROUND('Sum of Billing Determinants'!F14*-1*'Rate Calculations'!$G$9*(1-'Sum of Billing Determinants'!$AC14),0)</f>
        <v>-3633</v>
      </c>
      <c r="F6" s="29">
        <f>ROUND('Sum of Billing Determinants'!G14*-1*'Rate Calculations'!$G$9*(1-'Sum of Billing Determinants'!$AC14),0)</f>
        <v>-3149</v>
      </c>
      <c r="G6" s="29">
        <f>ROUND('Sum of Billing Determinants'!H14*-1*'Rate Calculations'!$G$9*(1-'Sum of Billing Determinants'!$AC14),0)</f>
        <v>-3759</v>
      </c>
      <c r="H6" s="29">
        <f>ROUND('Sum of Billing Determinants'!I14*-1*'Rate Calculations'!$G$9*(1-'Sum of Billing Determinants'!$AC14),0)</f>
        <v>-2919</v>
      </c>
      <c r="I6" s="29">
        <f>ROUND('Sum of Billing Determinants'!J14*-1*'Rate Calculations'!$G$9*(1-'Sum of Billing Determinants'!$AC14),0)</f>
        <v>-4044</v>
      </c>
      <c r="J6" s="29">
        <f>ROUND('Sum of Billing Determinants'!K14*-1*'Rate Calculations'!$G$9*(1-'Sum of Billing Determinants'!$AC14),0)</f>
        <v>-4321</v>
      </c>
      <c r="K6" s="29">
        <f>ROUND('Sum of Billing Determinants'!L14*-1*'Rate Calculations'!$G$9*(1-'Sum of Billing Determinants'!$AC14),0)</f>
        <v>-4103</v>
      </c>
      <c r="L6" s="29">
        <f>ROUND('Sum of Billing Determinants'!M14*-1*'Rate Calculations'!$G$9*(1-'Sum of Billing Determinants'!$AC14),0)</f>
        <v>-3965</v>
      </c>
      <c r="M6" s="29">
        <f>ROUND('Sum of Billing Determinants'!N14*-1*'Rate Calculations'!$G$9*(1-'Sum of Billing Determinants'!$AC14),0)</f>
        <v>-3664</v>
      </c>
      <c r="N6" s="29">
        <f aca="true" t="shared" si="0" ref="N6:N69">SUM(D6:M6)</f>
        <v>-37956</v>
      </c>
      <c r="P6" s="38"/>
    </row>
    <row r="7" spans="2:14" ht="15">
      <c r="B7" s="25">
        <f>'Sum of Billing Determinants'!A15</f>
        <v>10024</v>
      </c>
      <c r="C7" s="25" t="str">
        <f>'Sum of Billing Determinants'!B15</f>
        <v>Benton County PUD #1</v>
      </c>
      <c r="D7" s="29">
        <f>ROUND('Sum of Billing Determinants'!E15*-1*'Rate Calculations'!$G$9*(1-'Sum of Billing Determinants'!$AC15),0)</f>
        <v>-800297</v>
      </c>
      <c r="E7" s="29">
        <f>ROUND('Sum of Billing Determinants'!F15*-1*'Rate Calculations'!$G$9*(1-'Sum of Billing Determinants'!$AC15),0)</f>
        <v>-661011</v>
      </c>
      <c r="F7" s="29">
        <f>ROUND('Sum of Billing Determinants'!G15*-1*'Rate Calculations'!$G$9*(1-'Sum of Billing Determinants'!$AC15),0)</f>
        <v>-572913</v>
      </c>
      <c r="G7" s="29">
        <f>ROUND('Sum of Billing Determinants'!H15*-1*'Rate Calculations'!$G$9*(1-'Sum of Billing Determinants'!$AC15),0)</f>
        <v>-683943</v>
      </c>
      <c r="H7" s="29">
        <f>ROUND('Sum of Billing Determinants'!I15*-1*'Rate Calculations'!$G$9*(1-'Sum of Billing Determinants'!$AC15),0)</f>
        <v>-530990</v>
      </c>
      <c r="I7" s="29">
        <f>ROUND('Sum of Billing Determinants'!J15*-1*'Rate Calculations'!$G$9*(1-'Sum of Billing Determinants'!$AC15),0)</f>
        <v>-735691</v>
      </c>
      <c r="J7" s="29">
        <f>ROUND('Sum of Billing Determinants'!K15*-1*'Rate Calculations'!$G$9*(1-'Sum of Billing Determinants'!$AC15),0)</f>
        <v>-786101</v>
      </c>
      <c r="K7" s="29">
        <f>ROUND('Sum of Billing Determinants'!L15*-1*'Rate Calculations'!$G$9*(1-'Sum of Billing Determinants'!$AC15),0)</f>
        <v>-746368</v>
      </c>
      <c r="L7" s="29">
        <f>ROUND('Sum of Billing Determinants'!M15*-1*'Rate Calculations'!$G$9*(1-'Sum of Billing Determinants'!$AC15),0)</f>
        <v>-721307</v>
      </c>
      <c r="M7" s="29">
        <f>ROUND('Sum of Billing Determinants'!N15*-1*'Rate Calculations'!$G$9*(1-'Sum of Billing Determinants'!$AC15),0)</f>
        <v>-666563</v>
      </c>
      <c r="N7" s="29">
        <f t="shared" si="0"/>
        <v>-6905184</v>
      </c>
    </row>
    <row r="8" spans="2:14" ht="15">
      <c r="B8" s="25">
        <f>'Sum of Billing Determinants'!A16</f>
        <v>10025</v>
      </c>
      <c r="C8" s="25" t="str">
        <f>'Sum of Billing Determinants'!B16</f>
        <v>Benton REA</v>
      </c>
      <c r="D8" s="29">
        <f>ROUND('Sum of Billing Determinants'!E16*-1*'Rate Calculations'!$G$9*(1-'Sum of Billing Determinants'!$AC16),0)</f>
        <v>-427874</v>
      </c>
      <c r="E8" s="29">
        <f>ROUND('Sum of Billing Determinants'!F16*-1*'Rate Calculations'!$G$9*(1-'Sum of Billing Determinants'!$AC16),0)</f>
        <v>-353406</v>
      </c>
      <c r="F8" s="29">
        <f>ROUND('Sum of Billing Determinants'!G16*-1*'Rate Calculations'!$G$9*(1-'Sum of Billing Determinants'!$AC16),0)</f>
        <v>-306305</v>
      </c>
      <c r="G8" s="29">
        <f>ROUND('Sum of Billing Determinants'!H16*-1*'Rate Calculations'!$G$9*(1-'Sum of Billing Determinants'!$AC16),0)</f>
        <v>-365666</v>
      </c>
      <c r="H8" s="29">
        <f>ROUND('Sum of Billing Determinants'!I16*-1*'Rate Calculations'!$G$9*(1-'Sum of Billing Determinants'!$AC16),0)</f>
        <v>-283891</v>
      </c>
      <c r="I8" s="29">
        <f>ROUND('Sum of Billing Determinants'!J16*-1*'Rate Calculations'!$G$9*(1-'Sum of Billing Determinants'!$AC16),0)</f>
        <v>-393333</v>
      </c>
      <c r="J8" s="29">
        <f>ROUND('Sum of Billing Determinants'!K16*-1*'Rate Calculations'!$G$9*(1-'Sum of Billing Determinants'!$AC16),0)</f>
        <v>-420285</v>
      </c>
      <c r="K8" s="29">
        <f>ROUND('Sum of Billing Determinants'!L16*-1*'Rate Calculations'!$G$9*(1-'Sum of Billing Determinants'!$AC16),0)</f>
        <v>-399041</v>
      </c>
      <c r="L8" s="29">
        <f>ROUND('Sum of Billing Determinants'!M16*-1*'Rate Calculations'!$G$9*(1-'Sum of Billing Determinants'!$AC16),0)</f>
        <v>-385643</v>
      </c>
      <c r="M8" s="29">
        <f>ROUND('Sum of Billing Determinants'!N16*-1*'Rate Calculations'!$G$9*(1-'Sum of Billing Determinants'!$AC16),0)</f>
        <v>-356374</v>
      </c>
      <c r="N8" s="29">
        <f t="shared" si="0"/>
        <v>-3691818</v>
      </c>
    </row>
    <row r="9" spans="2:14" ht="15">
      <c r="B9" s="25">
        <f>'Sum of Billing Determinants'!A17</f>
        <v>10027</v>
      </c>
      <c r="C9" s="25" t="str">
        <f>'Sum of Billing Determinants'!B17</f>
        <v>Big Bend Elec Coop</v>
      </c>
      <c r="D9" s="29">
        <f>ROUND('Sum of Billing Determinants'!E17*-1*'Rate Calculations'!$G$9*(1-'Sum of Billing Determinants'!$AC17),0)</f>
        <v>-431961</v>
      </c>
      <c r="E9" s="29">
        <f>ROUND('Sum of Billing Determinants'!F17*-1*'Rate Calculations'!$G$9*(1-'Sum of Billing Determinants'!$AC17),0)</f>
        <v>-356781</v>
      </c>
      <c r="F9" s="29">
        <f>ROUND('Sum of Billing Determinants'!G17*-1*'Rate Calculations'!$G$9*(1-'Sum of Billing Determinants'!$AC17),0)</f>
        <v>-309230</v>
      </c>
      <c r="G9" s="29">
        <f>ROUND('Sum of Billing Determinants'!H17*-1*'Rate Calculations'!$G$9*(1-'Sum of Billing Determinants'!$AC17),0)</f>
        <v>-369158</v>
      </c>
      <c r="H9" s="29">
        <f>ROUND('Sum of Billing Determinants'!I17*-1*'Rate Calculations'!$G$9*(1-'Sum of Billing Determinants'!$AC17),0)</f>
        <v>-286602</v>
      </c>
      <c r="I9" s="29">
        <f>ROUND('Sum of Billing Determinants'!J17*-1*'Rate Calculations'!$G$9*(1-'Sum of Billing Determinants'!$AC17),0)</f>
        <v>-397090</v>
      </c>
      <c r="J9" s="29">
        <f>ROUND('Sum of Billing Determinants'!K17*-1*'Rate Calculations'!$G$9*(1-'Sum of Billing Determinants'!$AC17),0)</f>
        <v>-424299</v>
      </c>
      <c r="K9" s="29">
        <f>ROUND('Sum of Billing Determinants'!L17*-1*'Rate Calculations'!$G$9*(1-'Sum of Billing Determinants'!$AC17),0)</f>
        <v>-402852</v>
      </c>
      <c r="L9" s="29">
        <f>ROUND('Sum of Billing Determinants'!M17*-1*'Rate Calculations'!$G$9*(1-'Sum of Billing Determinants'!$AC17),0)</f>
        <v>-389326</v>
      </c>
      <c r="M9" s="29">
        <f>ROUND('Sum of Billing Determinants'!N17*-1*'Rate Calculations'!$G$9*(1-'Sum of Billing Determinants'!$AC17),0)</f>
        <v>-359778</v>
      </c>
      <c r="N9" s="29">
        <f t="shared" si="0"/>
        <v>-3727077</v>
      </c>
    </row>
    <row r="10" spans="2:14" ht="15">
      <c r="B10" s="25">
        <f>'Sum of Billing Determinants'!A18</f>
        <v>10029</v>
      </c>
      <c r="C10" s="25" t="str">
        <f>'Sum of Billing Determinants'!B18</f>
        <v>Blachly Lane Elec Coop</v>
      </c>
      <c r="D10" s="29">
        <f>ROUND('Sum of Billing Determinants'!E18*-1*'Rate Calculations'!$G$9*(1-'Sum of Billing Determinants'!$AC18),0)</f>
        <v>-123456</v>
      </c>
      <c r="E10" s="29">
        <f>ROUND('Sum of Billing Determinants'!F18*-1*'Rate Calculations'!$G$9*(1-'Sum of Billing Determinants'!$AC18),0)</f>
        <v>-101970</v>
      </c>
      <c r="F10" s="29">
        <f>ROUND('Sum of Billing Determinants'!G18*-1*'Rate Calculations'!$G$9*(1-'Sum of Billing Determinants'!$AC18),0)</f>
        <v>-88379</v>
      </c>
      <c r="G10" s="29">
        <f>ROUND('Sum of Billing Determinants'!H18*-1*'Rate Calculations'!$G$9*(1-'Sum of Billing Determinants'!$AC18),0)</f>
        <v>-105507</v>
      </c>
      <c r="H10" s="29">
        <f>ROUND('Sum of Billing Determinants'!I18*-1*'Rate Calculations'!$G$9*(1-'Sum of Billing Determinants'!$AC18),0)</f>
        <v>-81912</v>
      </c>
      <c r="I10" s="29">
        <f>ROUND('Sum of Billing Determinants'!J18*-1*'Rate Calculations'!$G$9*(1-'Sum of Billing Determinants'!$AC18),0)</f>
        <v>-113490</v>
      </c>
      <c r="J10" s="29">
        <f>ROUND('Sum of Billing Determinants'!K18*-1*'Rate Calculations'!$G$9*(1-'Sum of Billing Determinants'!$AC18),0)</f>
        <v>-121266</v>
      </c>
      <c r="K10" s="29">
        <f>ROUND('Sum of Billing Determinants'!L18*-1*'Rate Calculations'!$G$9*(1-'Sum of Billing Determinants'!$AC18),0)</f>
        <v>-115137</v>
      </c>
      <c r="L10" s="29">
        <f>ROUND('Sum of Billing Determinants'!M18*-1*'Rate Calculations'!$G$9*(1-'Sum of Billing Determinants'!$AC18),0)</f>
        <v>-111271</v>
      </c>
      <c r="M10" s="29">
        <f>ROUND('Sum of Billing Determinants'!N18*-1*'Rate Calculations'!$G$9*(1-'Sum of Billing Determinants'!$AC18),0)</f>
        <v>-102826</v>
      </c>
      <c r="N10" s="29">
        <f t="shared" si="0"/>
        <v>-1065214</v>
      </c>
    </row>
    <row r="11" spans="2:14" ht="15">
      <c r="B11" s="25">
        <f>'Sum of Billing Determinants'!A19</f>
        <v>10044</v>
      </c>
      <c r="C11" s="25" t="str">
        <f>'Sum of Billing Determinants'!B19</f>
        <v>Canby, City of</v>
      </c>
      <c r="D11" s="29">
        <f>ROUND('Sum of Billing Determinants'!E19*-1*'Rate Calculations'!$G$9*(1-'Sum of Billing Determinants'!$AC19),0)</f>
        <v>-155801</v>
      </c>
      <c r="E11" s="29">
        <f>ROUND('Sum of Billing Determinants'!F19*-1*'Rate Calculations'!$G$9*(1-'Sum of Billing Determinants'!$AC19),0)</f>
        <v>-128685</v>
      </c>
      <c r="F11" s="29">
        <f>ROUND('Sum of Billing Determinants'!G19*-1*'Rate Calculations'!$G$9*(1-'Sum of Billing Determinants'!$AC19),0)</f>
        <v>-111534</v>
      </c>
      <c r="G11" s="29">
        <f>ROUND('Sum of Billing Determinants'!H19*-1*'Rate Calculations'!$G$9*(1-'Sum of Billing Determinants'!$AC19),0)</f>
        <v>-133149</v>
      </c>
      <c r="H11" s="29">
        <f>ROUND('Sum of Billing Determinants'!I19*-1*'Rate Calculations'!$G$9*(1-'Sum of Billing Determinants'!$AC19),0)</f>
        <v>-103373</v>
      </c>
      <c r="I11" s="29">
        <f>ROUND('Sum of Billing Determinants'!J19*-1*'Rate Calculations'!$G$9*(1-'Sum of Billing Determinants'!$AC19),0)</f>
        <v>-143224</v>
      </c>
      <c r="J11" s="29">
        <f>ROUND('Sum of Billing Determinants'!K19*-1*'Rate Calculations'!$G$9*(1-'Sum of Billing Determinants'!$AC19),0)</f>
        <v>-153038</v>
      </c>
      <c r="K11" s="29">
        <f>ROUND('Sum of Billing Determinants'!L19*-1*'Rate Calculations'!$G$9*(1-'Sum of Billing Determinants'!$AC19),0)</f>
        <v>-145302</v>
      </c>
      <c r="L11" s="29">
        <f>ROUND('Sum of Billing Determinants'!M19*-1*'Rate Calculations'!$G$9*(1-'Sum of Billing Determinants'!$AC19),0)</f>
        <v>-140423</v>
      </c>
      <c r="M11" s="29">
        <f>ROUND('Sum of Billing Determinants'!N19*-1*'Rate Calculations'!$G$9*(1-'Sum of Billing Determinants'!$AC19),0)</f>
        <v>-129766</v>
      </c>
      <c r="N11" s="29">
        <f t="shared" si="0"/>
        <v>-1344295</v>
      </c>
    </row>
    <row r="12" spans="2:14" ht="15">
      <c r="B12" s="25">
        <f>'Sum of Billing Determinants'!A20</f>
        <v>10046</v>
      </c>
      <c r="C12" s="25" t="str">
        <f>'Sum of Billing Determinants'!B20</f>
        <v>Central Electric Coop</v>
      </c>
      <c r="D12" s="29">
        <f>ROUND('Sum of Billing Determinants'!E20*-1*'Rate Calculations'!$G$9*(1-'Sum of Billing Determinants'!$AC20),0)</f>
        <v>-576983</v>
      </c>
      <c r="E12" s="29">
        <f>ROUND('Sum of Billing Determinants'!F20*-1*'Rate Calculations'!$G$9*(1-'Sum of Billing Determinants'!$AC20),0)</f>
        <v>-476563</v>
      </c>
      <c r="F12" s="29">
        <f>ROUND('Sum of Billing Determinants'!G20*-1*'Rate Calculations'!$G$9*(1-'Sum of Billing Determinants'!$AC20),0)</f>
        <v>-413048</v>
      </c>
      <c r="G12" s="29">
        <f>ROUND('Sum of Billing Determinants'!H20*-1*'Rate Calculations'!$G$9*(1-'Sum of Billing Determinants'!$AC20),0)</f>
        <v>-493096</v>
      </c>
      <c r="H12" s="29">
        <f>ROUND('Sum of Billing Determinants'!I20*-1*'Rate Calculations'!$G$9*(1-'Sum of Billing Determinants'!$AC20),0)</f>
        <v>-382823</v>
      </c>
      <c r="I12" s="29">
        <f>ROUND('Sum of Billing Determinants'!J20*-1*'Rate Calculations'!$G$9*(1-'Sum of Billing Determinants'!$AC20),0)</f>
        <v>-530404</v>
      </c>
      <c r="J12" s="29">
        <f>ROUND('Sum of Billing Determinants'!K20*-1*'Rate Calculations'!$G$9*(1-'Sum of Billing Determinants'!$AC20),0)</f>
        <v>-566748</v>
      </c>
      <c r="K12" s="29">
        <f>ROUND('Sum of Billing Determinants'!L20*-1*'Rate Calculations'!$G$9*(1-'Sum of Billing Determinants'!$AC20),0)</f>
        <v>-538102</v>
      </c>
      <c r="L12" s="29">
        <f>ROUND('Sum of Billing Determinants'!M20*-1*'Rate Calculations'!$G$9*(1-'Sum of Billing Determinants'!$AC20),0)</f>
        <v>-520034</v>
      </c>
      <c r="M12" s="29">
        <f>ROUND('Sum of Billing Determinants'!N20*-1*'Rate Calculations'!$G$9*(1-'Sum of Billing Determinants'!$AC20),0)</f>
        <v>-480565</v>
      </c>
      <c r="N12" s="29">
        <f t="shared" si="0"/>
        <v>-4978366</v>
      </c>
    </row>
    <row r="13" spans="2:14" ht="15">
      <c r="B13" s="25">
        <f>'Sum of Billing Determinants'!A21</f>
        <v>10047</v>
      </c>
      <c r="C13" s="25" t="str">
        <f>'Sum of Billing Determinants'!B21</f>
        <v>Central Lincoln PUD</v>
      </c>
      <c r="D13" s="29">
        <f>ROUND('Sum of Billing Determinants'!E21*-1*'Rate Calculations'!$G$9*(1-'Sum of Billing Determinants'!$AC21),0)</f>
        <v>-1201900</v>
      </c>
      <c r="E13" s="29">
        <f>ROUND('Sum of Billing Determinants'!F21*-1*'Rate Calculations'!$G$9*(1-'Sum of Billing Determinants'!$AC21),0)</f>
        <v>-992719</v>
      </c>
      <c r="F13" s="29">
        <f>ROUND('Sum of Billing Determinants'!G21*-1*'Rate Calculations'!$G$9*(1-'Sum of Billing Determinants'!$AC21),0)</f>
        <v>-860411</v>
      </c>
      <c r="G13" s="29">
        <f>ROUND('Sum of Billing Determinants'!H21*-1*'Rate Calculations'!$G$9*(1-'Sum of Billing Determinants'!$AC21),0)</f>
        <v>-1027157</v>
      </c>
      <c r="H13" s="29">
        <f>ROUND('Sum of Billing Determinants'!I21*-1*'Rate Calculations'!$G$9*(1-'Sum of Billing Determinants'!$AC21),0)</f>
        <v>-797451</v>
      </c>
      <c r="I13" s="29">
        <f>ROUND('Sum of Billing Determinants'!J21*-1*'Rate Calculations'!$G$9*(1-'Sum of Billing Determinants'!$AC21),0)</f>
        <v>-1104874</v>
      </c>
      <c r="J13" s="29">
        <f>ROUND('Sum of Billing Determinants'!K21*-1*'Rate Calculations'!$G$9*(1-'Sum of Billing Determinants'!$AC21),0)</f>
        <v>-1180581</v>
      </c>
      <c r="K13" s="29">
        <f>ROUND('Sum of Billing Determinants'!L21*-1*'Rate Calculations'!$G$9*(1-'Sum of Billing Determinants'!$AC21),0)</f>
        <v>-1120908</v>
      </c>
      <c r="L13" s="29">
        <f>ROUND('Sum of Billing Determinants'!M21*-1*'Rate Calculations'!$G$9*(1-'Sum of Billing Determinants'!$AC21),0)</f>
        <v>-1083271</v>
      </c>
      <c r="M13" s="29">
        <f>ROUND('Sum of Billing Determinants'!N21*-1*'Rate Calculations'!$G$9*(1-'Sum of Billing Determinants'!$AC21),0)</f>
        <v>-1001055</v>
      </c>
      <c r="N13" s="29">
        <f>SUM(D13:M13)</f>
        <v>-10370327</v>
      </c>
    </row>
    <row r="14" spans="2:14" ht="15">
      <c r="B14" s="25">
        <f>'Sum of Billing Determinants'!A22</f>
        <v>10055</v>
      </c>
      <c r="C14" s="25" t="str">
        <f>'Sum of Billing Determinants'!B22</f>
        <v>Albion, City of</v>
      </c>
      <c r="D14" s="29">
        <f>ROUND('Sum of Billing Determinants'!E22*-1*'Rate Calculations'!$G$9*(1-'Sum of Billing Determinants'!$AC22),0)</f>
        <v>-3055</v>
      </c>
      <c r="E14" s="29">
        <f>ROUND('Sum of Billing Determinants'!F22*-1*'Rate Calculations'!$G$9*(1-'Sum of Billing Determinants'!$AC22),0)</f>
        <v>-2524</v>
      </c>
      <c r="F14" s="29">
        <f>ROUND('Sum of Billing Determinants'!G22*-1*'Rate Calculations'!$G$9*(1-'Sum of Billing Determinants'!$AC22),0)</f>
        <v>-2187</v>
      </c>
      <c r="G14" s="29">
        <f>ROUND('Sum of Billing Determinants'!H22*-1*'Rate Calculations'!$G$9*(1-'Sum of Billing Determinants'!$AC22),0)</f>
        <v>-2611</v>
      </c>
      <c r="H14" s="29">
        <f>ROUND('Sum of Billing Determinants'!I22*-1*'Rate Calculations'!$G$9*(1-'Sum of Billing Determinants'!$AC22),0)</f>
        <v>-2027</v>
      </c>
      <c r="I14" s="29">
        <f>ROUND('Sum of Billing Determinants'!J22*-1*'Rate Calculations'!$G$9*(1-'Sum of Billing Determinants'!$AC22),0)</f>
        <v>-2809</v>
      </c>
      <c r="J14" s="29">
        <f>ROUND('Sum of Billing Determinants'!K22*-1*'Rate Calculations'!$G$9*(1-'Sum of Billing Determinants'!$AC22),0)</f>
        <v>-3001</v>
      </c>
      <c r="K14" s="29">
        <f>ROUND('Sum of Billing Determinants'!L22*-1*'Rate Calculations'!$G$9*(1-'Sum of Billing Determinants'!$AC22),0)</f>
        <v>-2850</v>
      </c>
      <c r="L14" s="29">
        <f>ROUND('Sum of Billing Determinants'!M22*-1*'Rate Calculations'!$G$9*(1-'Sum of Billing Determinants'!$AC22),0)</f>
        <v>-2754</v>
      </c>
      <c r="M14" s="29">
        <f>ROUND('Sum of Billing Determinants'!N22*-1*'Rate Calculations'!$G$9*(1-'Sum of Billing Determinants'!$AC22),0)</f>
        <v>-2545</v>
      </c>
      <c r="N14" s="29">
        <f t="shared" si="0"/>
        <v>-26363</v>
      </c>
    </row>
    <row r="15" spans="2:14" ht="15">
      <c r="B15" s="25">
        <f>'Sum of Billing Determinants'!A23</f>
        <v>10057</v>
      </c>
      <c r="C15" s="25" t="str">
        <f>'Sum of Billing Determinants'!B23</f>
        <v>Ashland, City of</v>
      </c>
      <c r="D15" s="29">
        <f>ROUND('Sum of Billing Determinants'!E23*-1*'Rate Calculations'!$G$9*(1-'Sum of Billing Determinants'!$AC23),0)</f>
        <v>-160650</v>
      </c>
      <c r="E15" s="29">
        <f>ROUND('Sum of Billing Determinants'!F23*-1*'Rate Calculations'!$G$9*(1-'Sum of Billing Determinants'!$AC23),0)</f>
        <v>-132690</v>
      </c>
      <c r="F15" s="29">
        <f>ROUND('Sum of Billing Determinants'!G23*-1*'Rate Calculations'!$G$9*(1-'Sum of Billing Determinants'!$AC23),0)</f>
        <v>-115005</v>
      </c>
      <c r="G15" s="29">
        <f>ROUND('Sum of Billing Determinants'!H23*-1*'Rate Calculations'!$G$9*(1-'Sum of Billing Determinants'!$AC23),0)</f>
        <v>-137293</v>
      </c>
      <c r="H15" s="29">
        <f>ROUND('Sum of Billing Determinants'!I23*-1*'Rate Calculations'!$G$9*(1-'Sum of Billing Determinants'!$AC23),0)</f>
        <v>-106590</v>
      </c>
      <c r="I15" s="29">
        <f>ROUND('Sum of Billing Determinants'!J23*-1*'Rate Calculations'!$G$9*(1-'Sum of Billing Determinants'!$AC23),0)</f>
        <v>-147681</v>
      </c>
      <c r="J15" s="29">
        <f>ROUND('Sum of Billing Determinants'!K23*-1*'Rate Calculations'!$G$9*(1-'Sum of Billing Determinants'!$AC23),0)</f>
        <v>-157800</v>
      </c>
      <c r="K15" s="29">
        <f>ROUND('Sum of Billing Determinants'!L23*-1*'Rate Calculations'!$G$9*(1-'Sum of Billing Determinants'!$AC23),0)</f>
        <v>-149824</v>
      </c>
      <c r="L15" s="29">
        <f>ROUND('Sum of Billing Determinants'!M23*-1*'Rate Calculations'!$G$9*(1-'Sum of Billing Determinants'!$AC23),0)</f>
        <v>-144794</v>
      </c>
      <c r="M15" s="29">
        <f>ROUND('Sum of Billing Determinants'!N23*-1*'Rate Calculations'!$G$9*(1-'Sum of Billing Determinants'!$AC23),0)</f>
        <v>-133804</v>
      </c>
      <c r="N15" s="29">
        <f t="shared" si="0"/>
        <v>-1386131</v>
      </c>
    </row>
    <row r="16" spans="2:14" ht="15">
      <c r="B16" s="25">
        <f>'Sum of Billing Determinants'!A24</f>
        <v>10059</v>
      </c>
      <c r="C16" s="25" t="str">
        <f>'Sum of Billing Determinants'!B24</f>
        <v>Bandon, City of</v>
      </c>
      <c r="D16" s="29">
        <f>ROUND('Sum of Billing Determinants'!E24*-1*'Rate Calculations'!$G$9*(1-'Sum of Billing Determinants'!$AC24),0)</f>
        <v>-58601</v>
      </c>
      <c r="E16" s="29">
        <f>ROUND('Sum of Billing Determinants'!F24*-1*'Rate Calculations'!$G$9*(1-'Sum of Billing Determinants'!$AC24),0)</f>
        <v>-48402</v>
      </c>
      <c r="F16" s="29">
        <f>ROUND('Sum of Billing Determinants'!G24*-1*'Rate Calculations'!$G$9*(1-'Sum of Billing Determinants'!$AC24),0)</f>
        <v>-41951</v>
      </c>
      <c r="G16" s="29">
        <f>ROUND('Sum of Billing Determinants'!H24*-1*'Rate Calculations'!$G$9*(1-'Sum of Billing Determinants'!$AC24),0)</f>
        <v>-50081</v>
      </c>
      <c r="H16" s="29">
        <f>ROUND('Sum of Billing Determinants'!I24*-1*'Rate Calculations'!$G$9*(1-'Sum of Billing Determinants'!$AC24),0)</f>
        <v>-38881</v>
      </c>
      <c r="I16" s="29">
        <f>ROUND('Sum of Billing Determinants'!J24*-1*'Rate Calculations'!$G$9*(1-'Sum of Billing Determinants'!$AC24),0)</f>
        <v>-53870</v>
      </c>
      <c r="J16" s="29">
        <f>ROUND('Sum of Billing Determinants'!K24*-1*'Rate Calculations'!$G$9*(1-'Sum of Billing Determinants'!$AC24),0)</f>
        <v>-57561</v>
      </c>
      <c r="K16" s="29">
        <f>ROUND('Sum of Billing Determinants'!L24*-1*'Rate Calculations'!$G$9*(1-'Sum of Billing Determinants'!$AC24),0)</f>
        <v>-54652</v>
      </c>
      <c r="L16" s="29">
        <f>ROUND('Sum of Billing Determinants'!M24*-1*'Rate Calculations'!$G$9*(1-'Sum of Billing Determinants'!$AC24),0)</f>
        <v>-52817</v>
      </c>
      <c r="M16" s="29">
        <f>ROUND('Sum of Billing Determinants'!N24*-1*'Rate Calculations'!$G$9*(1-'Sum of Billing Determinants'!$AC24),0)</f>
        <v>-48808</v>
      </c>
      <c r="N16" s="29">
        <f t="shared" si="0"/>
        <v>-505624</v>
      </c>
    </row>
    <row r="17" spans="2:14" ht="15">
      <c r="B17" s="25">
        <f>'Sum of Billing Determinants'!A25</f>
        <v>10061</v>
      </c>
      <c r="C17" s="25" t="str">
        <f>'Sum of Billing Determinants'!B25</f>
        <v>Blaine, City of</v>
      </c>
      <c r="D17" s="29">
        <f>ROUND('Sum of Billing Determinants'!E25*-1*'Rate Calculations'!$G$9*(1-'Sum of Billing Determinants'!$AC25),0)</f>
        <v>-67095</v>
      </c>
      <c r="E17" s="29">
        <f>ROUND('Sum of Billing Determinants'!F25*-1*'Rate Calculations'!$G$9*(1-'Sum of Billing Determinants'!$AC25),0)</f>
        <v>-55418</v>
      </c>
      <c r="F17" s="29">
        <f>ROUND('Sum of Billing Determinants'!G25*-1*'Rate Calculations'!$G$9*(1-'Sum of Billing Determinants'!$AC25),0)</f>
        <v>-48032</v>
      </c>
      <c r="G17" s="29">
        <f>ROUND('Sum of Billing Determinants'!H25*-1*'Rate Calculations'!$G$9*(1-'Sum of Billing Determinants'!$AC25),0)</f>
        <v>-57341</v>
      </c>
      <c r="H17" s="29">
        <f>ROUND('Sum of Billing Determinants'!I25*-1*'Rate Calculations'!$G$9*(1-'Sum of Billing Determinants'!$AC25),0)</f>
        <v>-44517</v>
      </c>
      <c r="I17" s="29">
        <f>ROUND('Sum of Billing Determinants'!J25*-1*'Rate Calculations'!$G$9*(1-'Sum of Billing Determinants'!$AC25),0)</f>
        <v>-61679</v>
      </c>
      <c r="J17" s="29">
        <f>ROUND('Sum of Billing Determinants'!K25*-1*'Rate Calculations'!$G$9*(1-'Sum of Billing Determinants'!$AC25),0)</f>
        <v>-65905</v>
      </c>
      <c r="K17" s="29">
        <f>ROUND('Sum of Billing Determinants'!L25*-1*'Rate Calculations'!$G$9*(1-'Sum of Billing Determinants'!$AC25),0)</f>
        <v>-62574</v>
      </c>
      <c r="L17" s="29">
        <f>ROUND('Sum of Billing Determinants'!M25*-1*'Rate Calculations'!$G$9*(1-'Sum of Billing Determinants'!$AC25),0)</f>
        <v>-60473</v>
      </c>
      <c r="M17" s="29">
        <f>ROUND('Sum of Billing Determinants'!N25*-1*'Rate Calculations'!$G$9*(1-'Sum of Billing Determinants'!$AC25),0)</f>
        <v>-55883</v>
      </c>
      <c r="N17" s="29">
        <f t="shared" si="0"/>
        <v>-578917</v>
      </c>
    </row>
    <row r="18" spans="2:14" ht="15">
      <c r="B18" s="25">
        <f>'Sum of Billing Determinants'!A26</f>
        <v>10062</v>
      </c>
      <c r="C18" s="25" t="str">
        <f>'Sum of Billing Determinants'!B26</f>
        <v>Bonners Ferry, City of</v>
      </c>
      <c r="D18" s="29">
        <f>ROUND('Sum of Billing Determinants'!E26*-1*'Rate Calculations'!$G$9*(1-'Sum of Billing Determinants'!$AC26),0)</f>
        <v>-40804</v>
      </c>
      <c r="E18" s="29">
        <f>ROUND('Sum of Billing Determinants'!F26*-1*'Rate Calculations'!$G$9*(1-'Sum of Billing Determinants'!$AC26),0)</f>
        <v>-33703</v>
      </c>
      <c r="F18" s="29">
        <f>ROUND('Sum of Billing Determinants'!G26*-1*'Rate Calculations'!$G$9*(1-'Sum of Billing Determinants'!$AC26),0)</f>
        <v>-29211</v>
      </c>
      <c r="G18" s="29">
        <f>ROUND('Sum of Billing Determinants'!H26*-1*'Rate Calculations'!$G$9*(1-'Sum of Billing Determinants'!$AC26),0)</f>
        <v>-34872</v>
      </c>
      <c r="H18" s="29">
        <f>ROUND('Sum of Billing Determinants'!I26*-1*'Rate Calculations'!$G$9*(1-'Sum of Billing Determinants'!$AC26),0)</f>
        <v>-27073</v>
      </c>
      <c r="I18" s="29">
        <f>ROUND('Sum of Billing Determinants'!J26*-1*'Rate Calculations'!$G$9*(1-'Sum of Billing Determinants'!$AC26),0)</f>
        <v>-37510</v>
      </c>
      <c r="J18" s="29">
        <f>ROUND('Sum of Billing Determinants'!K26*-1*'Rate Calculations'!$G$9*(1-'Sum of Billing Determinants'!$AC26),0)</f>
        <v>-40081</v>
      </c>
      <c r="K18" s="29">
        <f>ROUND('Sum of Billing Determinants'!L26*-1*'Rate Calculations'!$G$9*(1-'Sum of Billing Determinants'!$AC26),0)</f>
        <v>-38055</v>
      </c>
      <c r="L18" s="29">
        <f>ROUND('Sum of Billing Determinants'!M26*-1*'Rate Calculations'!$G$9*(1-'Sum of Billing Determinants'!$AC26),0)</f>
        <v>-36777</v>
      </c>
      <c r="M18" s="29">
        <f>ROUND('Sum of Billing Determinants'!N26*-1*'Rate Calculations'!$G$9*(1-'Sum of Billing Determinants'!$AC26),0)</f>
        <v>-33986</v>
      </c>
      <c r="N18" s="29">
        <f t="shared" si="0"/>
        <v>-352072</v>
      </c>
    </row>
    <row r="19" spans="2:14" ht="15">
      <c r="B19" s="25">
        <f>'Sum of Billing Determinants'!A27</f>
        <v>10064</v>
      </c>
      <c r="C19" s="25" t="str">
        <f>'Sum of Billing Determinants'!B27</f>
        <v>Burley, City of</v>
      </c>
      <c r="D19" s="29">
        <f>ROUND('Sum of Billing Determinants'!E27*-1*'Rate Calculations'!$G$9*(1-'Sum of Billing Determinants'!$AC27),0)</f>
        <v>-107895</v>
      </c>
      <c r="E19" s="29">
        <f>ROUND('Sum of Billing Determinants'!F27*-1*'Rate Calculations'!$G$9*(1-'Sum of Billing Determinants'!$AC27),0)</f>
        <v>-89116</v>
      </c>
      <c r="F19" s="29">
        <f>ROUND('Sum of Billing Determinants'!G27*-1*'Rate Calculations'!$G$9*(1-'Sum of Billing Determinants'!$AC27),0)</f>
        <v>-77239</v>
      </c>
      <c r="G19" s="29">
        <f>ROUND('Sum of Billing Determinants'!H27*-1*'Rate Calculations'!$G$9*(1-'Sum of Billing Determinants'!$AC27),0)</f>
        <v>-92208</v>
      </c>
      <c r="H19" s="29">
        <f>ROUND('Sum of Billing Determinants'!I27*-1*'Rate Calculations'!$G$9*(1-'Sum of Billing Determinants'!$AC27),0)</f>
        <v>-71587</v>
      </c>
      <c r="I19" s="29">
        <f>ROUND('Sum of Billing Determinants'!J27*-1*'Rate Calculations'!$G$9*(1-'Sum of Billing Determinants'!$AC27),0)</f>
        <v>-99184</v>
      </c>
      <c r="J19" s="29">
        <f>ROUND('Sum of Billing Determinants'!K27*-1*'Rate Calculations'!$G$9*(1-'Sum of Billing Determinants'!$AC27),0)</f>
        <v>-105981</v>
      </c>
      <c r="K19" s="29">
        <f>ROUND('Sum of Billing Determinants'!L27*-1*'Rate Calculations'!$G$9*(1-'Sum of Billing Determinants'!$AC27),0)</f>
        <v>-100624</v>
      </c>
      <c r="L19" s="29">
        <f>ROUND('Sum of Billing Determinants'!M27*-1*'Rate Calculations'!$G$9*(1-'Sum of Billing Determinants'!$AC27),0)</f>
        <v>-97245</v>
      </c>
      <c r="M19" s="29">
        <f>ROUND('Sum of Billing Determinants'!N27*-1*'Rate Calculations'!$G$9*(1-'Sum of Billing Determinants'!$AC27),0)</f>
        <v>-89865</v>
      </c>
      <c r="N19" s="29">
        <f t="shared" si="0"/>
        <v>-930944</v>
      </c>
    </row>
    <row r="20" spans="2:14" ht="15">
      <c r="B20" s="25">
        <f>'Sum of Billing Determinants'!A28</f>
        <v>10065</v>
      </c>
      <c r="C20" s="25" t="str">
        <f>'Sum of Billing Determinants'!B28</f>
        <v>Cascade Locks, City of</v>
      </c>
      <c r="D20" s="29">
        <f>ROUND('Sum of Billing Determinants'!E28*-1*'Rate Calculations'!$G$9*(1-'Sum of Billing Determinants'!$AC28),0)</f>
        <v>-16829</v>
      </c>
      <c r="E20" s="29">
        <f>ROUND('Sum of Billing Determinants'!F28*-1*'Rate Calculations'!$G$9*(1-'Sum of Billing Determinants'!$AC28),0)</f>
        <v>-13900</v>
      </c>
      <c r="F20" s="29">
        <f>ROUND('Sum of Billing Determinants'!G28*-1*'Rate Calculations'!$G$9*(1-'Sum of Billing Determinants'!$AC28),0)</f>
        <v>-12047</v>
      </c>
      <c r="G20" s="29">
        <f>ROUND('Sum of Billing Determinants'!H28*-1*'Rate Calculations'!$G$9*(1-'Sum of Billing Determinants'!$AC28),0)</f>
        <v>-14382</v>
      </c>
      <c r="H20" s="29">
        <f>ROUND('Sum of Billing Determinants'!I28*-1*'Rate Calculations'!$G$9*(1-'Sum of Billing Determinants'!$AC28),0)</f>
        <v>-11166</v>
      </c>
      <c r="I20" s="29">
        <f>ROUND('Sum of Billing Determinants'!J28*-1*'Rate Calculations'!$G$9*(1-'Sum of Billing Determinants'!$AC28),0)</f>
        <v>-15470</v>
      </c>
      <c r="J20" s="29">
        <f>ROUND('Sum of Billing Determinants'!K28*-1*'Rate Calculations'!$G$9*(1-'Sum of Billing Determinants'!$AC28),0)</f>
        <v>-16530</v>
      </c>
      <c r="K20" s="29">
        <f>ROUND('Sum of Billing Determinants'!L28*-1*'Rate Calculations'!$G$9*(1-'Sum of Billing Determinants'!$AC28),0)</f>
        <v>-15695</v>
      </c>
      <c r="L20" s="29">
        <f>ROUND('Sum of Billing Determinants'!M28*-1*'Rate Calculations'!$G$9*(1-'Sum of Billing Determinants'!$AC28),0)</f>
        <v>-15168</v>
      </c>
      <c r="M20" s="29">
        <f>ROUND('Sum of Billing Determinants'!N28*-1*'Rate Calculations'!$G$9*(1-'Sum of Billing Determinants'!$AC28),0)</f>
        <v>-14017</v>
      </c>
      <c r="N20" s="29">
        <f t="shared" si="0"/>
        <v>-145204</v>
      </c>
    </row>
    <row r="21" spans="2:14" ht="15">
      <c r="B21" s="25">
        <f>'Sum of Billing Determinants'!A29</f>
        <v>10066</v>
      </c>
      <c r="C21" s="25" t="str">
        <f>'Sum of Billing Determinants'!B29</f>
        <v>Centralia, City of</v>
      </c>
      <c r="D21" s="29">
        <f>ROUND('Sum of Billing Determinants'!E29*-1*'Rate Calculations'!$G$9*(1-'Sum of Billing Determinants'!$AC29),0)</f>
        <v>-186963</v>
      </c>
      <c r="E21" s="29">
        <f>ROUND('Sum of Billing Determinants'!F29*-1*'Rate Calculations'!$G$9*(1-'Sum of Billing Determinants'!$AC29),0)</f>
        <v>-154423</v>
      </c>
      <c r="F21" s="29">
        <f>ROUND('Sum of Billing Determinants'!G29*-1*'Rate Calculations'!$G$9*(1-'Sum of Billing Determinants'!$AC29),0)</f>
        <v>-133842</v>
      </c>
      <c r="G21" s="29">
        <f>ROUND('Sum of Billing Determinants'!H29*-1*'Rate Calculations'!$G$9*(1-'Sum of Billing Determinants'!$AC29),0)</f>
        <v>-159780</v>
      </c>
      <c r="H21" s="29">
        <f>ROUND('Sum of Billing Determinants'!I29*-1*'Rate Calculations'!$G$9*(1-'Sum of Billing Determinants'!$AC29),0)</f>
        <v>-124048</v>
      </c>
      <c r="I21" s="29">
        <f>ROUND('Sum of Billing Determinants'!J29*-1*'Rate Calculations'!$G$9*(1-'Sum of Billing Determinants'!$AC29),0)</f>
        <v>-171870</v>
      </c>
      <c r="J21" s="29">
        <f>ROUND('Sum of Billing Determinants'!K29*-1*'Rate Calculations'!$G$9*(1-'Sum of Billing Determinants'!$AC29),0)</f>
        <v>-183646</v>
      </c>
      <c r="K21" s="29">
        <f>ROUND('Sum of Billing Determinants'!L29*-1*'Rate Calculations'!$G$9*(1-'Sum of Billing Determinants'!$AC29),0)</f>
        <v>-174364</v>
      </c>
      <c r="L21" s="29">
        <f>ROUND('Sum of Billing Determinants'!M29*-1*'Rate Calculations'!$G$9*(1-'Sum of Billing Determinants'!$AC29),0)</f>
        <v>-168509</v>
      </c>
      <c r="M21" s="29">
        <f>ROUND('Sum of Billing Determinants'!N29*-1*'Rate Calculations'!$G$9*(1-'Sum of Billing Determinants'!$AC29),0)</f>
        <v>-155720</v>
      </c>
      <c r="N21" s="29">
        <f t="shared" si="0"/>
        <v>-1613165</v>
      </c>
    </row>
    <row r="22" spans="2:14" ht="15">
      <c r="B22" s="25">
        <f>'Sum of Billing Determinants'!A30</f>
        <v>10067</v>
      </c>
      <c r="C22" s="25" t="str">
        <f>'Sum of Billing Determinants'!B30</f>
        <v>Cheney, City of</v>
      </c>
      <c r="D22" s="29">
        <f>ROUND('Sum of Billing Determinants'!E30*-1*'Rate Calculations'!$G$9*(1-'Sum of Billing Determinants'!$AC30),0)</f>
        <v>-121341</v>
      </c>
      <c r="E22" s="29">
        <f>ROUND('Sum of Billing Determinants'!F30*-1*'Rate Calculations'!$G$9*(1-'Sum of Billing Determinants'!$AC30),0)</f>
        <v>-100222</v>
      </c>
      <c r="F22" s="29">
        <f>ROUND('Sum of Billing Determinants'!G30*-1*'Rate Calculations'!$G$9*(1-'Sum of Billing Determinants'!$AC30),0)</f>
        <v>-86865</v>
      </c>
      <c r="G22" s="29">
        <f>ROUND('Sum of Billing Determinants'!H30*-1*'Rate Calculations'!$G$9*(1-'Sum of Billing Determinants'!$AC30),0)</f>
        <v>-103699</v>
      </c>
      <c r="H22" s="29">
        <f>ROUND('Sum of Billing Determinants'!I30*-1*'Rate Calculations'!$G$9*(1-'Sum of Billing Determinants'!$AC30),0)</f>
        <v>-80509</v>
      </c>
      <c r="I22" s="29">
        <f>ROUND('Sum of Billing Determinants'!J30*-1*'Rate Calculations'!$G$9*(1-'Sum of Billing Determinants'!$AC30),0)</f>
        <v>-111545</v>
      </c>
      <c r="J22" s="29">
        <f>ROUND('Sum of Billing Determinants'!K30*-1*'Rate Calculations'!$G$9*(1-'Sum of Billing Determinants'!$AC30),0)</f>
        <v>-119188</v>
      </c>
      <c r="K22" s="29">
        <f>ROUND('Sum of Billing Determinants'!L30*-1*'Rate Calculations'!$G$9*(1-'Sum of Billing Determinants'!$AC30),0)</f>
        <v>-113164</v>
      </c>
      <c r="L22" s="29">
        <f>ROUND('Sum of Billing Determinants'!M30*-1*'Rate Calculations'!$G$9*(1-'Sum of Billing Determinants'!$AC30),0)</f>
        <v>-109364</v>
      </c>
      <c r="M22" s="29">
        <f>ROUND('Sum of Billing Determinants'!N30*-1*'Rate Calculations'!$G$9*(1-'Sum of Billing Determinants'!$AC30),0)</f>
        <v>-101064</v>
      </c>
      <c r="N22" s="29">
        <f t="shared" si="0"/>
        <v>-1046961</v>
      </c>
    </row>
    <row r="23" spans="2:14" ht="15">
      <c r="B23" s="25">
        <f>'Sum of Billing Determinants'!A31</f>
        <v>10068</v>
      </c>
      <c r="C23" s="25" t="str">
        <f>'Sum of Billing Determinants'!B31</f>
        <v>Chewelah, City of</v>
      </c>
      <c r="D23" s="29">
        <f>ROUND('Sum of Billing Determinants'!E31*-1*'Rate Calculations'!$G$9*(1-'Sum of Billing Determinants'!$AC31),0)</f>
        <v>-20863</v>
      </c>
      <c r="E23" s="29">
        <f>ROUND('Sum of Billing Determinants'!F31*-1*'Rate Calculations'!$G$9*(1-'Sum of Billing Determinants'!$AC31),0)</f>
        <v>-17232</v>
      </c>
      <c r="F23" s="29">
        <f>ROUND('Sum of Billing Determinants'!G31*-1*'Rate Calculations'!$G$9*(1-'Sum of Billing Determinants'!$AC31),0)</f>
        <v>-14935</v>
      </c>
      <c r="G23" s="29">
        <f>ROUND('Sum of Billing Determinants'!H31*-1*'Rate Calculations'!$G$9*(1-'Sum of Billing Determinants'!$AC31),0)</f>
        <v>-17829</v>
      </c>
      <c r="H23" s="29">
        <f>ROUND('Sum of Billing Determinants'!I31*-1*'Rate Calculations'!$G$9*(1-'Sum of Billing Determinants'!$AC31),0)</f>
        <v>-13842</v>
      </c>
      <c r="I23" s="29">
        <f>ROUND('Sum of Billing Determinants'!J31*-1*'Rate Calculations'!$G$9*(1-'Sum of Billing Determinants'!$AC31),0)</f>
        <v>-19179</v>
      </c>
      <c r="J23" s="29">
        <f>ROUND('Sum of Billing Determinants'!K31*-1*'Rate Calculations'!$G$9*(1-'Sum of Billing Determinants'!$AC31),0)</f>
        <v>-20493</v>
      </c>
      <c r="K23" s="29">
        <f>ROUND('Sum of Billing Determinants'!L31*-1*'Rate Calculations'!$G$9*(1-'Sum of Billing Determinants'!$AC31),0)</f>
        <v>-19457</v>
      </c>
      <c r="L23" s="29">
        <f>ROUND('Sum of Billing Determinants'!M31*-1*'Rate Calculations'!$G$9*(1-'Sum of Billing Determinants'!$AC31),0)</f>
        <v>-18804</v>
      </c>
      <c r="M23" s="29">
        <f>ROUND('Sum of Billing Determinants'!N31*-1*'Rate Calculations'!$G$9*(1-'Sum of Billing Determinants'!$AC31),0)</f>
        <v>-17376</v>
      </c>
      <c r="N23" s="29">
        <f t="shared" si="0"/>
        <v>-180010</v>
      </c>
    </row>
    <row r="24" spans="2:14" ht="15">
      <c r="B24" s="25">
        <f>'Sum of Billing Determinants'!A32</f>
        <v>10070</v>
      </c>
      <c r="C24" s="25" t="str">
        <f>'Sum of Billing Determinants'!B32</f>
        <v>Declo, City of</v>
      </c>
      <c r="D24" s="29">
        <f>ROUND('Sum of Billing Determinants'!E32*-1*'Rate Calculations'!$G$9*(1-'Sum of Billing Determinants'!$AC32),0)</f>
        <v>-2752</v>
      </c>
      <c r="E24" s="29">
        <f>ROUND('Sum of Billing Determinants'!F32*-1*'Rate Calculations'!$G$9*(1-'Sum of Billing Determinants'!$AC32),0)</f>
        <v>-2273</v>
      </c>
      <c r="F24" s="29">
        <f>ROUND('Sum of Billing Determinants'!G32*-1*'Rate Calculations'!$G$9*(1-'Sum of Billing Determinants'!$AC32),0)</f>
        <v>-1970</v>
      </c>
      <c r="G24" s="29">
        <f>ROUND('Sum of Billing Determinants'!H32*-1*'Rate Calculations'!$G$9*(1-'Sum of Billing Determinants'!$AC32),0)</f>
        <v>-2352</v>
      </c>
      <c r="H24" s="29">
        <f>ROUND('Sum of Billing Determinants'!I32*-1*'Rate Calculations'!$G$9*(1-'Sum of Billing Determinants'!$AC32),0)</f>
        <v>-1826</v>
      </c>
      <c r="I24" s="29">
        <f>ROUND('Sum of Billing Determinants'!J32*-1*'Rate Calculations'!$G$9*(1-'Sum of Billing Determinants'!$AC32),0)</f>
        <v>-2530</v>
      </c>
      <c r="J24" s="29">
        <f>ROUND('Sum of Billing Determinants'!K32*-1*'Rate Calculations'!$G$9*(1-'Sum of Billing Determinants'!$AC32),0)</f>
        <v>-2703</v>
      </c>
      <c r="K24" s="29">
        <f>ROUND('Sum of Billing Determinants'!L32*-1*'Rate Calculations'!$G$9*(1-'Sum of Billing Determinants'!$AC32),0)</f>
        <v>-2567</v>
      </c>
      <c r="L24" s="29">
        <f>ROUND('Sum of Billing Determinants'!M32*-1*'Rate Calculations'!$G$9*(1-'Sum of Billing Determinants'!$AC32),0)</f>
        <v>-2480</v>
      </c>
      <c r="M24" s="29">
        <f>ROUND('Sum of Billing Determinants'!N32*-1*'Rate Calculations'!$G$9*(1-'Sum of Billing Determinants'!$AC32),0)</f>
        <v>-2292</v>
      </c>
      <c r="N24" s="29">
        <f t="shared" si="0"/>
        <v>-23745</v>
      </c>
    </row>
    <row r="25" spans="2:14" ht="15">
      <c r="B25" s="25">
        <f>'Sum of Billing Determinants'!A33</f>
        <v>10071</v>
      </c>
      <c r="C25" s="25" t="str">
        <f>'Sum of Billing Determinants'!B33</f>
        <v>Drain, City of</v>
      </c>
      <c r="D25" s="29">
        <f>ROUND('Sum of Billing Determinants'!E33*-1*'Rate Calculations'!$G$9*(1-'Sum of Billing Determinants'!$AC33),0)</f>
        <v>-14687</v>
      </c>
      <c r="E25" s="29">
        <f>ROUND('Sum of Billing Determinants'!F33*-1*'Rate Calculations'!$G$9*(1-'Sum of Billing Determinants'!$AC33),0)</f>
        <v>-12131</v>
      </c>
      <c r="F25" s="29">
        <f>ROUND('Sum of Billing Determinants'!G33*-1*'Rate Calculations'!$G$9*(1-'Sum of Billing Determinants'!$AC33),0)</f>
        <v>-10514</v>
      </c>
      <c r="G25" s="29">
        <f>ROUND('Sum of Billing Determinants'!H33*-1*'Rate Calculations'!$G$9*(1-'Sum of Billing Determinants'!$AC33),0)</f>
        <v>-12551</v>
      </c>
      <c r="H25" s="29">
        <f>ROUND('Sum of Billing Determinants'!I33*-1*'Rate Calculations'!$G$9*(1-'Sum of Billing Determinants'!$AC33),0)</f>
        <v>-9745</v>
      </c>
      <c r="I25" s="29">
        <f>ROUND('Sum of Billing Determinants'!J33*-1*'Rate Calculations'!$G$9*(1-'Sum of Billing Determinants'!$AC33),0)</f>
        <v>-13501</v>
      </c>
      <c r="J25" s="29">
        <f>ROUND('Sum of Billing Determinants'!K33*-1*'Rate Calculations'!$G$9*(1-'Sum of Billing Determinants'!$AC33),0)</f>
        <v>-14426</v>
      </c>
      <c r="K25" s="29">
        <f>ROUND('Sum of Billing Determinants'!L33*-1*'Rate Calculations'!$G$9*(1-'Sum of Billing Determinants'!$AC33),0)</f>
        <v>-13697</v>
      </c>
      <c r="L25" s="29">
        <f>ROUND('Sum of Billing Determinants'!M33*-1*'Rate Calculations'!$G$9*(1-'Sum of Billing Determinants'!$AC33),0)</f>
        <v>-13237</v>
      </c>
      <c r="M25" s="29">
        <f>ROUND('Sum of Billing Determinants'!N33*-1*'Rate Calculations'!$G$9*(1-'Sum of Billing Determinants'!$AC33),0)</f>
        <v>-12233</v>
      </c>
      <c r="N25" s="29">
        <f t="shared" si="0"/>
        <v>-126722</v>
      </c>
    </row>
    <row r="26" spans="2:14" ht="15">
      <c r="B26" s="25">
        <f>'Sum of Billing Determinants'!A34</f>
        <v>10072</v>
      </c>
      <c r="C26" s="25" t="str">
        <f>'Sum of Billing Determinants'!B34</f>
        <v>Ellensburg, City of</v>
      </c>
      <c r="D26" s="29">
        <f>ROUND('Sum of Billing Determinants'!E34*-1*'Rate Calculations'!$G$9*(1-'Sum of Billing Determinants'!$AC34),0)</f>
        <v>-183978</v>
      </c>
      <c r="E26" s="29">
        <f>ROUND('Sum of Billing Determinants'!F34*-1*'Rate Calculations'!$G$9*(1-'Sum of Billing Determinants'!$AC34),0)</f>
        <v>-151958</v>
      </c>
      <c r="F26" s="29">
        <f>ROUND('Sum of Billing Determinants'!G34*-1*'Rate Calculations'!$G$9*(1-'Sum of Billing Determinants'!$AC34),0)</f>
        <v>-131705</v>
      </c>
      <c r="G26" s="29">
        <f>ROUND('Sum of Billing Determinants'!H34*-1*'Rate Calculations'!$G$9*(1-'Sum of Billing Determinants'!$AC34),0)</f>
        <v>-157229</v>
      </c>
      <c r="H26" s="29">
        <f>ROUND('Sum of Billing Determinants'!I34*-1*'Rate Calculations'!$G$9*(1-'Sum of Billing Determinants'!$AC34),0)</f>
        <v>-122068</v>
      </c>
      <c r="I26" s="29">
        <f>ROUND('Sum of Billing Determinants'!J34*-1*'Rate Calculations'!$G$9*(1-'Sum of Billing Determinants'!$AC34),0)</f>
        <v>-169126</v>
      </c>
      <c r="J26" s="29">
        <f>ROUND('Sum of Billing Determinants'!K34*-1*'Rate Calculations'!$G$9*(1-'Sum of Billing Determinants'!$AC34),0)</f>
        <v>-180714</v>
      </c>
      <c r="K26" s="29">
        <f>ROUND('Sum of Billing Determinants'!L34*-1*'Rate Calculations'!$G$9*(1-'Sum of Billing Determinants'!$AC34),0)</f>
        <v>-171580</v>
      </c>
      <c r="L26" s="29">
        <f>ROUND('Sum of Billing Determinants'!M34*-1*'Rate Calculations'!$G$9*(1-'Sum of Billing Determinants'!$AC34),0)</f>
        <v>-165819</v>
      </c>
      <c r="M26" s="29">
        <f>ROUND('Sum of Billing Determinants'!N34*-1*'Rate Calculations'!$G$9*(1-'Sum of Billing Determinants'!$AC34),0)</f>
        <v>-153234</v>
      </c>
      <c r="N26" s="29">
        <f t="shared" si="0"/>
        <v>-1587411</v>
      </c>
    </row>
    <row r="27" spans="2:14" ht="15">
      <c r="B27" s="25">
        <f>'Sum of Billing Determinants'!A35</f>
        <v>10074</v>
      </c>
      <c r="C27" s="25" t="str">
        <f>'Sum of Billing Determinants'!B35</f>
        <v>Forest Grove, City of</v>
      </c>
      <c r="D27" s="29">
        <f>ROUND('Sum of Billing Determinants'!E35*-1*'Rate Calculations'!$G$9*(1-'Sum of Billing Determinants'!$AC35),0)</f>
        <v>-204689</v>
      </c>
      <c r="E27" s="29">
        <f>ROUND('Sum of Billing Determinants'!F35*-1*'Rate Calculations'!$G$9*(1-'Sum of Billing Determinants'!$AC35),0)</f>
        <v>-169064</v>
      </c>
      <c r="F27" s="29">
        <f>ROUND('Sum of Billing Determinants'!G35*-1*'Rate Calculations'!$G$9*(1-'Sum of Billing Determinants'!$AC35),0)</f>
        <v>-146532</v>
      </c>
      <c r="G27" s="29">
        <f>ROUND('Sum of Billing Determinants'!H35*-1*'Rate Calculations'!$G$9*(1-'Sum of Billing Determinants'!$AC35),0)</f>
        <v>-174929</v>
      </c>
      <c r="H27" s="29">
        <f>ROUND('Sum of Billing Determinants'!I35*-1*'Rate Calculations'!$G$9*(1-'Sum of Billing Determinants'!$AC35),0)</f>
        <v>-135809</v>
      </c>
      <c r="I27" s="29">
        <f>ROUND('Sum of Billing Determinants'!J35*-1*'Rate Calculations'!$G$9*(1-'Sum of Billing Determinants'!$AC35),0)</f>
        <v>-188165</v>
      </c>
      <c r="J27" s="29">
        <f>ROUND('Sum of Billing Determinants'!K35*-1*'Rate Calculations'!$G$9*(1-'Sum of Billing Determinants'!$AC35),0)</f>
        <v>-201058</v>
      </c>
      <c r="K27" s="29">
        <f>ROUND('Sum of Billing Determinants'!L35*-1*'Rate Calculations'!$G$9*(1-'Sum of Billing Determinants'!$AC35),0)</f>
        <v>-190895</v>
      </c>
      <c r="L27" s="29">
        <f>ROUND('Sum of Billing Determinants'!M35*-1*'Rate Calculations'!$G$9*(1-'Sum of Billing Determinants'!$AC35),0)</f>
        <v>-184486</v>
      </c>
      <c r="M27" s="29">
        <f>ROUND('Sum of Billing Determinants'!N35*-1*'Rate Calculations'!$G$9*(1-'Sum of Billing Determinants'!$AC35),0)</f>
        <v>-170484</v>
      </c>
      <c r="N27" s="29">
        <f t="shared" si="0"/>
        <v>-1766111</v>
      </c>
    </row>
    <row r="28" spans="2:14" ht="15">
      <c r="B28" s="25">
        <f>'Sum of Billing Determinants'!A36</f>
        <v>10076</v>
      </c>
      <c r="C28" s="25" t="str">
        <f>'Sum of Billing Determinants'!B36</f>
        <v>Heyburn, City of</v>
      </c>
      <c r="D28" s="29">
        <f>ROUND('Sum of Billing Determinants'!E36*-1*'Rate Calculations'!$G$9*(1-'Sum of Billing Determinants'!$AC36),0)</f>
        <v>-36953</v>
      </c>
      <c r="E28" s="29">
        <f>ROUND('Sum of Billing Determinants'!F36*-1*'Rate Calculations'!$G$9*(1-'Sum of Billing Determinants'!$AC36),0)</f>
        <v>-30521</v>
      </c>
      <c r="F28" s="29">
        <f>ROUND('Sum of Billing Determinants'!G36*-1*'Rate Calculations'!$G$9*(1-'Sum of Billing Determinants'!$AC36),0)</f>
        <v>-26453</v>
      </c>
      <c r="G28" s="29">
        <f>ROUND('Sum of Billing Determinants'!H36*-1*'Rate Calculations'!$G$9*(1-'Sum of Billing Determinants'!$AC36),0)</f>
        <v>-31580</v>
      </c>
      <c r="H28" s="29">
        <f>ROUND('Sum of Billing Determinants'!I36*-1*'Rate Calculations'!$G$9*(1-'Sum of Billing Determinants'!$AC36),0)</f>
        <v>-24518</v>
      </c>
      <c r="I28" s="29">
        <f>ROUND('Sum of Billing Determinants'!J36*-1*'Rate Calculations'!$G$9*(1-'Sum of Billing Determinants'!$AC36),0)</f>
        <v>-33970</v>
      </c>
      <c r="J28" s="29">
        <f>ROUND('Sum of Billing Determinants'!K36*-1*'Rate Calculations'!$G$9*(1-'Sum of Billing Determinants'!$AC36),0)</f>
        <v>-36297</v>
      </c>
      <c r="K28" s="29">
        <f>ROUND('Sum of Billing Determinants'!L36*-1*'Rate Calculations'!$G$9*(1-'Sum of Billing Determinants'!$AC36),0)</f>
        <v>-34463</v>
      </c>
      <c r="L28" s="29">
        <f>ROUND('Sum of Billing Determinants'!M36*-1*'Rate Calculations'!$G$9*(1-'Sum of Billing Determinants'!$AC36),0)</f>
        <v>-33305</v>
      </c>
      <c r="M28" s="29">
        <f>ROUND('Sum of Billing Determinants'!N36*-1*'Rate Calculations'!$G$9*(1-'Sum of Billing Determinants'!$AC36),0)</f>
        <v>-30778</v>
      </c>
      <c r="N28" s="29">
        <f t="shared" si="0"/>
        <v>-318838</v>
      </c>
    </row>
    <row r="29" spans="2:14" ht="15">
      <c r="B29" s="25">
        <f>'Sum of Billing Determinants'!A37</f>
        <v>10078</v>
      </c>
      <c r="C29" s="25" t="str">
        <f>'Sum of Billing Determinants'!B37</f>
        <v>McCleary, City of</v>
      </c>
      <c r="D29" s="29">
        <f>ROUND('Sum of Billing Determinants'!E37*-1*'Rate Calculations'!$G$9*(1-'Sum of Billing Determinants'!$AC37),0)</f>
        <v>-28518</v>
      </c>
      <c r="E29" s="29">
        <f>ROUND('Sum of Billing Determinants'!F37*-1*'Rate Calculations'!$G$9*(1-'Sum of Billing Determinants'!$AC37),0)</f>
        <v>-23554</v>
      </c>
      <c r="F29" s="29">
        <f>ROUND('Sum of Billing Determinants'!G37*-1*'Rate Calculations'!$G$9*(1-'Sum of Billing Determinants'!$AC37),0)</f>
        <v>-20415</v>
      </c>
      <c r="G29" s="29">
        <f>ROUND('Sum of Billing Determinants'!H37*-1*'Rate Calculations'!$G$9*(1-'Sum of Billing Determinants'!$AC37),0)</f>
        <v>-24371</v>
      </c>
      <c r="H29" s="29">
        <f>ROUND('Sum of Billing Determinants'!I37*-1*'Rate Calculations'!$G$9*(1-'Sum of Billing Determinants'!$AC37),0)</f>
        <v>-18921</v>
      </c>
      <c r="I29" s="29">
        <f>ROUND('Sum of Billing Determinants'!J37*-1*'Rate Calculations'!$G$9*(1-'Sum of Billing Determinants'!$AC37),0)</f>
        <v>-26215</v>
      </c>
      <c r="J29" s="29">
        <f>ROUND('Sum of Billing Determinants'!K37*-1*'Rate Calculations'!$G$9*(1-'Sum of Billing Determinants'!$AC37),0)</f>
        <v>-28012</v>
      </c>
      <c r="K29" s="29">
        <f>ROUND('Sum of Billing Determinants'!L37*-1*'Rate Calculations'!$G$9*(1-'Sum of Billing Determinants'!$AC37),0)</f>
        <v>-26596</v>
      </c>
      <c r="L29" s="29">
        <f>ROUND('Sum of Billing Determinants'!M37*-1*'Rate Calculations'!$G$9*(1-'Sum of Billing Determinants'!$AC37),0)</f>
        <v>-25703</v>
      </c>
      <c r="M29" s="29">
        <f>ROUND('Sum of Billing Determinants'!N37*-1*'Rate Calculations'!$G$9*(1-'Sum of Billing Determinants'!$AC37),0)</f>
        <v>-23752</v>
      </c>
      <c r="N29" s="29">
        <f t="shared" si="0"/>
        <v>-246057</v>
      </c>
    </row>
    <row r="30" spans="2:14" ht="15">
      <c r="B30" s="25">
        <f>'Sum of Billing Determinants'!A38</f>
        <v>10079</v>
      </c>
      <c r="C30" s="25" t="str">
        <f>'Sum of Billing Determinants'!B38</f>
        <v>McMinnville, City of</v>
      </c>
      <c r="D30" s="29">
        <f>ROUND('Sum of Billing Determinants'!E38*-1*'Rate Calculations'!$G$9*(1-'Sum of Billing Determinants'!$AC38),0)</f>
        <v>-654746</v>
      </c>
      <c r="E30" s="29">
        <f>ROUND('Sum of Billing Determinants'!F38*-1*'Rate Calculations'!$G$9*(1-'Sum of Billing Determinants'!$AC38),0)</f>
        <v>-540792</v>
      </c>
      <c r="F30" s="29">
        <f>ROUND('Sum of Billing Determinants'!G38*-1*'Rate Calculations'!$G$9*(1-'Sum of Billing Determinants'!$AC38),0)</f>
        <v>-468716</v>
      </c>
      <c r="G30" s="29">
        <f>ROUND('Sum of Billing Determinants'!H38*-1*'Rate Calculations'!$G$9*(1-'Sum of Billing Determinants'!$AC38),0)</f>
        <v>-559553</v>
      </c>
      <c r="H30" s="29">
        <f>ROUND('Sum of Billing Determinants'!I38*-1*'Rate Calculations'!$G$9*(1-'Sum of Billing Determinants'!$AC38),0)</f>
        <v>-434418</v>
      </c>
      <c r="I30" s="29">
        <f>ROUND('Sum of Billing Determinants'!J38*-1*'Rate Calculations'!$G$9*(1-'Sum of Billing Determinants'!$AC38),0)</f>
        <v>-601890</v>
      </c>
      <c r="J30" s="29">
        <f>ROUND('Sum of Billing Determinants'!K38*-1*'Rate Calculations'!$G$9*(1-'Sum of Billing Determinants'!$AC38),0)</f>
        <v>-643132</v>
      </c>
      <c r="K30" s="29">
        <f>ROUND('Sum of Billing Determinants'!L38*-1*'Rate Calculations'!$G$9*(1-'Sum of Billing Determinants'!$AC38),0)</f>
        <v>-610624</v>
      </c>
      <c r="L30" s="29">
        <f>ROUND('Sum of Billing Determinants'!M38*-1*'Rate Calculations'!$G$9*(1-'Sum of Billing Determinants'!$AC38),0)</f>
        <v>-590121</v>
      </c>
      <c r="M30" s="29">
        <f>ROUND('Sum of Billing Determinants'!N38*-1*'Rate Calculations'!$G$9*(1-'Sum of Billing Determinants'!$AC38),0)</f>
        <v>-545334</v>
      </c>
      <c r="N30" s="29">
        <f t="shared" si="0"/>
        <v>-5649326</v>
      </c>
    </row>
    <row r="31" spans="2:14" ht="15">
      <c r="B31" s="25">
        <f>'Sum of Billing Determinants'!A39</f>
        <v>10080</v>
      </c>
      <c r="C31" s="25" t="str">
        <f>'Sum of Billing Determinants'!B39</f>
        <v>Milton, Town of</v>
      </c>
      <c r="D31" s="29">
        <f>ROUND('Sum of Billing Determinants'!E39*-1*'Rate Calculations'!$G$9*(1-'Sum of Billing Determinants'!$AC39),0)</f>
        <v>-55193</v>
      </c>
      <c r="E31" s="29">
        <f>ROUND('Sum of Billing Determinants'!F39*-1*'Rate Calculations'!$G$9*(1-'Sum of Billing Determinants'!$AC39),0)</f>
        <v>-45587</v>
      </c>
      <c r="F31" s="29">
        <f>ROUND('Sum of Billing Determinants'!G39*-1*'Rate Calculations'!$G$9*(1-'Sum of Billing Determinants'!$AC39),0)</f>
        <v>-39512</v>
      </c>
      <c r="G31" s="29">
        <f>ROUND('Sum of Billing Determinants'!H39*-1*'Rate Calculations'!$G$9*(1-'Sum of Billing Determinants'!$AC39),0)</f>
        <v>-47169</v>
      </c>
      <c r="H31" s="29">
        <f>ROUND('Sum of Billing Determinants'!I39*-1*'Rate Calculations'!$G$9*(1-'Sum of Billing Determinants'!$AC39),0)</f>
        <v>-36620</v>
      </c>
      <c r="I31" s="29">
        <f>ROUND('Sum of Billing Determinants'!J39*-1*'Rate Calculations'!$G$9*(1-'Sum of Billing Determinants'!$AC39),0)</f>
        <v>-50738</v>
      </c>
      <c r="J31" s="29">
        <f>ROUND('Sum of Billing Determinants'!K39*-1*'Rate Calculations'!$G$9*(1-'Sum of Billing Determinants'!$AC39),0)</f>
        <v>-54214</v>
      </c>
      <c r="K31" s="29">
        <f>ROUND('Sum of Billing Determinants'!L39*-1*'Rate Calculations'!$G$9*(1-'Sum of Billing Determinants'!$AC39),0)</f>
        <v>-51474</v>
      </c>
      <c r="L31" s="29">
        <f>ROUND('Sum of Billing Determinants'!M39*-1*'Rate Calculations'!$G$9*(1-'Sum of Billing Determinants'!$AC39),0)</f>
        <v>-49746</v>
      </c>
      <c r="M31" s="29">
        <f>ROUND('Sum of Billing Determinants'!N39*-1*'Rate Calculations'!$G$9*(1-'Sum of Billing Determinants'!$AC39),0)</f>
        <v>-45970</v>
      </c>
      <c r="N31" s="29">
        <f t="shared" si="0"/>
        <v>-476223</v>
      </c>
    </row>
    <row r="32" spans="2:14" ht="15">
      <c r="B32" s="25">
        <f>'Sum of Billing Determinants'!A40</f>
        <v>10081</v>
      </c>
      <c r="C32" s="25" t="str">
        <f>'Sum of Billing Determinants'!B40</f>
        <v>Milton-Freewater, City of</v>
      </c>
      <c r="D32" s="29">
        <f>ROUND('Sum of Billing Determinants'!E40*-1*'Rate Calculations'!$G$9*(1-'Sum of Billing Determinants'!$AC40),0)</f>
        <v>-74182</v>
      </c>
      <c r="E32" s="29">
        <f>ROUND('Sum of Billing Determinants'!F40*-1*'Rate Calculations'!$G$9*(1-'Sum of Billing Determinants'!$AC40),0)</f>
        <v>-61271</v>
      </c>
      <c r="F32" s="29">
        <f>ROUND('Sum of Billing Determinants'!G40*-1*'Rate Calculations'!$G$9*(1-'Sum of Billing Determinants'!$AC40),0)</f>
        <v>-53105</v>
      </c>
      <c r="G32" s="29">
        <f>ROUND('Sum of Billing Determinants'!H40*-1*'Rate Calculations'!$G$9*(1-'Sum of Billing Determinants'!$AC40),0)</f>
        <v>-63396</v>
      </c>
      <c r="H32" s="29">
        <f>ROUND('Sum of Billing Determinants'!I40*-1*'Rate Calculations'!$G$9*(1-'Sum of Billing Determinants'!$AC40),0)</f>
        <v>-49219</v>
      </c>
      <c r="I32" s="29">
        <f>ROUND('Sum of Billing Determinants'!J40*-1*'Rate Calculations'!$G$9*(1-'Sum of Billing Determinants'!$AC40),0)</f>
        <v>-68193</v>
      </c>
      <c r="J32" s="29">
        <f>ROUND('Sum of Billing Determinants'!K40*-1*'Rate Calculations'!$G$9*(1-'Sum of Billing Determinants'!$AC40),0)</f>
        <v>-72866</v>
      </c>
      <c r="K32" s="29">
        <f>ROUND('Sum of Billing Determinants'!L40*-1*'Rate Calculations'!$G$9*(1-'Sum of Billing Determinants'!$AC40),0)</f>
        <v>-69183</v>
      </c>
      <c r="L32" s="29">
        <f>ROUND('Sum of Billing Determinants'!M40*-1*'Rate Calculations'!$G$9*(1-'Sum of Billing Determinants'!$AC40),0)</f>
        <v>-66860</v>
      </c>
      <c r="M32" s="29">
        <f>ROUND('Sum of Billing Determinants'!N40*-1*'Rate Calculations'!$G$9*(1-'Sum of Billing Determinants'!$AC40),0)</f>
        <v>-61785</v>
      </c>
      <c r="N32" s="29">
        <f t="shared" si="0"/>
        <v>-640060</v>
      </c>
    </row>
    <row r="33" spans="2:14" ht="15">
      <c r="B33" s="25">
        <f>'Sum of Billing Determinants'!A41</f>
        <v>10082</v>
      </c>
      <c r="C33" s="25" t="str">
        <f>'Sum of Billing Determinants'!B41</f>
        <v>Minidoka, City of</v>
      </c>
      <c r="D33" s="29">
        <f>ROUND('Sum of Billing Determinants'!E41*-1*'Rate Calculations'!$G$9*(1-'Sum of Billing Determinants'!$AC41),0)</f>
        <v>-764</v>
      </c>
      <c r="E33" s="29">
        <f>ROUND('Sum of Billing Determinants'!F41*-1*'Rate Calculations'!$G$9*(1-'Sum of Billing Determinants'!$AC41),0)</f>
        <v>-631</v>
      </c>
      <c r="F33" s="29">
        <f>ROUND('Sum of Billing Determinants'!G41*-1*'Rate Calculations'!$G$9*(1-'Sum of Billing Determinants'!$AC41),0)</f>
        <v>-547</v>
      </c>
      <c r="G33" s="29">
        <f>ROUND('Sum of Billing Determinants'!H41*-1*'Rate Calculations'!$G$9*(1-'Sum of Billing Determinants'!$AC41),0)</f>
        <v>-653</v>
      </c>
      <c r="H33" s="29">
        <f>ROUND('Sum of Billing Determinants'!I41*-1*'Rate Calculations'!$G$9*(1-'Sum of Billing Determinants'!$AC41),0)</f>
        <v>-507</v>
      </c>
      <c r="I33" s="29">
        <f>ROUND('Sum of Billing Determinants'!J41*-1*'Rate Calculations'!$G$9*(1-'Sum of Billing Determinants'!$AC41),0)</f>
        <v>-702</v>
      </c>
      <c r="J33" s="29">
        <f>ROUND('Sum of Billing Determinants'!K41*-1*'Rate Calculations'!$G$9*(1-'Sum of Billing Determinants'!$AC41),0)</f>
        <v>-750</v>
      </c>
      <c r="K33" s="29">
        <f>ROUND('Sum of Billing Determinants'!L41*-1*'Rate Calculations'!$G$9*(1-'Sum of Billing Determinants'!$AC41),0)</f>
        <v>-712</v>
      </c>
      <c r="L33" s="29">
        <f>ROUND('Sum of Billing Determinants'!M41*-1*'Rate Calculations'!$G$9*(1-'Sum of Billing Determinants'!$AC41),0)</f>
        <v>-688</v>
      </c>
      <c r="M33" s="29">
        <f>ROUND('Sum of Billing Determinants'!N41*-1*'Rate Calculations'!$G$9*(1-'Sum of Billing Determinants'!$AC41),0)</f>
        <v>-636</v>
      </c>
      <c r="N33" s="29">
        <f t="shared" si="0"/>
        <v>-6590</v>
      </c>
    </row>
    <row r="34" spans="2:14" ht="15">
      <c r="B34" s="25">
        <f>'Sum of Billing Determinants'!A42</f>
        <v>10083</v>
      </c>
      <c r="C34" s="25" t="str">
        <f>'Sum of Billing Determinants'!B42</f>
        <v>Monmouth, City of</v>
      </c>
      <c r="D34" s="29">
        <f>ROUND('Sum of Billing Determinants'!E42*-1*'Rate Calculations'!$G$9*(1-'Sum of Billing Determinants'!$AC42),0)</f>
        <v>-64159</v>
      </c>
      <c r="E34" s="29">
        <f>ROUND('Sum of Billing Determinants'!F42*-1*'Rate Calculations'!$G$9*(1-'Sum of Billing Determinants'!$AC42),0)</f>
        <v>-52993</v>
      </c>
      <c r="F34" s="29">
        <f>ROUND('Sum of Billing Determinants'!G42*-1*'Rate Calculations'!$G$9*(1-'Sum of Billing Determinants'!$AC42),0)</f>
        <v>-45930</v>
      </c>
      <c r="G34" s="29">
        <f>ROUND('Sum of Billing Determinants'!H42*-1*'Rate Calculations'!$G$9*(1-'Sum of Billing Determinants'!$AC42),0)</f>
        <v>-54831</v>
      </c>
      <c r="H34" s="29">
        <f>ROUND('Sum of Billing Determinants'!I42*-1*'Rate Calculations'!$G$9*(1-'Sum of Billing Determinants'!$AC42),0)</f>
        <v>-42569</v>
      </c>
      <c r="I34" s="29">
        <f>ROUND('Sum of Billing Determinants'!J42*-1*'Rate Calculations'!$G$9*(1-'Sum of Billing Determinants'!$AC42),0)</f>
        <v>-58980</v>
      </c>
      <c r="J34" s="29">
        <f>ROUND('Sum of Billing Determinants'!K42*-1*'Rate Calculations'!$G$9*(1-'Sum of Billing Determinants'!$AC42),0)</f>
        <v>-63021</v>
      </c>
      <c r="K34" s="29">
        <f>ROUND('Sum of Billing Determinants'!L42*-1*'Rate Calculations'!$G$9*(1-'Sum of Billing Determinants'!$AC42),0)</f>
        <v>-59836</v>
      </c>
      <c r="L34" s="29">
        <f>ROUND('Sum of Billing Determinants'!M42*-1*'Rate Calculations'!$G$9*(1-'Sum of Billing Determinants'!$AC42),0)</f>
        <v>-57827</v>
      </c>
      <c r="M34" s="29">
        <f>ROUND('Sum of Billing Determinants'!N42*-1*'Rate Calculations'!$G$9*(1-'Sum of Billing Determinants'!$AC42),0)</f>
        <v>-53438</v>
      </c>
      <c r="N34" s="29">
        <f t="shared" si="0"/>
        <v>-553584</v>
      </c>
    </row>
    <row r="35" spans="2:14" ht="15">
      <c r="B35" s="25">
        <f>'Sum of Billing Determinants'!A43</f>
        <v>10086</v>
      </c>
      <c r="C35" s="25" t="str">
        <f>'Sum of Billing Determinants'!B43</f>
        <v>Plummer, City of</v>
      </c>
      <c r="D35" s="29">
        <f>ROUND('Sum of Billing Determinants'!E43*-1*'Rate Calculations'!$G$9*(1-'Sum of Billing Determinants'!$AC43),0)</f>
        <v>-30262</v>
      </c>
      <c r="E35" s="29">
        <f>ROUND('Sum of Billing Determinants'!F43*-1*'Rate Calculations'!$G$9*(1-'Sum of Billing Determinants'!$AC43),0)</f>
        <v>-24995</v>
      </c>
      <c r="F35" s="29">
        <f>ROUND('Sum of Billing Determinants'!G43*-1*'Rate Calculations'!$G$9*(1-'Sum of Billing Determinants'!$AC43),0)</f>
        <v>-21664</v>
      </c>
      <c r="G35" s="29">
        <f>ROUND('Sum of Billing Determinants'!H43*-1*'Rate Calculations'!$G$9*(1-'Sum of Billing Determinants'!$AC43),0)</f>
        <v>-25862</v>
      </c>
      <c r="H35" s="29">
        <f>ROUND('Sum of Billing Determinants'!I43*-1*'Rate Calculations'!$G$9*(1-'Sum of Billing Determinants'!$AC43),0)</f>
        <v>-20079</v>
      </c>
      <c r="I35" s="29">
        <f>ROUND('Sum of Billing Determinants'!J43*-1*'Rate Calculations'!$G$9*(1-'Sum of Billing Determinants'!$AC43),0)</f>
        <v>-27819</v>
      </c>
      <c r="J35" s="29">
        <f>ROUND('Sum of Billing Determinants'!K43*-1*'Rate Calculations'!$G$9*(1-'Sum of Billing Determinants'!$AC43),0)</f>
        <v>-29725</v>
      </c>
      <c r="K35" s="29">
        <f>ROUND('Sum of Billing Determinants'!L43*-1*'Rate Calculations'!$G$9*(1-'Sum of Billing Determinants'!$AC43),0)</f>
        <v>-28223</v>
      </c>
      <c r="L35" s="29">
        <f>ROUND('Sum of Billing Determinants'!M43*-1*'Rate Calculations'!$G$9*(1-'Sum of Billing Determinants'!$AC43),0)</f>
        <v>-27275</v>
      </c>
      <c r="M35" s="29">
        <f>ROUND('Sum of Billing Determinants'!N43*-1*'Rate Calculations'!$G$9*(1-'Sum of Billing Determinants'!$AC43),0)</f>
        <v>-25205</v>
      </c>
      <c r="N35" s="29">
        <f t="shared" si="0"/>
        <v>-261109</v>
      </c>
    </row>
    <row r="36" spans="2:14" ht="15">
      <c r="B36" s="25">
        <f>'Sum of Billing Determinants'!A44</f>
        <v>10087</v>
      </c>
      <c r="C36" s="25" t="str">
        <f>'Sum of Billing Determinants'!B44</f>
        <v>Port Angeles, City of</v>
      </c>
      <c r="D36" s="29">
        <f>ROUND('Sum of Billing Determinants'!E44*-1*'Rate Calculations'!$G$9*(1-'Sum of Billing Determinants'!$AC44),0)</f>
        <v>-452506</v>
      </c>
      <c r="E36" s="29">
        <f>ROUND('Sum of Billing Determinants'!F44*-1*'Rate Calculations'!$G$9*(1-'Sum of Billing Determinants'!$AC44),0)</f>
        <v>-373751</v>
      </c>
      <c r="F36" s="29">
        <f>ROUND('Sum of Billing Determinants'!G44*-1*'Rate Calculations'!$G$9*(1-'Sum of Billing Determinants'!$AC44),0)</f>
        <v>-323938</v>
      </c>
      <c r="G36" s="29">
        <f>ROUND('Sum of Billing Determinants'!H44*-1*'Rate Calculations'!$G$9*(1-'Sum of Billing Determinants'!$AC44),0)</f>
        <v>-386716</v>
      </c>
      <c r="H36" s="29">
        <f>ROUND('Sum of Billing Determinants'!I44*-1*'Rate Calculations'!$G$9*(1-'Sum of Billing Determinants'!$AC44),0)</f>
        <v>-300234</v>
      </c>
      <c r="I36" s="29">
        <f>ROUND('Sum of Billing Determinants'!J44*-1*'Rate Calculations'!$G$9*(1-'Sum of Billing Determinants'!$AC44),0)</f>
        <v>-415976</v>
      </c>
      <c r="J36" s="29">
        <f>ROUND('Sum of Billing Determinants'!K44*-1*'Rate Calculations'!$G$9*(1-'Sum of Billing Determinants'!$AC44),0)</f>
        <v>-444479</v>
      </c>
      <c r="K36" s="29">
        <f>ROUND('Sum of Billing Determinants'!L44*-1*'Rate Calculations'!$G$9*(1-'Sum of Billing Determinants'!$AC44),0)</f>
        <v>-422013</v>
      </c>
      <c r="L36" s="29">
        <f>ROUND('Sum of Billing Determinants'!M44*-1*'Rate Calculations'!$G$9*(1-'Sum of Billing Determinants'!$AC44),0)</f>
        <v>-407843</v>
      </c>
      <c r="M36" s="29">
        <f>ROUND('Sum of Billing Determinants'!N44*-1*'Rate Calculations'!$G$9*(1-'Sum of Billing Determinants'!$AC44),0)</f>
        <v>-376889</v>
      </c>
      <c r="N36" s="29">
        <f t="shared" si="0"/>
        <v>-3904345</v>
      </c>
    </row>
    <row r="37" spans="2:14" ht="15">
      <c r="B37" s="25">
        <f>'Sum of Billing Determinants'!A45</f>
        <v>10089</v>
      </c>
      <c r="C37" s="25" t="str">
        <f>'Sum of Billing Determinants'!B45</f>
        <v>Richland, City of</v>
      </c>
      <c r="D37" s="29">
        <f>ROUND('Sum of Billing Determinants'!E45*-1*'Rate Calculations'!$G$9*(1-'Sum of Billing Determinants'!$AC45),0)</f>
        <v>-799463</v>
      </c>
      <c r="E37" s="29">
        <f>ROUND('Sum of Billing Determinants'!F45*-1*'Rate Calculations'!$G$9*(1-'Sum of Billing Determinants'!$AC45),0)</f>
        <v>-660322</v>
      </c>
      <c r="F37" s="29">
        <f>ROUND('Sum of Billing Determinants'!G45*-1*'Rate Calculations'!$G$9*(1-'Sum of Billing Determinants'!$AC45),0)</f>
        <v>-572316</v>
      </c>
      <c r="G37" s="29">
        <f>ROUND('Sum of Billing Determinants'!H45*-1*'Rate Calculations'!$G$9*(1-'Sum of Billing Determinants'!$AC45),0)</f>
        <v>-683230</v>
      </c>
      <c r="H37" s="29">
        <f>ROUND('Sum of Billing Determinants'!I45*-1*'Rate Calculations'!$G$9*(1-'Sum of Billing Determinants'!$AC45),0)</f>
        <v>-530437</v>
      </c>
      <c r="I37" s="29">
        <f>ROUND('Sum of Billing Determinants'!J45*-1*'Rate Calculations'!$G$9*(1-'Sum of Billing Determinants'!$AC45),0)</f>
        <v>-734924</v>
      </c>
      <c r="J37" s="29">
        <f>ROUND('Sum of Billing Determinants'!K45*-1*'Rate Calculations'!$G$9*(1-'Sum of Billing Determinants'!$AC45),0)</f>
        <v>-785282</v>
      </c>
      <c r="K37" s="29">
        <f>ROUND('Sum of Billing Determinants'!L45*-1*'Rate Calculations'!$G$9*(1-'Sum of Billing Determinants'!$AC45),0)</f>
        <v>-745589</v>
      </c>
      <c r="L37" s="29">
        <f>ROUND('Sum of Billing Determinants'!M45*-1*'Rate Calculations'!$G$9*(1-'Sum of Billing Determinants'!$AC45),0)</f>
        <v>-720555</v>
      </c>
      <c r="M37" s="29">
        <f>ROUND('Sum of Billing Determinants'!N45*-1*'Rate Calculations'!$G$9*(1-'Sum of Billing Determinants'!$AC45),0)</f>
        <v>-665868</v>
      </c>
      <c r="N37" s="29">
        <f t="shared" si="0"/>
        <v>-6897986</v>
      </c>
    </row>
    <row r="38" spans="2:14" ht="15">
      <c r="B38" s="25">
        <f>'Sum of Billing Determinants'!A46</f>
        <v>10091</v>
      </c>
      <c r="C38" s="25" t="str">
        <f>'Sum of Billing Determinants'!B46</f>
        <v>Rupert, City of</v>
      </c>
      <c r="D38" s="29">
        <f>ROUND('Sum of Billing Determinants'!E46*-1*'Rate Calculations'!$G$9*(1-'Sum of Billing Determinants'!$AC46),0)</f>
        <v>-72285</v>
      </c>
      <c r="E38" s="29">
        <f>ROUND('Sum of Billing Determinants'!F46*-1*'Rate Calculations'!$G$9*(1-'Sum of Billing Determinants'!$AC46),0)</f>
        <v>-59705</v>
      </c>
      <c r="F38" s="29">
        <f>ROUND('Sum of Billing Determinants'!G46*-1*'Rate Calculations'!$G$9*(1-'Sum of Billing Determinants'!$AC46),0)</f>
        <v>-51747</v>
      </c>
      <c r="G38" s="29">
        <f>ROUND('Sum of Billing Determinants'!H46*-1*'Rate Calculations'!$G$9*(1-'Sum of Billing Determinants'!$AC46),0)</f>
        <v>-61776</v>
      </c>
      <c r="H38" s="29">
        <f>ROUND('Sum of Billing Determinants'!I46*-1*'Rate Calculations'!$G$9*(1-'Sum of Billing Determinants'!$AC46),0)</f>
        <v>-47961</v>
      </c>
      <c r="I38" s="29">
        <f>ROUND('Sum of Billing Determinants'!J46*-1*'Rate Calculations'!$G$9*(1-'Sum of Billing Determinants'!$AC46),0)</f>
        <v>-66450</v>
      </c>
      <c r="J38" s="29">
        <f>ROUND('Sum of Billing Determinants'!K46*-1*'Rate Calculations'!$G$9*(1-'Sum of Billing Determinants'!$AC46),0)</f>
        <v>-71003</v>
      </c>
      <c r="K38" s="29">
        <f>ROUND('Sum of Billing Determinants'!L46*-1*'Rate Calculations'!$G$9*(1-'Sum of Billing Determinants'!$AC46),0)</f>
        <v>-67414</v>
      </c>
      <c r="L38" s="29">
        <f>ROUND('Sum of Billing Determinants'!M46*-1*'Rate Calculations'!$G$9*(1-'Sum of Billing Determinants'!$AC46),0)</f>
        <v>-65151</v>
      </c>
      <c r="M38" s="29">
        <f>ROUND('Sum of Billing Determinants'!N46*-1*'Rate Calculations'!$G$9*(1-'Sum of Billing Determinants'!$AC46),0)</f>
        <v>-60206</v>
      </c>
      <c r="N38" s="29">
        <f t="shared" si="0"/>
        <v>-623698</v>
      </c>
    </row>
    <row r="39" spans="2:14" ht="15">
      <c r="B39" s="25">
        <f>'Sum of Billing Determinants'!A47</f>
        <v>10094</v>
      </c>
      <c r="C39" s="25" t="str">
        <f>'Sum of Billing Determinants'!B47</f>
        <v>Soda Springs, City of</v>
      </c>
      <c r="D39" s="29">
        <f>ROUND('Sum of Billing Determinants'!E47*-1*'Rate Calculations'!$G$9*(1-'Sum of Billing Determinants'!$AC47),0)</f>
        <v>-23301</v>
      </c>
      <c r="E39" s="29">
        <f>ROUND('Sum of Billing Determinants'!F47*-1*'Rate Calculations'!$G$9*(1-'Sum of Billing Determinants'!$AC47),0)</f>
        <v>-19245</v>
      </c>
      <c r="F39" s="29">
        <f>ROUND('Sum of Billing Determinants'!G47*-1*'Rate Calculations'!$G$9*(1-'Sum of Billing Determinants'!$AC47),0)</f>
        <v>-16680</v>
      </c>
      <c r="G39" s="29">
        <f>ROUND('Sum of Billing Determinants'!H47*-1*'Rate Calculations'!$G$9*(1-'Sum of Billing Determinants'!$AC47),0)</f>
        <v>-19913</v>
      </c>
      <c r="H39" s="29">
        <f>ROUND('Sum of Billing Determinants'!I47*-1*'Rate Calculations'!$G$9*(1-'Sum of Billing Determinants'!$AC47),0)</f>
        <v>-15460</v>
      </c>
      <c r="I39" s="29">
        <f>ROUND('Sum of Billing Determinants'!J47*-1*'Rate Calculations'!$G$9*(1-'Sum of Billing Determinants'!$AC47),0)</f>
        <v>-21420</v>
      </c>
      <c r="J39" s="29">
        <f>ROUND('Sum of Billing Determinants'!K47*-1*'Rate Calculations'!$G$9*(1-'Sum of Billing Determinants'!$AC47),0)</f>
        <v>-22887</v>
      </c>
      <c r="K39" s="29">
        <f>ROUND('Sum of Billing Determinants'!L47*-1*'Rate Calculations'!$G$9*(1-'Sum of Billing Determinants'!$AC47),0)</f>
        <v>-21730</v>
      </c>
      <c r="L39" s="29">
        <f>ROUND('Sum of Billing Determinants'!M47*-1*'Rate Calculations'!$G$9*(1-'Sum of Billing Determinants'!$AC47),0)</f>
        <v>-21001</v>
      </c>
      <c r="M39" s="29">
        <f>ROUND('Sum of Billing Determinants'!N47*-1*'Rate Calculations'!$G$9*(1-'Sum of Billing Determinants'!$AC47),0)</f>
        <v>-19407</v>
      </c>
      <c r="N39" s="29">
        <f t="shared" si="0"/>
        <v>-201044</v>
      </c>
    </row>
    <row r="40" spans="2:14" ht="15">
      <c r="B40" s="25">
        <f>'Sum of Billing Determinants'!A48</f>
        <v>10095</v>
      </c>
      <c r="C40" s="25" t="str">
        <f>'Sum of Billing Determinants'!B48</f>
        <v>Sumas, Town of</v>
      </c>
      <c r="D40" s="29">
        <f>ROUND('Sum of Billing Determinants'!E48*-1*'Rate Calculations'!$G$9*(1-'Sum of Billing Determinants'!$AC48),0)</f>
        <v>-27949</v>
      </c>
      <c r="E40" s="29">
        <f>ROUND('Sum of Billing Determinants'!F48*-1*'Rate Calculations'!$G$9*(1-'Sum of Billing Determinants'!$AC48),0)</f>
        <v>-23084</v>
      </c>
      <c r="F40" s="29">
        <f>ROUND('Sum of Billing Determinants'!G48*-1*'Rate Calculations'!$G$9*(1-'Sum of Billing Determinants'!$AC48),0)</f>
        <v>-20008</v>
      </c>
      <c r="G40" s="29">
        <f>ROUND('Sum of Billing Determinants'!H48*-1*'Rate Calculations'!$G$9*(1-'Sum of Billing Determinants'!$AC48),0)</f>
        <v>-23885</v>
      </c>
      <c r="H40" s="29">
        <f>ROUND('Sum of Billing Determinants'!I48*-1*'Rate Calculations'!$G$9*(1-'Sum of Billing Determinants'!$AC48),0)</f>
        <v>-18544</v>
      </c>
      <c r="I40" s="29">
        <f>ROUND('Sum of Billing Determinants'!J48*-1*'Rate Calculations'!$G$9*(1-'Sum of Billing Determinants'!$AC48),0)</f>
        <v>-25693</v>
      </c>
      <c r="J40" s="29">
        <f>ROUND('Sum of Billing Determinants'!K48*-1*'Rate Calculations'!$G$9*(1-'Sum of Billing Determinants'!$AC48),0)</f>
        <v>-27453</v>
      </c>
      <c r="K40" s="29">
        <f>ROUND('Sum of Billing Determinants'!L48*-1*'Rate Calculations'!$G$9*(1-'Sum of Billing Determinants'!$AC48),0)</f>
        <v>-26065</v>
      </c>
      <c r="L40" s="29">
        <f>ROUND('Sum of Billing Determinants'!M48*-1*'Rate Calculations'!$G$9*(1-'Sum of Billing Determinants'!$AC48),0)</f>
        <v>-25190</v>
      </c>
      <c r="M40" s="29">
        <f>ROUND('Sum of Billing Determinants'!N48*-1*'Rate Calculations'!$G$9*(1-'Sum of Billing Determinants'!$AC48),0)</f>
        <v>-23278</v>
      </c>
      <c r="N40" s="29">
        <f t="shared" si="0"/>
        <v>-241149</v>
      </c>
    </row>
    <row r="41" spans="2:14" ht="15">
      <c r="B41" s="25">
        <f>'Sum of Billing Determinants'!A49</f>
        <v>10097</v>
      </c>
      <c r="C41" s="25" t="str">
        <f>'Sum of Billing Determinants'!B49</f>
        <v>Troy, City of</v>
      </c>
      <c r="D41" s="29">
        <f>ROUND('Sum of Billing Determinants'!E49*-1*'Rate Calculations'!$G$9*(1-'Sum of Billing Determinants'!$AC49),0)</f>
        <v>-15635</v>
      </c>
      <c r="E41" s="29">
        <f>ROUND('Sum of Billing Determinants'!F49*-1*'Rate Calculations'!$G$9*(1-'Sum of Billing Determinants'!$AC49),0)</f>
        <v>-12914</v>
      </c>
      <c r="F41" s="29">
        <f>ROUND('Sum of Billing Determinants'!G49*-1*'Rate Calculations'!$G$9*(1-'Sum of Billing Determinants'!$AC49),0)</f>
        <v>-11193</v>
      </c>
      <c r="G41" s="29">
        <f>ROUND('Sum of Billing Determinants'!H49*-1*'Rate Calculations'!$G$9*(1-'Sum of Billing Determinants'!$AC49),0)</f>
        <v>-13362</v>
      </c>
      <c r="H41" s="29">
        <f>ROUND('Sum of Billing Determinants'!I49*-1*'Rate Calculations'!$G$9*(1-'Sum of Billing Determinants'!$AC49),0)</f>
        <v>-10374</v>
      </c>
      <c r="I41" s="29">
        <f>ROUND('Sum of Billing Determinants'!J49*-1*'Rate Calculations'!$G$9*(1-'Sum of Billing Determinants'!$AC49),0)</f>
        <v>-14373</v>
      </c>
      <c r="J41" s="29">
        <f>ROUND('Sum of Billing Determinants'!K49*-1*'Rate Calculations'!$G$9*(1-'Sum of Billing Determinants'!$AC49),0)</f>
        <v>-15358</v>
      </c>
      <c r="K41" s="29">
        <f>ROUND('Sum of Billing Determinants'!L49*-1*'Rate Calculations'!$G$9*(1-'Sum of Billing Determinants'!$AC49),0)</f>
        <v>-14581</v>
      </c>
      <c r="L41" s="29">
        <f>ROUND('Sum of Billing Determinants'!M49*-1*'Rate Calculations'!$G$9*(1-'Sum of Billing Determinants'!$AC49),0)</f>
        <v>-14092</v>
      </c>
      <c r="M41" s="29">
        <f>ROUND('Sum of Billing Determinants'!N49*-1*'Rate Calculations'!$G$9*(1-'Sum of Billing Determinants'!$AC49),0)</f>
        <v>-13022</v>
      </c>
      <c r="N41" s="29">
        <f t="shared" si="0"/>
        <v>-134904</v>
      </c>
    </row>
    <row r="42" spans="2:14" ht="15">
      <c r="B42" s="25">
        <f>'Sum of Billing Determinants'!A50</f>
        <v>10101</v>
      </c>
      <c r="C42" s="25" t="str">
        <f>'Sum of Billing Determinants'!B50</f>
        <v>Clallam County PUD #1</v>
      </c>
      <c r="D42" s="29">
        <f>ROUND('Sum of Billing Determinants'!E50*-1*'Rate Calculations'!$G$9*(1-'Sum of Billing Determinants'!$AC50),0)</f>
        <v>-552305</v>
      </c>
      <c r="E42" s="29">
        <f>ROUND('Sum of Billing Determinants'!F50*-1*'Rate Calculations'!$G$9*(1-'Sum of Billing Determinants'!$AC50),0)</f>
        <v>-456181</v>
      </c>
      <c r="F42" s="29">
        <f>ROUND('Sum of Billing Determinants'!G50*-1*'Rate Calculations'!$G$9*(1-'Sum of Billing Determinants'!$AC50),0)</f>
        <v>-395382</v>
      </c>
      <c r="G42" s="29">
        <f>ROUND('Sum of Billing Determinants'!H50*-1*'Rate Calculations'!$G$9*(1-'Sum of Billing Determinants'!$AC50),0)</f>
        <v>-472006</v>
      </c>
      <c r="H42" s="29">
        <f>ROUND('Sum of Billing Determinants'!I50*-1*'Rate Calculations'!$G$9*(1-'Sum of Billing Determinants'!$AC50),0)</f>
        <v>-366450</v>
      </c>
      <c r="I42" s="29">
        <f>ROUND('Sum of Billing Determinants'!J50*-1*'Rate Calculations'!$G$9*(1-'Sum of Billing Determinants'!$AC50),0)</f>
        <v>-507719</v>
      </c>
      <c r="J42" s="29">
        <f>ROUND('Sum of Billing Determinants'!K50*-1*'Rate Calculations'!$G$9*(1-'Sum of Billing Determinants'!$AC50),0)</f>
        <v>-542508</v>
      </c>
      <c r="K42" s="29">
        <f>ROUND('Sum of Billing Determinants'!L50*-1*'Rate Calculations'!$G$9*(1-'Sum of Billing Determinants'!$AC50),0)</f>
        <v>-515087</v>
      </c>
      <c r="L42" s="29">
        <f>ROUND('Sum of Billing Determinants'!M50*-1*'Rate Calculations'!$G$9*(1-'Sum of Billing Determinants'!$AC50),0)</f>
        <v>-497792</v>
      </c>
      <c r="M42" s="29">
        <f>ROUND('Sum of Billing Determinants'!N50*-1*'Rate Calculations'!$G$9*(1-'Sum of Billing Determinants'!$AC50),0)</f>
        <v>-460012</v>
      </c>
      <c r="N42" s="29">
        <f t="shared" si="0"/>
        <v>-4765442</v>
      </c>
    </row>
    <row r="43" spans="2:14" ht="15">
      <c r="B43" s="25">
        <f>'Sum of Billing Determinants'!A51</f>
        <v>10103</v>
      </c>
      <c r="C43" s="25" t="str">
        <f>'Sum of Billing Determinants'!B51</f>
        <v>Clark County PUD #1</v>
      </c>
      <c r="D43" s="29">
        <f>ROUND('Sum of Billing Determinants'!E51*-1*'Rate Calculations'!$G$9*(1-'Sum of Billing Determinants'!$AC51),0)</f>
        <v>-1261124</v>
      </c>
      <c r="E43" s="29">
        <f>ROUND('Sum of Billing Determinants'!F51*-1*'Rate Calculations'!$G$9*(1-'Sum of Billing Determinants'!$AC51),0)</f>
        <v>-1041635</v>
      </c>
      <c r="F43" s="29">
        <f>ROUND('Sum of Billing Determinants'!G51*-1*'Rate Calculations'!$G$9*(1-'Sum of Billing Determinants'!$AC51),0)</f>
        <v>-902808</v>
      </c>
      <c r="G43" s="29">
        <f>ROUND('Sum of Billing Determinants'!H51*-1*'Rate Calculations'!$G$9*(1-'Sum of Billing Determinants'!$AC51),0)</f>
        <v>-1077770</v>
      </c>
      <c r="H43" s="29">
        <f>ROUND('Sum of Billing Determinants'!I51*-1*'Rate Calculations'!$G$9*(1-'Sum of Billing Determinants'!$AC51),0)</f>
        <v>-836745</v>
      </c>
      <c r="I43" s="29">
        <f>ROUND('Sum of Billing Determinants'!J51*-1*'Rate Calculations'!$G$9*(1-'Sum of Billing Determinants'!$AC51),0)</f>
        <v>-1159317</v>
      </c>
      <c r="J43" s="29">
        <f>ROUND('Sum of Billing Determinants'!K51*-1*'Rate Calculations'!$G$9*(1-'Sum of Billing Determinants'!$AC51),0)</f>
        <v>-1238754</v>
      </c>
      <c r="K43" s="29">
        <f>ROUND('Sum of Billing Determinants'!L51*-1*'Rate Calculations'!$G$9*(1-'Sum of Billing Determinants'!$AC51),0)</f>
        <v>-1176141</v>
      </c>
      <c r="L43" s="29">
        <f>ROUND('Sum of Billing Determinants'!M51*-1*'Rate Calculations'!$G$9*(1-'Sum of Billing Determinants'!$AC51),0)</f>
        <v>-1136649</v>
      </c>
      <c r="M43" s="29">
        <f>ROUND('Sum of Billing Determinants'!N51*-1*'Rate Calculations'!$G$9*(1-'Sum of Billing Determinants'!$AC51),0)</f>
        <v>-1050382</v>
      </c>
      <c r="N43" s="29">
        <f t="shared" si="0"/>
        <v>-10881325</v>
      </c>
    </row>
    <row r="44" spans="2:14" ht="15">
      <c r="B44" s="25">
        <f>'Sum of Billing Determinants'!A52</f>
        <v>10105</v>
      </c>
      <c r="C44" s="25" t="str">
        <f>'Sum of Billing Determinants'!B52</f>
        <v>Clatskanie PUD</v>
      </c>
      <c r="D44" s="29">
        <f>ROUND('Sum of Billing Determinants'!E52*-1*'Rate Calculations'!$G$9*(1-'Sum of Billing Determinants'!$AC52),0)</f>
        <v>-281519</v>
      </c>
      <c r="E44" s="29">
        <f>ROUND('Sum of Billing Determinants'!F52*-1*'Rate Calculations'!$G$9*(1-'Sum of Billing Determinants'!$AC52),0)</f>
        <v>-232523</v>
      </c>
      <c r="F44" s="29">
        <f>ROUND('Sum of Billing Determinants'!G52*-1*'Rate Calculations'!$G$9*(1-'Sum of Billing Determinants'!$AC52),0)</f>
        <v>-201533</v>
      </c>
      <c r="G44" s="29">
        <f>ROUND('Sum of Billing Determinants'!H52*-1*'Rate Calculations'!$G$9*(1-'Sum of Billing Determinants'!$AC52),0)</f>
        <v>-240589</v>
      </c>
      <c r="H44" s="29">
        <f>ROUND('Sum of Billing Determinants'!I52*-1*'Rate Calculations'!$G$9*(1-'Sum of Billing Determinants'!$AC52),0)</f>
        <v>-186786</v>
      </c>
      <c r="I44" s="29">
        <f>ROUND('Sum of Billing Determinants'!J52*-1*'Rate Calculations'!$G$9*(1-'Sum of Billing Determinants'!$AC52),0)</f>
        <v>-258793</v>
      </c>
      <c r="J44" s="29">
        <f>ROUND('Sum of Billing Determinants'!K52*-1*'Rate Calculations'!$G$9*(1-'Sum of Billing Determinants'!$AC52),0)</f>
        <v>-276526</v>
      </c>
      <c r="K44" s="29">
        <f>ROUND('Sum of Billing Determinants'!L52*-1*'Rate Calculations'!$G$9*(1-'Sum of Billing Determinants'!$AC52),0)</f>
        <v>-262549</v>
      </c>
      <c r="L44" s="29">
        <f>ROUND('Sum of Billing Determinants'!M52*-1*'Rate Calculations'!$G$9*(1-'Sum of Billing Determinants'!$AC52),0)</f>
        <v>-253733</v>
      </c>
      <c r="M44" s="29">
        <f>ROUND('Sum of Billing Determinants'!N52*-1*'Rate Calculations'!$G$9*(1-'Sum of Billing Determinants'!$AC52),0)</f>
        <v>-234476</v>
      </c>
      <c r="N44" s="29">
        <f t="shared" si="0"/>
        <v>-2429027</v>
      </c>
    </row>
    <row r="45" spans="2:14" ht="15">
      <c r="B45" s="25">
        <f>'Sum of Billing Determinants'!A53</f>
        <v>10106</v>
      </c>
      <c r="C45" s="25" t="str">
        <f>'Sum of Billing Determinants'!B53</f>
        <v>Clearwater Power</v>
      </c>
      <c r="D45" s="29">
        <f>ROUND('Sum of Billing Determinants'!E53*-1*'Rate Calculations'!$G$9*(1-'Sum of Billing Determinants'!$AC53),0)</f>
        <v>-169790</v>
      </c>
      <c r="E45" s="29">
        <f>ROUND('Sum of Billing Determinants'!F53*-1*'Rate Calculations'!$G$9*(1-'Sum of Billing Determinants'!$AC53),0)</f>
        <v>-140239</v>
      </c>
      <c r="F45" s="29">
        <f>ROUND('Sum of Billing Determinants'!G53*-1*'Rate Calculations'!$G$9*(1-'Sum of Billing Determinants'!$AC53),0)</f>
        <v>-121549</v>
      </c>
      <c r="G45" s="29">
        <f>ROUND('Sum of Billing Determinants'!H53*-1*'Rate Calculations'!$G$9*(1-'Sum of Billing Determinants'!$AC53),0)</f>
        <v>-145105</v>
      </c>
      <c r="H45" s="29">
        <f>ROUND('Sum of Billing Determinants'!I53*-1*'Rate Calculations'!$G$9*(1-'Sum of Billing Determinants'!$AC53),0)</f>
        <v>-112654</v>
      </c>
      <c r="I45" s="29">
        <f>ROUND('Sum of Billing Determinants'!J53*-1*'Rate Calculations'!$G$9*(1-'Sum of Billing Determinants'!$AC53),0)</f>
        <v>-156083</v>
      </c>
      <c r="J45" s="29">
        <f>ROUND('Sum of Billing Determinants'!K53*-1*'Rate Calculations'!$G$9*(1-'Sum of Billing Determinants'!$AC53),0)</f>
        <v>-166778</v>
      </c>
      <c r="K45" s="29">
        <f>ROUND('Sum of Billing Determinants'!L53*-1*'Rate Calculations'!$G$9*(1-'Sum of Billing Determinants'!$AC53),0)</f>
        <v>-158349</v>
      </c>
      <c r="L45" s="29">
        <f>ROUND('Sum of Billing Determinants'!M53*-1*'Rate Calculations'!$G$9*(1-'Sum of Billing Determinants'!$AC53),0)</f>
        <v>-153032</v>
      </c>
      <c r="M45" s="29">
        <f>ROUND('Sum of Billing Determinants'!N53*-1*'Rate Calculations'!$G$9*(1-'Sum of Billing Determinants'!$AC53),0)</f>
        <v>-141417</v>
      </c>
      <c r="N45" s="29">
        <f t="shared" si="0"/>
        <v>-1464996</v>
      </c>
    </row>
    <row r="46" spans="2:14" ht="15">
      <c r="B46" s="25">
        <f>'Sum of Billing Determinants'!A54</f>
        <v>10109</v>
      </c>
      <c r="C46" s="25" t="str">
        <f>'Sum of Billing Determinants'!B54</f>
        <v>Columbia Basin Elec Coop</v>
      </c>
      <c r="D46" s="29">
        <f>ROUND('Sum of Billing Determinants'!E54*-1*'Rate Calculations'!$G$9*(1-'Sum of Billing Determinants'!$AC54),0)</f>
        <v>-85272</v>
      </c>
      <c r="E46" s="29">
        <f>ROUND('Sum of Billing Determinants'!F54*-1*'Rate Calculations'!$G$9*(1-'Sum of Billing Determinants'!$AC54),0)</f>
        <v>-70431</v>
      </c>
      <c r="F46" s="29">
        <f>ROUND('Sum of Billing Determinants'!G54*-1*'Rate Calculations'!$G$9*(1-'Sum of Billing Determinants'!$AC54),0)</f>
        <v>-61044</v>
      </c>
      <c r="G46" s="29">
        <f>ROUND('Sum of Billing Determinants'!H54*-1*'Rate Calculations'!$G$9*(1-'Sum of Billing Determinants'!$AC54),0)</f>
        <v>-72875</v>
      </c>
      <c r="H46" s="29">
        <f>ROUND('Sum of Billing Determinants'!I54*-1*'Rate Calculations'!$G$9*(1-'Sum of Billing Determinants'!$AC54),0)</f>
        <v>-56578</v>
      </c>
      <c r="I46" s="29">
        <f>ROUND('Sum of Billing Determinants'!J54*-1*'Rate Calculations'!$G$9*(1-'Sum of Billing Determinants'!$AC54),0)</f>
        <v>-78389</v>
      </c>
      <c r="J46" s="29">
        <f>ROUND('Sum of Billing Determinants'!K54*-1*'Rate Calculations'!$G$9*(1-'Sum of Billing Determinants'!$AC54),0)</f>
        <v>-83760</v>
      </c>
      <c r="K46" s="29">
        <f>ROUND('Sum of Billing Determinants'!L54*-1*'Rate Calculations'!$G$9*(1-'Sum of Billing Determinants'!$AC54),0)</f>
        <v>-79526</v>
      </c>
      <c r="L46" s="29">
        <f>ROUND('Sum of Billing Determinants'!M54*-1*'Rate Calculations'!$G$9*(1-'Sum of Billing Determinants'!$AC54),0)</f>
        <v>-76856</v>
      </c>
      <c r="M46" s="29">
        <f>ROUND('Sum of Billing Determinants'!N54*-1*'Rate Calculations'!$G$9*(1-'Sum of Billing Determinants'!$AC54),0)</f>
        <v>-71023</v>
      </c>
      <c r="N46" s="29">
        <f t="shared" si="0"/>
        <v>-735754</v>
      </c>
    </row>
    <row r="47" spans="2:14" ht="15">
      <c r="B47" s="25">
        <f>'Sum of Billing Determinants'!A55</f>
        <v>10111</v>
      </c>
      <c r="C47" s="25" t="str">
        <f>'Sum of Billing Determinants'!B55</f>
        <v>Columbia Power Coop</v>
      </c>
      <c r="D47" s="29">
        <f>ROUND('Sum of Billing Determinants'!E55*-1*'Rate Calculations'!$G$9*(1-'Sum of Billing Determinants'!$AC55),0)</f>
        <v>-22798</v>
      </c>
      <c r="E47" s="29">
        <f>ROUND('Sum of Billing Determinants'!F55*-1*'Rate Calculations'!$G$9*(1-'Sum of Billing Determinants'!$AC55),0)</f>
        <v>-18830</v>
      </c>
      <c r="F47" s="29">
        <f>ROUND('Sum of Billing Determinants'!G55*-1*'Rate Calculations'!$G$9*(1-'Sum of Billing Determinants'!$AC55),0)</f>
        <v>-16321</v>
      </c>
      <c r="G47" s="29">
        <f>ROUND('Sum of Billing Determinants'!H55*-1*'Rate Calculations'!$G$9*(1-'Sum of Billing Determinants'!$AC55),0)</f>
        <v>-19484</v>
      </c>
      <c r="H47" s="29">
        <f>ROUND('Sum of Billing Determinants'!I55*-1*'Rate Calculations'!$G$9*(1-'Sum of Billing Determinants'!$AC55),0)</f>
        <v>-15126</v>
      </c>
      <c r="I47" s="29">
        <f>ROUND('Sum of Billing Determinants'!J55*-1*'Rate Calculations'!$G$9*(1-'Sum of Billing Determinants'!$AC55),0)</f>
        <v>-20958</v>
      </c>
      <c r="J47" s="29">
        <f>ROUND('Sum of Billing Determinants'!K55*-1*'Rate Calculations'!$G$9*(1-'Sum of Billing Determinants'!$AC55),0)</f>
        <v>-22394</v>
      </c>
      <c r="K47" s="29">
        <f>ROUND('Sum of Billing Determinants'!L55*-1*'Rate Calculations'!$G$9*(1-'Sum of Billing Determinants'!$AC55),0)</f>
        <v>-21262</v>
      </c>
      <c r="L47" s="29">
        <f>ROUND('Sum of Billing Determinants'!M55*-1*'Rate Calculations'!$G$9*(1-'Sum of Billing Determinants'!$AC55),0)</f>
        <v>-20548</v>
      </c>
      <c r="M47" s="29">
        <f>ROUND('Sum of Billing Determinants'!N55*-1*'Rate Calculations'!$G$9*(1-'Sum of Billing Determinants'!$AC55),0)</f>
        <v>-18988</v>
      </c>
      <c r="N47" s="29">
        <f t="shared" si="0"/>
        <v>-196709</v>
      </c>
    </row>
    <row r="48" spans="2:14" ht="15">
      <c r="B48" s="25">
        <f>'Sum of Billing Determinants'!A56</f>
        <v>10112</v>
      </c>
      <c r="C48" s="25" t="str">
        <f>'Sum of Billing Determinants'!B56</f>
        <v>Columbia River PUD</v>
      </c>
      <c r="D48" s="29">
        <f>ROUND('Sum of Billing Determinants'!E56*-1*'Rate Calculations'!$G$9*(1-'Sum of Billing Determinants'!$AC56),0)</f>
        <v>-443800</v>
      </c>
      <c r="E48" s="29">
        <f>ROUND('Sum of Billing Determinants'!F56*-1*'Rate Calculations'!$G$9*(1-'Sum of Billing Determinants'!$AC56),0)</f>
        <v>-366560</v>
      </c>
      <c r="F48" s="29">
        <f>ROUND('Sum of Billing Determinants'!G56*-1*'Rate Calculations'!$G$9*(1-'Sum of Billing Determinants'!$AC56),0)</f>
        <v>-317705</v>
      </c>
      <c r="G48" s="29">
        <f>ROUND('Sum of Billing Determinants'!H56*-1*'Rate Calculations'!$G$9*(1-'Sum of Billing Determinants'!$AC56),0)</f>
        <v>-379276</v>
      </c>
      <c r="H48" s="29">
        <f>ROUND('Sum of Billing Determinants'!I56*-1*'Rate Calculations'!$G$9*(1-'Sum of Billing Determinants'!$AC56),0)</f>
        <v>-294457</v>
      </c>
      <c r="I48" s="29">
        <f>ROUND('Sum of Billing Determinants'!J56*-1*'Rate Calculations'!$G$9*(1-'Sum of Billing Determinants'!$AC56),0)</f>
        <v>-407973</v>
      </c>
      <c r="J48" s="29">
        <f>ROUND('Sum of Billing Determinants'!K56*-1*'Rate Calculations'!$G$9*(1-'Sum of Billing Determinants'!$AC56),0)</f>
        <v>-435928</v>
      </c>
      <c r="K48" s="29">
        <f>ROUND('Sum of Billing Determinants'!L56*-1*'Rate Calculations'!$G$9*(1-'Sum of Billing Determinants'!$AC56),0)</f>
        <v>-413894</v>
      </c>
      <c r="L48" s="29">
        <f>ROUND('Sum of Billing Determinants'!M56*-1*'Rate Calculations'!$G$9*(1-'Sum of Billing Determinants'!$AC56),0)</f>
        <v>-399996</v>
      </c>
      <c r="M48" s="29">
        <f>ROUND('Sum of Billing Determinants'!N56*-1*'Rate Calculations'!$G$9*(1-'Sum of Billing Determinants'!$AC56),0)</f>
        <v>-369638</v>
      </c>
      <c r="N48" s="29">
        <f t="shared" si="0"/>
        <v>-3829227</v>
      </c>
    </row>
    <row r="49" spans="2:14" ht="15">
      <c r="B49" s="25">
        <f>'Sum of Billing Determinants'!A57</f>
        <v>10113</v>
      </c>
      <c r="C49" s="25" t="str">
        <f>'Sum of Billing Determinants'!B57</f>
        <v>Columbia REA</v>
      </c>
      <c r="D49" s="29">
        <f>ROUND('Sum of Billing Determinants'!E57*-1*'Rate Calculations'!$G$9*(1-'Sum of Billing Determinants'!$AC57),0)</f>
        <v>-265016</v>
      </c>
      <c r="E49" s="29">
        <f>ROUND('Sum of Billing Determinants'!F57*-1*'Rate Calculations'!$G$9*(1-'Sum of Billing Determinants'!$AC57),0)</f>
        <v>-218892</v>
      </c>
      <c r="F49" s="29">
        <f>ROUND('Sum of Billing Determinants'!G57*-1*'Rate Calculations'!$G$9*(1-'Sum of Billing Determinants'!$AC57),0)</f>
        <v>-189719</v>
      </c>
      <c r="G49" s="29">
        <f>ROUND('Sum of Billing Determinants'!H57*-1*'Rate Calculations'!$G$9*(1-'Sum of Billing Determinants'!$AC57),0)</f>
        <v>-226486</v>
      </c>
      <c r="H49" s="29">
        <f>ROUND('Sum of Billing Determinants'!I57*-1*'Rate Calculations'!$G$9*(1-'Sum of Billing Determinants'!$AC57),0)</f>
        <v>-175836</v>
      </c>
      <c r="I49" s="29">
        <f>ROUND('Sum of Billing Determinants'!J57*-1*'Rate Calculations'!$G$9*(1-'Sum of Billing Determinants'!$AC57),0)</f>
        <v>-243622</v>
      </c>
      <c r="J49" s="29">
        <f>ROUND('Sum of Billing Determinants'!K57*-1*'Rate Calculations'!$G$9*(1-'Sum of Billing Determinants'!$AC57),0)</f>
        <v>-260315</v>
      </c>
      <c r="K49" s="29">
        <f>ROUND('Sum of Billing Determinants'!L57*-1*'Rate Calculations'!$G$9*(1-'Sum of Billing Determinants'!$AC57),0)</f>
        <v>-247158</v>
      </c>
      <c r="L49" s="29">
        <f>ROUND('Sum of Billing Determinants'!M57*-1*'Rate Calculations'!$G$9*(1-'Sum of Billing Determinants'!$AC57),0)</f>
        <v>-238859</v>
      </c>
      <c r="M49" s="29">
        <f>ROUND('Sum of Billing Determinants'!N57*-1*'Rate Calculations'!$G$9*(1-'Sum of Billing Determinants'!$AC57),0)</f>
        <v>-220730</v>
      </c>
      <c r="N49" s="29">
        <f t="shared" si="0"/>
        <v>-2286633</v>
      </c>
    </row>
    <row r="50" spans="2:14" ht="15">
      <c r="B50" s="25">
        <f>'Sum of Billing Determinants'!A58</f>
        <v>10116</v>
      </c>
      <c r="C50" s="25" t="str">
        <f>'Sum of Billing Determinants'!B58</f>
        <v>Consolidated Irrigation District #19</v>
      </c>
      <c r="D50" s="29">
        <f>ROUND('Sum of Billing Determinants'!E58*-1*'Rate Calculations'!$G$9*(1-'Sum of Billing Determinants'!$AC58),0)</f>
        <v>-1744</v>
      </c>
      <c r="E50" s="29">
        <f>ROUND('Sum of Billing Determinants'!F58*-1*'Rate Calculations'!$G$9*(1-'Sum of Billing Determinants'!$AC58),0)</f>
        <v>-1441</v>
      </c>
      <c r="F50" s="29">
        <f>ROUND('Sum of Billing Determinants'!G58*-1*'Rate Calculations'!$G$9*(1-'Sum of Billing Determinants'!$AC58),0)</f>
        <v>-1249</v>
      </c>
      <c r="G50" s="29">
        <f>ROUND('Sum of Billing Determinants'!H58*-1*'Rate Calculations'!$G$9*(1-'Sum of Billing Determinants'!$AC58),0)</f>
        <v>-1491</v>
      </c>
      <c r="H50" s="29">
        <f>ROUND('Sum of Billing Determinants'!I58*-1*'Rate Calculations'!$G$9*(1-'Sum of Billing Determinants'!$AC58),0)</f>
        <v>-1157</v>
      </c>
      <c r="I50" s="29">
        <f>ROUND('Sum of Billing Determinants'!J58*-1*'Rate Calculations'!$G$9*(1-'Sum of Billing Determinants'!$AC58),0)</f>
        <v>-1604</v>
      </c>
      <c r="J50" s="29">
        <f>ROUND('Sum of Billing Determinants'!K58*-1*'Rate Calculations'!$G$9*(1-'Sum of Billing Determinants'!$AC58),0)</f>
        <v>-1713</v>
      </c>
      <c r="K50" s="29">
        <f>ROUND('Sum of Billing Determinants'!L58*-1*'Rate Calculations'!$G$9*(1-'Sum of Billing Determinants'!$AC58),0)</f>
        <v>-1627</v>
      </c>
      <c r="L50" s="29">
        <f>ROUND('Sum of Billing Determinants'!M58*-1*'Rate Calculations'!$G$9*(1-'Sum of Billing Determinants'!$AC58),0)</f>
        <v>-1572</v>
      </c>
      <c r="M50" s="29">
        <f>ROUND('Sum of Billing Determinants'!N58*-1*'Rate Calculations'!$G$9*(1-'Sum of Billing Determinants'!$AC58),0)</f>
        <v>-1453</v>
      </c>
      <c r="N50" s="29">
        <f t="shared" si="0"/>
        <v>-15051</v>
      </c>
    </row>
    <row r="51" spans="2:14" ht="15">
      <c r="B51" s="25">
        <f>'Sum of Billing Determinants'!A59</f>
        <v>10118</v>
      </c>
      <c r="C51" s="25" t="str">
        <f>'Sum of Billing Determinants'!B59</f>
        <v>Consumers Power</v>
      </c>
      <c r="D51" s="29">
        <f>ROUND('Sum of Billing Determinants'!E59*-1*'Rate Calculations'!$G$9*(1-'Sum of Billing Determinants'!$AC59),0)</f>
        <v>-324207</v>
      </c>
      <c r="E51" s="29">
        <f>ROUND('Sum of Billing Determinants'!F59*-1*'Rate Calculations'!$G$9*(1-'Sum of Billing Determinants'!$AC59),0)</f>
        <v>-267782</v>
      </c>
      <c r="F51" s="29">
        <f>ROUND('Sum of Billing Determinants'!G59*-1*'Rate Calculations'!$G$9*(1-'Sum of Billing Determinants'!$AC59),0)</f>
        <v>-232092</v>
      </c>
      <c r="G51" s="29">
        <f>ROUND('Sum of Billing Determinants'!H59*-1*'Rate Calculations'!$G$9*(1-'Sum of Billing Determinants'!$AC59),0)</f>
        <v>-277071</v>
      </c>
      <c r="H51" s="29">
        <f>ROUND('Sum of Billing Determinants'!I59*-1*'Rate Calculations'!$G$9*(1-'Sum of Billing Determinants'!$AC59),0)</f>
        <v>-215109</v>
      </c>
      <c r="I51" s="29">
        <f>ROUND('Sum of Billing Determinants'!J59*-1*'Rate Calculations'!$G$9*(1-'Sum of Billing Determinants'!$AC59),0)</f>
        <v>-298035</v>
      </c>
      <c r="J51" s="29">
        <f>ROUND('Sum of Billing Determinants'!K59*-1*'Rate Calculations'!$G$9*(1-'Sum of Billing Determinants'!$AC59),0)</f>
        <v>-318457</v>
      </c>
      <c r="K51" s="29">
        <f>ROUND('Sum of Billing Determinants'!L59*-1*'Rate Calculations'!$G$9*(1-'Sum of Billing Determinants'!$AC59),0)</f>
        <v>-302360</v>
      </c>
      <c r="L51" s="29">
        <f>ROUND('Sum of Billing Determinants'!M59*-1*'Rate Calculations'!$G$9*(1-'Sum of Billing Determinants'!$AC59),0)</f>
        <v>-292208</v>
      </c>
      <c r="M51" s="29">
        <f>ROUND('Sum of Billing Determinants'!N59*-1*'Rate Calculations'!$G$9*(1-'Sum of Billing Determinants'!$AC59),0)</f>
        <v>-270030</v>
      </c>
      <c r="N51" s="29">
        <f t="shared" si="0"/>
        <v>-2797351</v>
      </c>
    </row>
    <row r="52" spans="2:14" ht="15">
      <c r="B52" s="25">
        <f>'Sum of Billing Determinants'!A60</f>
        <v>10121</v>
      </c>
      <c r="C52" s="25" t="str">
        <f>'Sum of Billing Determinants'!B60</f>
        <v>Coos Curry Elec Coop</v>
      </c>
      <c r="D52" s="29">
        <f>ROUND('Sum of Billing Determinants'!E60*-1*'Rate Calculations'!$G$9*(1-'Sum of Billing Determinants'!$AC60),0)</f>
        <v>-294129</v>
      </c>
      <c r="E52" s="29">
        <f>ROUND('Sum of Billing Determinants'!F60*-1*'Rate Calculations'!$G$9*(1-'Sum of Billing Determinants'!$AC60),0)</f>
        <v>-242938</v>
      </c>
      <c r="F52" s="29">
        <f>ROUND('Sum of Billing Determinants'!G60*-1*'Rate Calculations'!$G$9*(1-'Sum of Billing Determinants'!$AC60),0)</f>
        <v>-210559</v>
      </c>
      <c r="G52" s="29">
        <f>ROUND('Sum of Billing Determinants'!H60*-1*'Rate Calculations'!$G$9*(1-'Sum of Billing Determinants'!$AC60),0)</f>
        <v>-251365</v>
      </c>
      <c r="H52" s="29">
        <f>ROUND('Sum of Billing Determinants'!I60*-1*'Rate Calculations'!$G$9*(1-'Sum of Billing Determinants'!$AC60),0)</f>
        <v>-195152</v>
      </c>
      <c r="I52" s="29">
        <f>ROUND('Sum of Billing Determinants'!J60*-1*'Rate Calculations'!$G$9*(1-'Sum of Billing Determinants'!$AC60),0)</f>
        <v>-270384</v>
      </c>
      <c r="J52" s="29">
        <f>ROUND('Sum of Billing Determinants'!K60*-1*'Rate Calculations'!$G$9*(1-'Sum of Billing Determinants'!$AC60),0)</f>
        <v>-288911</v>
      </c>
      <c r="K52" s="29">
        <f>ROUND('Sum of Billing Determinants'!L60*-1*'Rate Calculations'!$G$9*(1-'Sum of Billing Determinants'!$AC60),0)</f>
        <v>-274308</v>
      </c>
      <c r="L52" s="29">
        <f>ROUND('Sum of Billing Determinants'!M60*-1*'Rate Calculations'!$G$9*(1-'Sum of Billing Determinants'!$AC60),0)</f>
        <v>-265098</v>
      </c>
      <c r="M52" s="29">
        <f>ROUND('Sum of Billing Determinants'!N60*-1*'Rate Calculations'!$G$9*(1-'Sum of Billing Determinants'!$AC60),0)</f>
        <v>-244978</v>
      </c>
      <c r="N52" s="29">
        <f t="shared" si="0"/>
        <v>-2537822</v>
      </c>
    </row>
    <row r="53" spans="2:14" ht="15">
      <c r="B53" s="25">
        <f>'Sum of Billing Determinants'!A61</f>
        <v>10123</v>
      </c>
      <c r="C53" s="25" t="str">
        <f>'Sum of Billing Determinants'!B61</f>
        <v>Cowlitz County PUD #1</v>
      </c>
      <c r="D53" s="29">
        <f>ROUND('Sum of Billing Determinants'!E61*-1*'Rate Calculations'!$G$9*(1-'Sum of Billing Determinants'!$AC61),0)</f>
        <v>-1779284</v>
      </c>
      <c r="E53" s="29">
        <f>ROUND('Sum of Billing Determinants'!F61*-1*'Rate Calculations'!$G$9*(1-'Sum of Billing Determinants'!$AC61),0)</f>
        <v>-1469613</v>
      </c>
      <c r="F53" s="29">
        <f>ROUND('Sum of Billing Determinants'!G61*-1*'Rate Calculations'!$G$9*(1-'Sum of Billing Determinants'!$AC61),0)</f>
        <v>-1273746</v>
      </c>
      <c r="G53" s="29">
        <f>ROUND('Sum of Billing Determinants'!H61*-1*'Rate Calculations'!$G$9*(1-'Sum of Billing Determinants'!$AC61),0)</f>
        <v>-1520596</v>
      </c>
      <c r="H53" s="29">
        <f>ROUND('Sum of Billing Determinants'!I61*-1*'Rate Calculations'!$G$9*(1-'Sum of Billing Determinants'!$AC61),0)</f>
        <v>-1180540</v>
      </c>
      <c r="I53" s="29">
        <f>ROUND('Sum of Billing Determinants'!J61*-1*'Rate Calculations'!$G$9*(1-'Sum of Billing Determinants'!$AC61),0)</f>
        <v>-1635647</v>
      </c>
      <c r="J53" s="29">
        <f>ROUND('Sum of Billing Determinants'!K61*-1*'Rate Calculations'!$G$9*(1-'Sum of Billing Determinants'!$AC61),0)</f>
        <v>-1747723</v>
      </c>
      <c r="K53" s="29">
        <f>ROUND('Sum of Billing Determinants'!L61*-1*'Rate Calculations'!$G$9*(1-'Sum of Billing Determinants'!$AC61),0)</f>
        <v>-1659384</v>
      </c>
      <c r="L53" s="29">
        <f>ROUND('Sum of Billing Determinants'!M61*-1*'Rate Calculations'!$G$9*(1-'Sum of Billing Determinants'!$AC61),0)</f>
        <v>-1603666</v>
      </c>
      <c r="M53" s="29">
        <f>ROUND('Sum of Billing Determinants'!N61*-1*'Rate Calculations'!$G$9*(1-'Sum of Billing Determinants'!$AC61),0)</f>
        <v>-1481955</v>
      </c>
      <c r="N53" s="29">
        <f t="shared" si="0"/>
        <v>-15352154</v>
      </c>
    </row>
    <row r="54" spans="2:14" ht="15">
      <c r="B54" s="25">
        <f>'Sum of Billing Determinants'!A62</f>
        <v>10136</v>
      </c>
      <c r="C54" s="25" t="str">
        <f>'Sum of Billing Determinants'!B62</f>
        <v>Douglas Electric Cooperative</v>
      </c>
      <c r="D54" s="29">
        <f>ROUND('Sum of Billing Determinants'!E62*-1*'Rate Calculations'!$G$9*(1-'Sum of Billing Determinants'!$AC62),0)</f>
        <v>-131906</v>
      </c>
      <c r="E54" s="29">
        <f>ROUND('Sum of Billing Determinants'!F62*-1*'Rate Calculations'!$G$9*(1-'Sum of Billing Determinants'!$AC62),0)</f>
        <v>-108949</v>
      </c>
      <c r="F54" s="29">
        <f>ROUND('Sum of Billing Determinants'!G62*-1*'Rate Calculations'!$G$9*(1-'Sum of Billing Determinants'!$AC62),0)</f>
        <v>-94428</v>
      </c>
      <c r="G54" s="29">
        <f>ROUND('Sum of Billing Determinants'!H62*-1*'Rate Calculations'!$G$9*(1-'Sum of Billing Determinants'!$AC62),0)</f>
        <v>-112728</v>
      </c>
      <c r="H54" s="29">
        <f>ROUND('Sum of Billing Determinants'!I62*-1*'Rate Calculations'!$G$9*(1-'Sum of Billing Determinants'!$AC62),0)</f>
        <v>-87518</v>
      </c>
      <c r="I54" s="29">
        <f>ROUND('Sum of Billing Determinants'!J62*-1*'Rate Calculations'!$G$9*(1-'Sum of Billing Determinants'!$AC62),0)</f>
        <v>-121257</v>
      </c>
      <c r="J54" s="29">
        <f>ROUND('Sum of Billing Determinants'!K62*-1*'Rate Calculations'!$G$9*(1-'Sum of Billing Determinants'!$AC62),0)</f>
        <v>-129566</v>
      </c>
      <c r="K54" s="29">
        <f>ROUND('Sum of Billing Determinants'!L62*-1*'Rate Calculations'!$G$9*(1-'Sum of Billing Determinants'!$AC62),0)</f>
        <v>-123017</v>
      </c>
      <c r="L54" s="29">
        <f>ROUND('Sum of Billing Determinants'!M62*-1*'Rate Calculations'!$G$9*(1-'Sum of Billing Determinants'!$AC62),0)</f>
        <v>-118886</v>
      </c>
      <c r="M54" s="29">
        <f>ROUND('Sum of Billing Determinants'!N62*-1*'Rate Calculations'!$G$9*(1-'Sum of Billing Determinants'!$AC62),0)</f>
        <v>-109864</v>
      </c>
      <c r="N54" s="29">
        <f t="shared" si="0"/>
        <v>-1138119</v>
      </c>
    </row>
    <row r="55" spans="2:14" ht="15">
      <c r="B55" s="25">
        <f>'Sum of Billing Determinants'!A63</f>
        <v>10142</v>
      </c>
      <c r="C55" s="25" t="str">
        <f>'Sum of Billing Determinants'!B63</f>
        <v>East End Mutual Electric</v>
      </c>
      <c r="D55" s="29">
        <f>ROUND('Sum of Billing Determinants'!E63*-1*'Rate Calculations'!$G$9*(1-'Sum of Billing Determinants'!$AC63),0)</f>
        <v>-20009</v>
      </c>
      <c r="E55" s="29">
        <f>ROUND('Sum of Billing Determinants'!F63*-1*'Rate Calculations'!$G$9*(1-'Sum of Billing Determinants'!$AC63),0)</f>
        <v>-16527</v>
      </c>
      <c r="F55" s="29">
        <f>ROUND('Sum of Billing Determinants'!G63*-1*'Rate Calculations'!$G$9*(1-'Sum of Billing Determinants'!$AC63),0)</f>
        <v>-14324</v>
      </c>
      <c r="G55" s="29">
        <f>ROUND('Sum of Billing Determinants'!H63*-1*'Rate Calculations'!$G$9*(1-'Sum of Billing Determinants'!$AC63),0)</f>
        <v>-17100</v>
      </c>
      <c r="H55" s="29">
        <f>ROUND('Sum of Billing Determinants'!I63*-1*'Rate Calculations'!$G$9*(1-'Sum of Billing Determinants'!$AC63),0)</f>
        <v>-13276</v>
      </c>
      <c r="I55" s="29">
        <f>ROUND('Sum of Billing Determinants'!J63*-1*'Rate Calculations'!$G$9*(1-'Sum of Billing Determinants'!$AC63),0)</f>
        <v>-18394</v>
      </c>
      <c r="J55" s="29">
        <f>ROUND('Sum of Billing Determinants'!K63*-1*'Rate Calculations'!$G$9*(1-'Sum of Billing Determinants'!$AC63),0)</f>
        <v>-19654</v>
      </c>
      <c r="K55" s="29">
        <f>ROUND('Sum of Billing Determinants'!L63*-1*'Rate Calculations'!$G$9*(1-'Sum of Billing Determinants'!$AC63),0)</f>
        <v>-18661</v>
      </c>
      <c r="L55" s="29">
        <f>ROUND('Sum of Billing Determinants'!M63*-1*'Rate Calculations'!$G$9*(1-'Sum of Billing Determinants'!$AC63),0)</f>
        <v>-18034</v>
      </c>
      <c r="M55" s="29">
        <f>ROUND('Sum of Billing Determinants'!N63*-1*'Rate Calculations'!$G$9*(1-'Sum of Billing Determinants'!$AC63),0)</f>
        <v>-16665</v>
      </c>
      <c r="N55" s="29">
        <f t="shared" si="0"/>
        <v>-172644</v>
      </c>
    </row>
    <row r="56" spans="2:14" ht="15">
      <c r="B56" s="25">
        <f>'Sum of Billing Determinants'!A64</f>
        <v>10144</v>
      </c>
      <c r="C56" s="25" t="str">
        <f>'Sum of Billing Determinants'!B64</f>
        <v>Eatonville, City of</v>
      </c>
      <c r="D56" s="29">
        <f>ROUND('Sum of Billing Determinants'!E64*-1*'Rate Calculations'!$G$9*(1-'Sum of Billing Determinants'!$AC64),0)</f>
        <v>-25841</v>
      </c>
      <c r="E56" s="29">
        <f>ROUND('Sum of Billing Determinants'!F64*-1*'Rate Calculations'!$G$9*(1-'Sum of Billing Determinants'!$AC64),0)</f>
        <v>-21344</v>
      </c>
      <c r="F56" s="29">
        <f>ROUND('Sum of Billing Determinants'!G64*-1*'Rate Calculations'!$G$9*(1-'Sum of Billing Determinants'!$AC64),0)</f>
        <v>-18499</v>
      </c>
      <c r="G56" s="29">
        <f>ROUND('Sum of Billing Determinants'!H64*-1*'Rate Calculations'!$G$9*(1-'Sum of Billing Determinants'!$AC64),0)</f>
        <v>-22084</v>
      </c>
      <c r="H56" s="29">
        <f>ROUND('Sum of Billing Determinants'!I64*-1*'Rate Calculations'!$G$9*(1-'Sum of Billing Determinants'!$AC64),0)</f>
        <v>-17146</v>
      </c>
      <c r="I56" s="29">
        <f>ROUND('Sum of Billing Determinants'!J64*-1*'Rate Calculations'!$G$9*(1-'Sum of Billing Determinants'!$AC64),0)</f>
        <v>-23755</v>
      </c>
      <c r="J56" s="29">
        <f>ROUND('Sum of Billing Determinants'!K64*-1*'Rate Calculations'!$G$9*(1-'Sum of Billing Determinants'!$AC64),0)</f>
        <v>-25383</v>
      </c>
      <c r="K56" s="29">
        <f>ROUND('Sum of Billing Determinants'!L64*-1*'Rate Calculations'!$G$9*(1-'Sum of Billing Determinants'!$AC64),0)</f>
        <v>-24100</v>
      </c>
      <c r="L56" s="29">
        <f>ROUND('Sum of Billing Determinants'!M64*-1*'Rate Calculations'!$G$9*(1-'Sum of Billing Determinants'!$AC64),0)</f>
        <v>-23291</v>
      </c>
      <c r="M56" s="29">
        <f>ROUND('Sum of Billing Determinants'!N64*-1*'Rate Calculations'!$G$9*(1-'Sum of Billing Determinants'!$AC64),0)</f>
        <v>-21523</v>
      </c>
      <c r="N56" s="29">
        <f t="shared" si="0"/>
        <v>-222966</v>
      </c>
    </row>
    <row r="57" spans="2:14" ht="15">
      <c r="B57" s="25">
        <f>'Sum of Billing Determinants'!A65</f>
        <v>10156</v>
      </c>
      <c r="C57" s="25" t="str">
        <f>'Sum of Billing Determinants'!B65</f>
        <v>Elmhurst Mutual P &amp; L</v>
      </c>
      <c r="D57" s="29">
        <f>ROUND('Sum of Billing Determinants'!E65*-1*'Rate Calculations'!$G$9*(1-'Sum of Billing Determinants'!$AC65),0)</f>
        <v>-247313</v>
      </c>
      <c r="E57" s="29">
        <f>ROUND('Sum of Billing Determinants'!F65*-1*'Rate Calculations'!$G$9*(1-'Sum of Billing Determinants'!$AC65),0)</f>
        <v>-204270</v>
      </c>
      <c r="F57" s="29">
        <f>ROUND('Sum of Billing Determinants'!G65*-1*'Rate Calculations'!$G$9*(1-'Sum of Billing Determinants'!$AC65),0)</f>
        <v>-177046</v>
      </c>
      <c r="G57" s="29">
        <f>ROUND('Sum of Billing Determinants'!H65*-1*'Rate Calculations'!$G$9*(1-'Sum of Billing Determinants'!$AC65),0)</f>
        <v>-211357</v>
      </c>
      <c r="H57" s="29">
        <f>ROUND('Sum of Billing Determinants'!I65*-1*'Rate Calculations'!$G$9*(1-'Sum of Billing Determinants'!$AC65),0)</f>
        <v>-164090</v>
      </c>
      <c r="I57" s="29">
        <f>ROUND('Sum of Billing Determinants'!J65*-1*'Rate Calculations'!$G$9*(1-'Sum of Billing Determinants'!$AC65),0)</f>
        <v>-227348</v>
      </c>
      <c r="J57" s="29">
        <f>ROUND('Sum of Billing Determinants'!K65*-1*'Rate Calculations'!$G$9*(1-'Sum of Billing Determinants'!$AC65),0)</f>
        <v>-242926</v>
      </c>
      <c r="K57" s="29">
        <f>ROUND('Sum of Billing Determinants'!L65*-1*'Rate Calculations'!$G$9*(1-'Sum of Billing Determinants'!$AC65),0)</f>
        <v>-230648</v>
      </c>
      <c r="L57" s="29">
        <f>ROUND('Sum of Billing Determinants'!M65*-1*'Rate Calculations'!$G$9*(1-'Sum of Billing Determinants'!$AC65),0)</f>
        <v>-222903</v>
      </c>
      <c r="M57" s="29">
        <f>ROUND('Sum of Billing Determinants'!N65*-1*'Rate Calculations'!$G$9*(1-'Sum of Billing Determinants'!$AC65),0)</f>
        <v>-205986</v>
      </c>
      <c r="N57" s="29">
        <f t="shared" si="0"/>
        <v>-2133887</v>
      </c>
    </row>
    <row r="58" spans="2:14" ht="15">
      <c r="B58" s="25">
        <f>'Sum of Billing Determinants'!A66</f>
        <v>10157</v>
      </c>
      <c r="C58" s="25" t="str">
        <f>'Sum of Billing Determinants'!B66</f>
        <v>Emerald PUD</v>
      </c>
      <c r="D58" s="29">
        <f>ROUND('Sum of Billing Determinants'!E66*-1*'Rate Calculations'!$G$9*(1-'Sum of Billing Determinants'!$AC66),0)</f>
        <v>-172294</v>
      </c>
      <c r="E58" s="29">
        <f>ROUND('Sum of Billing Determinants'!F66*-1*'Rate Calculations'!$G$9*(1-'Sum of Billing Determinants'!$AC66),0)</f>
        <v>-142308</v>
      </c>
      <c r="F58" s="29">
        <f>ROUND('Sum of Billing Determinants'!G66*-1*'Rate Calculations'!$G$9*(1-'Sum of Billing Determinants'!$AC66),0)</f>
        <v>-123341</v>
      </c>
      <c r="G58" s="29">
        <f>ROUND('Sum of Billing Determinants'!H66*-1*'Rate Calculations'!$G$9*(1-'Sum of Billing Determinants'!$AC66),0)</f>
        <v>-147245</v>
      </c>
      <c r="H58" s="29">
        <f>ROUND('Sum of Billing Determinants'!I66*-1*'Rate Calculations'!$G$9*(1-'Sum of Billing Determinants'!$AC66),0)</f>
        <v>-114316</v>
      </c>
      <c r="I58" s="29">
        <f>ROUND('Sum of Billing Determinants'!J66*-1*'Rate Calculations'!$G$9*(1-'Sum of Billing Determinants'!$AC66),0)</f>
        <v>-158385</v>
      </c>
      <c r="J58" s="29">
        <f>ROUND('Sum of Billing Determinants'!K66*-1*'Rate Calculations'!$G$9*(1-'Sum of Billing Determinants'!$AC66),0)</f>
        <v>-169238</v>
      </c>
      <c r="K58" s="29">
        <f>ROUND('Sum of Billing Determinants'!L66*-1*'Rate Calculations'!$G$9*(1-'Sum of Billing Determinants'!$AC66),0)</f>
        <v>-160684</v>
      </c>
      <c r="L58" s="29">
        <f>ROUND('Sum of Billing Determinants'!M66*-1*'Rate Calculations'!$G$9*(1-'Sum of Billing Determinants'!$AC66),0)</f>
        <v>-155289</v>
      </c>
      <c r="M58" s="29">
        <f>ROUND('Sum of Billing Determinants'!N66*-1*'Rate Calculations'!$G$9*(1-'Sum of Billing Determinants'!$AC66),0)</f>
        <v>-143503</v>
      </c>
      <c r="N58" s="29">
        <f t="shared" si="0"/>
        <v>-1486603</v>
      </c>
    </row>
    <row r="59" spans="2:14" ht="15">
      <c r="B59" s="25">
        <f>'Sum of Billing Determinants'!A67</f>
        <v>10158</v>
      </c>
      <c r="C59" s="25" t="str">
        <f>'Sum of Billing Determinants'!B67</f>
        <v>Energy Northwest</v>
      </c>
      <c r="D59" s="29">
        <f>ROUND('Sum of Billing Determinants'!E67*-1*'Rate Calculations'!$G$9*(1-'Sum of Billing Determinants'!$AC67),0)</f>
        <v>-19086</v>
      </c>
      <c r="E59" s="29">
        <f>ROUND('Sum of Billing Determinants'!F67*-1*'Rate Calculations'!$G$9*(1-'Sum of Billing Determinants'!$AC67),0)</f>
        <v>-15764</v>
      </c>
      <c r="F59" s="29">
        <f>ROUND('Sum of Billing Determinants'!G67*-1*'Rate Calculations'!$G$9*(1-'Sum of Billing Determinants'!$AC67),0)</f>
        <v>-13663</v>
      </c>
      <c r="G59" s="29">
        <f>ROUND('Sum of Billing Determinants'!H67*-1*'Rate Calculations'!$G$9*(1-'Sum of Billing Determinants'!$AC67),0)</f>
        <v>-16311</v>
      </c>
      <c r="H59" s="29">
        <f>ROUND('Sum of Billing Determinants'!I67*-1*'Rate Calculations'!$G$9*(1-'Sum of Billing Determinants'!$AC67),0)</f>
        <v>-12663</v>
      </c>
      <c r="I59" s="29">
        <f>ROUND('Sum of Billing Determinants'!J67*-1*'Rate Calculations'!$G$9*(1-'Sum of Billing Determinants'!$AC67),0)</f>
        <v>-17545</v>
      </c>
      <c r="J59" s="29">
        <f>ROUND('Sum of Billing Determinants'!K67*-1*'Rate Calculations'!$G$9*(1-'Sum of Billing Determinants'!$AC67),0)</f>
        <v>-18747</v>
      </c>
      <c r="K59" s="29">
        <f>ROUND('Sum of Billing Determinants'!L67*-1*'Rate Calculations'!$G$9*(1-'Sum of Billing Determinants'!$AC67),0)</f>
        <v>-17800</v>
      </c>
      <c r="L59" s="29">
        <f>ROUND('Sum of Billing Determinants'!M67*-1*'Rate Calculations'!$G$9*(1-'Sum of Billing Determinants'!$AC67),0)</f>
        <v>-17202</v>
      </c>
      <c r="M59" s="29">
        <f>ROUND('Sum of Billing Determinants'!N67*-1*'Rate Calculations'!$G$9*(1-'Sum of Billing Determinants'!$AC67),0)</f>
        <v>-15896</v>
      </c>
      <c r="N59" s="29">
        <f t="shared" si="0"/>
        <v>-164677</v>
      </c>
    </row>
    <row r="60" spans="2:14" ht="15">
      <c r="B60" s="25">
        <f>'Sum of Billing Determinants'!A68</f>
        <v>10170</v>
      </c>
      <c r="C60" s="25" t="str">
        <f>'Sum of Billing Determinants'!B68</f>
        <v>Eugene Water &amp; Electric Board</v>
      </c>
      <c r="D60" s="29">
        <f>ROUND('Sum of Billing Determinants'!E68*-1*'Rate Calculations'!$G$9*(1-'Sum of Billing Determinants'!$AC68),0)</f>
        <v>-927218</v>
      </c>
      <c r="E60" s="29">
        <f>ROUND('Sum of Billing Determinants'!F68*-1*'Rate Calculations'!$G$9*(1-'Sum of Billing Determinants'!$AC68),0)</f>
        <v>-765843</v>
      </c>
      <c r="F60" s="29">
        <f>ROUND('Sum of Billing Determinants'!G68*-1*'Rate Calculations'!$G$9*(1-'Sum of Billing Determinants'!$AC68),0)</f>
        <v>-663772</v>
      </c>
      <c r="G60" s="29">
        <f>ROUND('Sum of Billing Determinants'!H68*-1*'Rate Calculations'!$G$9*(1-'Sum of Billing Determinants'!$AC68),0)</f>
        <v>-792410</v>
      </c>
      <c r="H60" s="29">
        <f>ROUND('Sum of Billing Determinants'!I68*-1*'Rate Calculations'!$G$9*(1-'Sum of Billing Determinants'!$AC68),0)</f>
        <v>-615201</v>
      </c>
      <c r="I60" s="29">
        <f>ROUND('Sum of Billing Determinants'!J68*-1*'Rate Calculations'!$G$9*(1-'Sum of Billing Determinants'!$AC68),0)</f>
        <v>-852366</v>
      </c>
      <c r="J60" s="29">
        <f>ROUND('Sum of Billing Determinants'!K68*-1*'Rate Calculations'!$G$9*(1-'Sum of Billing Determinants'!$AC68),0)</f>
        <v>-910771</v>
      </c>
      <c r="K60" s="29">
        <f>ROUND('Sum of Billing Determinants'!L68*-1*'Rate Calculations'!$G$9*(1-'Sum of Billing Determinants'!$AC68),0)</f>
        <v>-864735</v>
      </c>
      <c r="L60" s="29">
        <f>ROUND('Sum of Billing Determinants'!M68*-1*'Rate Calculations'!$G$9*(1-'Sum of Billing Determinants'!$AC68),0)</f>
        <v>-835700</v>
      </c>
      <c r="M60" s="29">
        <f>ROUND('Sum of Billing Determinants'!N68*-1*'Rate Calculations'!$G$9*(1-'Sum of Billing Determinants'!$AC68),0)</f>
        <v>-772274</v>
      </c>
      <c r="N60" s="29">
        <f t="shared" si="0"/>
        <v>-8000290</v>
      </c>
    </row>
    <row r="61" spans="2:14" ht="15">
      <c r="B61" s="25">
        <f>'Sum of Billing Determinants'!A69</f>
        <v>10172</v>
      </c>
      <c r="C61" s="25" t="str">
        <f>'Sum of Billing Determinants'!B69</f>
        <v>U.S. Airforce Base, Fairchild</v>
      </c>
      <c r="D61" s="29">
        <f>ROUND('Sum of Billing Determinants'!E69*-1*'Rate Calculations'!$G$9*(1-'Sum of Billing Determinants'!$AC69),0)</f>
        <v>-44093</v>
      </c>
      <c r="E61" s="29">
        <f>ROUND('Sum of Billing Determinants'!F69*-1*'Rate Calculations'!$G$9*(1-'Sum of Billing Determinants'!$AC69),0)</f>
        <v>-36419</v>
      </c>
      <c r="F61" s="29">
        <f>ROUND('Sum of Billing Determinants'!G69*-1*'Rate Calculations'!$G$9*(1-'Sum of Billing Determinants'!$AC69),0)</f>
        <v>-31565</v>
      </c>
      <c r="G61" s="29">
        <f>ROUND('Sum of Billing Determinants'!H69*-1*'Rate Calculations'!$G$9*(1-'Sum of Billing Determinants'!$AC69),0)</f>
        <v>-37682</v>
      </c>
      <c r="H61" s="29">
        <f>ROUND('Sum of Billing Determinants'!I69*-1*'Rate Calculations'!$G$9*(1-'Sum of Billing Determinants'!$AC69),0)</f>
        <v>-29255</v>
      </c>
      <c r="I61" s="29">
        <f>ROUND('Sum of Billing Determinants'!J69*-1*'Rate Calculations'!$G$9*(1-'Sum of Billing Determinants'!$AC69),0)</f>
        <v>-40533</v>
      </c>
      <c r="J61" s="29">
        <f>ROUND('Sum of Billing Determinants'!K69*-1*'Rate Calculations'!$G$9*(1-'Sum of Billing Determinants'!$AC69),0)</f>
        <v>-43311</v>
      </c>
      <c r="K61" s="29">
        <f>ROUND('Sum of Billing Determinants'!L69*-1*'Rate Calculations'!$G$9*(1-'Sum of Billing Determinants'!$AC69),0)</f>
        <v>-41122</v>
      </c>
      <c r="L61" s="29">
        <f>ROUND('Sum of Billing Determinants'!M69*-1*'Rate Calculations'!$G$9*(1-'Sum of Billing Determinants'!$AC69),0)</f>
        <v>-39741</v>
      </c>
      <c r="M61" s="29">
        <f>ROUND('Sum of Billing Determinants'!N69*-1*'Rate Calculations'!$G$9*(1-'Sum of Billing Determinants'!$AC69),0)</f>
        <v>-36725</v>
      </c>
      <c r="N61" s="29">
        <f t="shared" si="0"/>
        <v>-380446</v>
      </c>
    </row>
    <row r="62" spans="2:14" ht="15">
      <c r="B62" s="25">
        <f>'Sum of Billing Determinants'!A70</f>
        <v>10173</v>
      </c>
      <c r="C62" s="25" t="str">
        <f>'Sum of Billing Determinants'!B70</f>
        <v>Fall River Elec Coop</v>
      </c>
      <c r="D62" s="29">
        <f>ROUND('Sum of Billing Determinants'!E70*-1*'Rate Calculations'!$G$9*(1-'Sum of Billing Determinants'!$AC70),0)</f>
        <v>-232296</v>
      </c>
      <c r="E62" s="29">
        <f>ROUND('Sum of Billing Determinants'!F70*-1*'Rate Calculations'!$G$9*(1-'Sum of Billing Determinants'!$AC70),0)</f>
        <v>-191866</v>
      </c>
      <c r="F62" s="29">
        <f>ROUND('Sum of Billing Determinants'!G70*-1*'Rate Calculations'!$G$9*(1-'Sum of Billing Determinants'!$AC70),0)</f>
        <v>-166295</v>
      </c>
      <c r="G62" s="29">
        <f>ROUND('Sum of Billing Determinants'!H70*-1*'Rate Calculations'!$G$9*(1-'Sum of Billing Determinants'!$AC70),0)</f>
        <v>-198522</v>
      </c>
      <c r="H62" s="29">
        <f>ROUND('Sum of Billing Determinants'!I70*-1*'Rate Calculations'!$G$9*(1-'Sum of Billing Determinants'!$AC70),0)</f>
        <v>-154126</v>
      </c>
      <c r="I62" s="29">
        <f>ROUND('Sum of Billing Determinants'!J70*-1*'Rate Calculations'!$G$9*(1-'Sum of Billing Determinants'!$AC70),0)</f>
        <v>-213543</v>
      </c>
      <c r="J62" s="29">
        <f>ROUND('Sum of Billing Determinants'!K70*-1*'Rate Calculations'!$G$9*(1-'Sum of Billing Determinants'!$AC70),0)</f>
        <v>-228175</v>
      </c>
      <c r="K62" s="29">
        <f>ROUND('Sum of Billing Determinants'!L70*-1*'Rate Calculations'!$G$9*(1-'Sum of Billing Determinants'!$AC70),0)</f>
        <v>-216642</v>
      </c>
      <c r="L62" s="29">
        <f>ROUND('Sum of Billing Determinants'!M70*-1*'Rate Calculations'!$G$9*(1-'Sum of Billing Determinants'!$AC70),0)</f>
        <v>-209368</v>
      </c>
      <c r="M62" s="29">
        <f>ROUND('Sum of Billing Determinants'!N70*-1*'Rate Calculations'!$G$9*(1-'Sum of Billing Determinants'!$AC70),0)</f>
        <v>-193478</v>
      </c>
      <c r="N62" s="29">
        <f t="shared" si="0"/>
        <v>-2004311</v>
      </c>
    </row>
    <row r="63" spans="2:14" ht="15">
      <c r="B63" s="25">
        <f>'Sum of Billing Determinants'!A71</f>
        <v>10174</v>
      </c>
      <c r="C63" s="25" t="str">
        <f>'Sum of Billing Determinants'!B71</f>
        <v>Farmers Elec Coop</v>
      </c>
      <c r="D63" s="29">
        <f>ROUND('Sum of Billing Determinants'!E71*-1*'Rate Calculations'!$G$9*(1-'Sum of Billing Determinants'!$AC71),0)</f>
        <v>-3890</v>
      </c>
      <c r="E63" s="29">
        <f>ROUND('Sum of Billing Determinants'!F71*-1*'Rate Calculations'!$G$9*(1-'Sum of Billing Determinants'!$AC71),0)</f>
        <v>-3213</v>
      </c>
      <c r="F63" s="29">
        <f>ROUND('Sum of Billing Determinants'!G71*-1*'Rate Calculations'!$G$9*(1-'Sum of Billing Determinants'!$AC71),0)</f>
        <v>-2785</v>
      </c>
      <c r="G63" s="29">
        <f>ROUND('Sum of Billing Determinants'!H71*-1*'Rate Calculations'!$G$9*(1-'Sum of Billing Determinants'!$AC71),0)</f>
        <v>-3324</v>
      </c>
      <c r="H63" s="29">
        <f>ROUND('Sum of Billing Determinants'!I71*-1*'Rate Calculations'!$G$9*(1-'Sum of Billing Determinants'!$AC71),0)</f>
        <v>-2581</v>
      </c>
      <c r="I63" s="29">
        <f>ROUND('Sum of Billing Determinants'!J71*-1*'Rate Calculations'!$G$9*(1-'Sum of Billing Determinants'!$AC71),0)</f>
        <v>-3576</v>
      </c>
      <c r="J63" s="29">
        <f>ROUND('Sum of Billing Determinants'!K71*-1*'Rate Calculations'!$G$9*(1-'Sum of Billing Determinants'!$AC71),0)</f>
        <v>-3821</v>
      </c>
      <c r="K63" s="29">
        <f>ROUND('Sum of Billing Determinants'!L71*-1*'Rate Calculations'!$G$9*(1-'Sum of Billing Determinants'!$AC71),0)</f>
        <v>-3628</v>
      </c>
      <c r="L63" s="29">
        <f>ROUND('Sum of Billing Determinants'!M71*-1*'Rate Calculations'!$G$9*(1-'Sum of Billing Determinants'!$AC71),0)</f>
        <v>-3506</v>
      </c>
      <c r="M63" s="29">
        <f>ROUND('Sum of Billing Determinants'!N71*-1*'Rate Calculations'!$G$9*(1-'Sum of Billing Determinants'!$AC71),0)</f>
        <v>-3240</v>
      </c>
      <c r="N63" s="29">
        <f t="shared" si="0"/>
        <v>-33564</v>
      </c>
    </row>
    <row r="64" spans="2:14" ht="15">
      <c r="B64" s="25">
        <f>'Sum of Billing Determinants'!A72</f>
        <v>10177</v>
      </c>
      <c r="C64" s="25" t="str">
        <f>'Sum of Billing Determinants'!B72</f>
        <v>Ferry County PUD #1</v>
      </c>
      <c r="D64" s="29">
        <f>ROUND('Sum of Billing Determinants'!E72*-1*'Rate Calculations'!$G$9*(1-'Sum of Billing Determinants'!$AC72),0)</f>
        <v>-66772</v>
      </c>
      <c r="E64" s="29">
        <f>ROUND('Sum of Billing Determinants'!F72*-1*'Rate Calculations'!$G$9*(1-'Sum of Billing Determinants'!$AC72),0)</f>
        <v>-55151</v>
      </c>
      <c r="F64" s="29">
        <f>ROUND('Sum of Billing Determinants'!G72*-1*'Rate Calculations'!$G$9*(1-'Sum of Billing Determinants'!$AC72),0)</f>
        <v>-47800</v>
      </c>
      <c r="G64" s="29">
        <f>ROUND('Sum of Billing Determinants'!H72*-1*'Rate Calculations'!$G$9*(1-'Sum of Billing Determinants'!$AC72),0)</f>
        <v>-57064</v>
      </c>
      <c r="H64" s="29">
        <f>ROUND('Sum of Billing Determinants'!I72*-1*'Rate Calculations'!$G$9*(1-'Sum of Billing Determinants'!$AC72),0)</f>
        <v>-44303</v>
      </c>
      <c r="I64" s="29">
        <f>ROUND('Sum of Billing Determinants'!J72*-1*'Rate Calculations'!$G$9*(1-'Sum of Billing Determinants'!$AC72),0)</f>
        <v>-61382</v>
      </c>
      <c r="J64" s="29">
        <f>ROUND('Sum of Billing Determinants'!K72*-1*'Rate Calculations'!$G$9*(1-'Sum of Billing Determinants'!$AC72),0)</f>
        <v>-65588</v>
      </c>
      <c r="K64" s="29">
        <f>ROUND('Sum of Billing Determinants'!L72*-1*'Rate Calculations'!$G$9*(1-'Sum of Billing Determinants'!$AC72),0)</f>
        <v>-62272</v>
      </c>
      <c r="L64" s="29">
        <f>ROUND('Sum of Billing Determinants'!M72*-1*'Rate Calculations'!$G$9*(1-'Sum of Billing Determinants'!$AC72),0)</f>
        <v>-60182</v>
      </c>
      <c r="M64" s="29">
        <f>ROUND('Sum of Billing Determinants'!N72*-1*'Rate Calculations'!$G$9*(1-'Sum of Billing Determinants'!$AC72),0)</f>
        <v>-55614</v>
      </c>
      <c r="N64" s="29">
        <f t="shared" si="0"/>
        <v>-576128</v>
      </c>
    </row>
    <row r="65" spans="2:14" ht="15">
      <c r="B65" s="25">
        <f>'Sum of Billing Determinants'!A73</f>
        <v>10179</v>
      </c>
      <c r="C65" s="25" t="str">
        <f>'Sum of Billing Determinants'!B73</f>
        <v>Flathead Elec Coop</v>
      </c>
      <c r="D65" s="29">
        <f>ROUND('Sum of Billing Determinants'!E73*-1*'Rate Calculations'!$G$9*(1-'Sum of Billing Determinants'!$AC73),0)</f>
        <v>-1279760</v>
      </c>
      <c r="E65" s="29">
        <f>ROUND('Sum of Billing Determinants'!F73*-1*'Rate Calculations'!$G$9*(1-'Sum of Billing Determinants'!$AC73),0)</f>
        <v>-1057028</v>
      </c>
      <c r="F65" s="29">
        <f>ROUND('Sum of Billing Determinants'!G73*-1*'Rate Calculations'!$G$9*(1-'Sum of Billing Determinants'!$AC73),0)</f>
        <v>-916149</v>
      </c>
      <c r="G65" s="29">
        <f>ROUND('Sum of Billing Determinants'!H73*-1*'Rate Calculations'!$G$9*(1-'Sum of Billing Determinants'!$AC73),0)</f>
        <v>-1093697</v>
      </c>
      <c r="H65" s="29">
        <f>ROUND('Sum of Billing Determinants'!I73*-1*'Rate Calculations'!$G$9*(1-'Sum of Billing Determinants'!$AC73),0)</f>
        <v>-849110</v>
      </c>
      <c r="I65" s="29">
        <f>ROUND('Sum of Billing Determinants'!J73*-1*'Rate Calculations'!$G$9*(1-'Sum of Billing Determinants'!$AC73),0)</f>
        <v>-1176448</v>
      </c>
      <c r="J65" s="29">
        <f>ROUND('Sum of Billing Determinants'!K73*-1*'Rate Calculations'!$G$9*(1-'Sum of Billing Determinants'!$AC73),0)</f>
        <v>-1257060</v>
      </c>
      <c r="K65" s="29">
        <f>ROUND('Sum of Billing Determinants'!L73*-1*'Rate Calculations'!$G$9*(1-'Sum of Billing Determinants'!$AC73),0)</f>
        <v>-1193521</v>
      </c>
      <c r="L65" s="29">
        <f>ROUND('Sum of Billing Determinants'!M73*-1*'Rate Calculations'!$G$9*(1-'Sum of Billing Determinants'!$AC73),0)</f>
        <v>-1153446</v>
      </c>
      <c r="M65" s="29">
        <f>ROUND('Sum of Billing Determinants'!N73*-1*'Rate Calculations'!$G$9*(1-'Sum of Billing Determinants'!$AC73),0)</f>
        <v>-1065904</v>
      </c>
      <c r="N65" s="29">
        <f t="shared" si="0"/>
        <v>-11042123</v>
      </c>
    </row>
    <row r="66" spans="2:14" ht="15">
      <c r="B66" s="25">
        <f>'Sum of Billing Determinants'!A74</f>
        <v>10183</v>
      </c>
      <c r="C66" s="25" t="str">
        <f>'Sum of Billing Determinants'!B74</f>
        <v>Franklin County PUD #1</v>
      </c>
      <c r="D66" s="29">
        <f>ROUND('Sum of Billing Determinants'!E74*-1*'Rate Calculations'!$G$9*(1-'Sum of Billing Determinants'!$AC74),0)</f>
        <v>-478260</v>
      </c>
      <c r="E66" s="29">
        <f>ROUND('Sum of Billing Determinants'!F74*-1*'Rate Calculations'!$G$9*(1-'Sum of Billing Determinants'!$AC74),0)</f>
        <v>-395023</v>
      </c>
      <c r="F66" s="29">
        <f>ROUND('Sum of Billing Determinants'!G74*-1*'Rate Calculations'!$G$9*(1-'Sum of Billing Determinants'!$AC74),0)</f>
        <v>-342375</v>
      </c>
      <c r="G66" s="29">
        <f>ROUND('Sum of Billing Determinants'!H74*-1*'Rate Calculations'!$G$9*(1-'Sum of Billing Determinants'!$AC74),0)</f>
        <v>-408727</v>
      </c>
      <c r="H66" s="29">
        <f>ROUND('Sum of Billing Determinants'!I74*-1*'Rate Calculations'!$G$9*(1-'Sum of Billing Determinants'!$AC74),0)</f>
        <v>-317322</v>
      </c>
      <c r="I66" s="29">
        <f>ROUND('Sum of Billing Determinants'!J74*-1*'Rate Calculations'!$G$9*(1-'Sum of Billing Determinants'!$AC74),0)</f>
        <v>-439652</v>
      </c>
      <c r="J66" s="29">
        <f>ROUND('Sum of Billing Determinants'!K74*-1*'Rate Calculations'!$G$9*(1-'Sum of Billing Determinants'!$AC74),0)</f>
        <v>-469777</v>
      </c>
      <c r="K66" s="29">
        <f>ROUND('Sum of Billing Determinants'!L74*-1*'Rate Calculations'!$G$9*(1-'Sum of Billing Determinants'!$AC74),0)</f>
        <v>-446032</v>
      </c>
      <c r="L66" s="29">
        <f>ROUND('Sum of Billing Determinants'!M74*-1*'Rate Calculations'!$G$9*(1-'Sum of Billing Determinants'!$AC74),0)</f>
        <v>-431055</v>
      </c>
      <c r="M66" s="29">
        <f>ROUND('Sum of Billing Determinants'!N74*-1*'Rate Calculations'!$G$9*(1-'Sum of Billing Determinants'!$AC74),0)</f>
        <v>-398340</v>
      </c>
      <c r="N66" s="29">
        <f t="shared" si="0"/>
        <v>-4126563</v>
      </c>
    </row>
    <row r="67" spans="2:14" ht="15">
      <c r="B67" s="25">
        <f>'Sum of Billing Determinants'!A75</f>
        <v>10186</v>
      </c>
      <c r="C67" s="25" t="str">
        <f>'Sum of Billing Determinants'!B75</f>
        <v>Glacier Elec  Coop</v>
      </c>
      <c r="D67" s="29">
        <f>ROUND('Sum of Billing Determinants'!E75*-1*'Rate Calculations'!$G$9*(1-'Sum of Billing Determinants'!$AC75),0)</f>
        <v>-136572</v>
      </c>
      <c r="E67" s="29">
        <f>ROUND('Sum of Billing Determinants'!F75*-1*'Rate Calculations'!$G$9*(1-'Sum of Billing Determinants'!$AC75),0)</f>
        <v>-112803</v>
      </c>
      <c r="F67" s="29">
        <f>ROUND('Sum of Billing Determinants'!G75*-1*'Rate Calculations'!$G$9*(1-'Sum of Billing Determinants'!$AC75),0)</f>
        <v>-97769</v>
      </c>
      <c r="G67" s="29">
        <f>ROUND('Sum of Billing Determinants'!H75*-1*'Rate Calculations'!$G$9*(1-'Sum of Billing Determinants'!$AC75),0)</f>
        <v>-116716</v>
      </c>
      <c r="H67" s="29">
        <f>ROUND('Sum of Billing Determinants'!I75*-1*'Rate Calculations'!$G$9*(1-'Sum of Billing Determinants'!$AC75),0)</f>
        <v>-90614</v>
      </c>
      <c r="I67" s="29">
        <f>ROUND('Sum of Billing Determinants'!J75*-1*'Rate Calculations'!$G$9*(1-'Sum of Billing Determinants'!$AC75),0)</f>
        <v>-125547</v>
      </c>
      <c r="J67" s="29">
        <f>ROUND('Sum of Billing Determinants'!K75*-1*'Rate Calculations'!$G$9*(1-'Sum of Billing Determinants'!$AC75),0)</f>
        <v>-134149</v>
      </c>
      <c r="K67" s="29">
        <f>ROUND('Sum of Billing Determinants'!L75*-1*'Rate Calculations'!$G$9*(1-'Sum of Billing Determinants'!$AC75),0)</f>
        <v>-127369</v>
      </c>
      <c r="L67" s="29">
        <f>ROUND('Sum of Billing Determinants'!M75*-1*'Rate Calculations'!$G$9*(1-'Sum of Billing Determinants'!$AC75),0)</f>
        <v>-123092</v>
      </c>
      <c r="M67" s="29">
        <f>ROUND('Sum of Billing Determinants'!N75*-1*'Rate Calculations'!$G$9*(1-'Sum of Billing Determinants'!$AC75),0)</f>
        <v>-113750</v>
      </c>
      <c r="N67" s="29">
        <f t="shared" si="0"/>
        <v>-1178381</v>
      </c>
    </row>
    <row r="68" spans="2:14" ht="15">
      <c r="B68" s="25">
        <f>'Sum of Billing Determinants'!A76</f>
        <v>10190</v>
      </c>
      <c r="C68" s="25" t="str">
        <f>'Sum of Billing Determinants'!B76</f>
        <v>Grant County PUD #2</v>
      </c>
      <c r="D68" s="29">
        <f>ROUND('Sum of Billing Determinants'!E76*-1*'Rate Calculations'!$G$9*(1-'Sum of Billing Determinants'!$AC76),0)</f>
        <v>-39824</v>
      </c>
      <c r="E68" s="29">
        <f>ROUND('Sum of Billing Determinants'!F76*-1*'Rate Calculations'!$G$9*(1-'Sum of Billing Determinants'!$AC76),0)</f>
        <v>-32893</v>
      </c>
      <c r="F68" s="29">
        <f>ROUND('Sum of Billing Determinants'!G76*-1*'Rate Calculations'!$G$9*(1-'Sum of Billing Determinants'!$AC76),0)</f>
        <v>-28509</v>
      </c>
      <c r="G68" s="29">
        <f>ROUND('Sum of Billing Determinants'!H76*-1*'Rate Calculations'!$G$9*(1-'Sum of Billing Determinants'!$AC76),0)</f>
        <v>-34034</v>
      </c>
      <c r="H68" s="29">
        <f>ROUND('Sum of Billing Determinants'!I76*-1*'Rate Calculations'!$G$9*(1-'Sum of Billing Determinants'!$AC76),0)</f>
        <v>-26423</v>
      </c>
      <c r="I68" s="29">
        <f>ROUND('Sum of Billing Determinants'!J76*-1*'Rate Calculations'!$G$9*(1-'Sum of Billing Determinants'!$AC76),0)</f>
        <v>-36609</v>
      </c>
      <c r="J68" s="29">
        <f>ROUND('Sum of Billing Determinants'!K76*-1*'Rate Calculations'!$G$9*(1-'Sum of Billing Determinants'!$AC76),0)</f>
        <v>-39117</v>
      </c>
      <c r="K68" s="29">
        <f>ROUND('Sum of Billing Determinants'!L76*-1*'Rate Calculations'!$G$9*(1-'Sum of Billing Determinants'!$AC76),0)</f>
        <v>-37140</v>
      </c>
      <c r="L68" s="29">
        <f>ROUND('Sum of Billing Determinants'!M76*-1*'Rate Calculations'!$G$9*(1-'Sum of Billing Determinants'!$AC76),0)</f>
        <v>-35893</v>
      </c>
      <c r="M68" s="29">
        <f>ROUND('Sum of Billing Determinants'!N76*-1*'Rate Calculations'!$G$9*(1-'Sum of Billing Determinants'!$AC76),0)</f>
        <v>-33169</v>
      </c>
      <c r="N68" s="29">
        <f t="shared" si="0"/>
        <v>-343611</v>
      </c>
    </row>
    <row r="69" spans="2:14" ht="15">
      <c r="B69" s="25">
        <f>'Sum of Billing Determinants'!A77</f>
        <v>10191</v>
      </c>
      <c r="C69" s="25" t="str">
        <f>'Sum of Billing Determinants'!B77</f>
        <v>Grays Harbor PUD #1</v>
      </c>
      <c r="D69" s="29">
        <f>ROUND('Sum of Billing Determinants'!E77*-1*'Rate Calculations'!$G$9*(1-'Sum of Billing Determinants'!$AC77),0)</f>
        <v>-482064</v>
      </c>
      <c r="E69" s="29">
        <f>ROUND('Sum of Billing Determinants'!F77*-1*'Rate Calculations'!$G$9*(1-'Sum of Billing Determinants'!$AC77),0)</f>
        <v>-398164</v>
      </c>
      <c r="F69" s="29">
        <f>ROUND('Sum of Billing Determinants'!G77*-1*'Rate Calculations'!$G$9*(1-'Sum of Billing Determinants'!$AC77),0)</f>
        <v>-345097</v>
      </c>
      <c r="G69" s="29">
        <f>ROUND('Sum of Billing Determinants'!H77*-1*'Rate Calculations'!$G$9*(1-'Sum of Billing Determinants'!$AC77),0)</f>
        <v>-411977</v>
      </c>
      <c r="H69" s="29">
        <f>ROUND('Sum of Billing Determinants'!I77*-1*'Rate Calculations'!$G$9*(1-'Sum of Billing Determinants'!$AC77),0)</f>
        <v>-319845</v>
      </c>
      <c r="I69" s="29">
        <f>ROUND('Sum of Billing Determinants'!J77*-1*'Rate Calculations'!$G$9*(1-'Sum of Billing Determinants'!$AC77),0)</f>
        <v>-443148</v>
      </c>
      <c r="J69" s="29">
        <f>ROUND('Sum of Billing Determinants'!K77*-1*'Rate Calculations'!$G$9*(1-'Sum of Billing Determinants'!$AC77),0)</f>
        <v>-473513</v>
      </c>
      <c r="K69" s="29">
        <f>ROUND('Sum of Billing Determinants'!L77*-1*'Rate Calculations'!$G$9*(1-'Sum of Billing Determinants'!$AC77),0)</f>
        <v>-449579</v>
      </c>
      <c r="L69" s="29">
        <f>ROUND('Sum of Billing Determinants'!M77*-1*'Rate Calculations'!$G$9*(1-'Sum of Billing Determinants'!$AC77),0)</f>
        <v>-434483</v>
      </c>
      <c r="M69" s="29">
        <f>ROUND('Sum of Billing Determinants'!N77*-1*'Rate Calculations'!$G$9*(1-'Sum of Billing Determinants'!$AC77),0)</f>
        <v>-401508</v>
      </c>
      <c r="N69" s="29">
        <f t="shared" si="0"/>
        <v>-4159378</v>
      </c>
    </row>
    <row r="70" spans="2:14" ht="15">
      <c r="B70" s="25">
        <f>'Sum of Billing Determinants'!A78</f>
        <v>10197</v>
      </c>
      <c r="C70" s="25" t="str">
        <f>'Sum of Billing Determinants'!B78</f>
        <v>Harney Elec Coop</v>
      </c>
      <c r="D70" s="29">
        <f>ROUND('Sum of Billing Determinants'!E78*-1*'Rate Calculations'!$G$9*(1-'Sum of Billing Determinants'!$AC78),0)</f>
        <v>-159549</v>
      </c>
      <c r="E70" s="29">
        <f>ROUND('Sum of Billing Determinants'!F78*-1*'Rate Calculations'!$G$9*(1-'Sum of Billing Determinants'!$AC78),0)</f>
        <v>-131781</v>
      </c>
      <c r="F70" s="29">
        <f>ROUND('Sum of Billing Determinants'!G78*-1*'Rate Calculations'!$G$9*(1-'Sum of Billing Determinants'!$AC78),0)</f>
        <v>-114217</v>
      </c>
      <c r="G70" s="29">
        <f>ROUND('Sum of Billing Determinants'!H78*-1*'Rate Calculations'!$G$9*(1-'Sum of Billing Determinants'!$AC78),0)</f>
        <v>-136352</v>
      </c>
      <c r="H70" s="29">
        <f>ROUND('Sum of Billing Determinants'!I78*-1*'Rate Calculations'!$G$9*(1-'Sum of Billing Determinants'!$AC78),0)</f>
        <v>-105859</v>
      </c>
      <c r="I70" s="29">
        <f>ROUND('Sum of Billing Determinants'!J78*-1*'Rate Calculations'!$G$9*(1-'Sum of Billing Determinants'!$AC78),0)</f>
        <v>-146669</v>
      </c>
      <c r="J70" s="29">
        <f>ROUND('Sum of Billing Determinants'!K78*-1*'Rate Calculations'!$G$9*(1-'Sum of Billing Determinants'!$AC78),0)</f>
        <v>-156719</v>
      </c>
      <c r="K70" s="29">
        <f>ROUND('Sum of Billing Determinants'!L78*-1*'Rate Calculations'!$G$9*(1-'Sum of Billing Determinants'!$AC78),0)</f>
        <v>-148797</v>
      </c>
      <c r="L70" s="29">
        <f>ROUND('Sum of Billing Determinants'!M78*-1*'Rate Calculations'!$G$9*(1-'Sum of Billing Determinants'!$AC78),0)</f>
        <v>-143801</v>
      </c>
      <c r="M70" s="29">
        <f>ROUND('Sum of Billing Determinants'!N78*-1*'Rate Calculations'!$G$9*(1-'Sum of Billing Determinants'!$AC78),0)</f>
        <v>-132887</v>
      </c>
      <c r="N70" s="29">
        <f aca="true" t="shared" si="1" ref="N70:N133">SUM(D70:M70)</f>
        <v>-1376631</v>
      </c>
    </row>
    <row r="71" spans="2:14" ht="15">
      <c r="B71" s="25">
        <f>'Sum of Billing Determinants'!A79</f>
        <v>10202</v>
      </c>
      <c r="C71" s="25" t="str">
        <f>'Sum of Billing Determinants'!B79</f>
        <v>Hood River Elec Coop</v>
      </c>
      <c r="D71" s="29">
        <f>ROUND('Sum of Billing Determinants'!E79*-1*'Rate Calculations'!$G$9*(1-'Sum of Billing Determinants'!$AC79),0)</f>
        <v>-100489</v>
      </c>
      <c r="E71" s="29">
        <f>ROUND('Sum of Billing Determinants'!F79*-1*'Rate Calculations'!$G$9*(1-'Sum of Billing Determinants'!$AC79),0)</f>
        <v>-82999</v>
      </c>
      <c r="F71" s="29">
        <f>ROUND('Sum of Billing Determinants'!G79*-1*'Rate Calculations'!$G$9*(1-'Sum of Billing Determinants'!$AC79),0)</f>
        <v>-71937</v>
      </c>
      <c r="G71" s="29">
        <f>ROUND('Sum of Billing Determinants'!H79*-1*'Rate Calculations'!$G$9*(1-'Sum of Billing Determinants'!$AC79),0)</f>
        <v>-85879</v>
      </c>
      <c r="H71" s="29">
        <f>ROUND('Sum of Billing Determinants'!I79*-1*'Rate Calculations'!$G$9*(1-'Sum of Billing Determinants'!$AC79),0)</f>
        <v>-66673</v>
      </c>
      <c r="I71" s="29">
        <f>ROUND('Sum of Billing Determinants'!J79*-1*'Rate Calculations'!$G$9*(1-'Sum of Billing Determinants'!$AC79),0)</f>
        <v>-92377</v>
      </c>
      <c r="J71" s="29">
        <f>ROUND('Sum of Billing Determinants'!K79*-1*'Rate Calculations'!$G$9*(1-'Sum of Billing Determinants'!$AC79),0)</f>
        <v>-98706</v>
      </c>
      <c r="K71" s="29">
        <f>ROUND('Sum of Billing Determinants'!L79*-1*'Rate Calculations'!$G$9*(1-'Sum of Billing Determinants'!$AC79),0)</f>
        <v>-93717</v>
      </c>
      <c r="L71" s="29">
        <f>ROUND('Sum of Billing Determinants'!M79*-1*'Rate Calculations'!$G$9*(1-'Sum of Billing Determinants'!$AC79),0)</f>
        <v>-90570</v>
      </c>
      <c r="M71" s="29">
        <f>ROUND('Sum of Billing Determinants'!N79*-1*'Rate Calculations'!$G$9*(1-'Sum of Billing Determinants'!$AC79),0)</f>
        <v>-83697</v>
      </c>
      <c r="N71" s="29">
        <f t="shared" si="1"/>
        <v>-867044</v>
      </c>
    </row>
    <row r="72" spans="2:14" ht="15">
      <c r="B72" s="25">
        <f>'Sum of Billing Determinants'!A80</f>
        <v>10203</v>
      </c>
      <c r="C72" s="25" t="str">
        <f>'Sum of Billing Determinants'!B80</f>
        <v>Idaho County L &amp; P</v>
      </c>
      <c r="D72" s="29">
        <f>ROUND('Sum of Billing Determinants'!E80*-1*'Rate Calculations'!$G$9*(1-'Sum of Billing Determinants'!$AC80),0)</f>
        <v>-44009</v>
      </c>
      <c r="E72" s="29">
        <f>ROUND('Sum of Billing Determinants'!F80*-1*'Rate Calculations'!$G$9*(1-'Sum of Billing Determinants'!$AC80),0)</f>
        <v>-36349</v>
      </c>
      <c r="F72" s="29">
        <f>ROUND('Sum of Billing Determinants'!G80*-1*'Rate Calculations'!$G$9*(1-'Sum of Billing Determinants'!$AC80),0)</f>
        <v>-31505</v>
      </c>
      <c r="G72" s="29">
        <f>ROUND('Sum of Billing Determinants'!H80*-1*'Rate Calculations'!$G$9*(1-'Sum of Billing Determinants'!$AC80),0)</f>
        <v>-37610</v>
      </c>
      <c r="H72" s="29">
        <f>ROUND('Sum of Billing Determinants'!I80*-1*'Rate Calculations'!$G$9*(1-'Sum of Billing Determinants'!$AC80),0)</f>
        <v>-29200</v>
      </c>
      <c r="I72" s="29">
        <f>ROUND('Sum of Billing Determinants'!J80*-1*'Rate Calculations'!$G$9*(1-'Sum of Billing Determinants'!$AC80),0)</f>
        <v>-40456</v>
      </c>
      <c r="J72" s="29">
        <f>ROUND('Sum of Billing Determinants'!K80*-1*'Rate Calculations'!$G$9*(1-'Sum of Billing Determinants'!$AC80),0)</f>
        <v>-43228</v>
      </c>
      <c r="K72" s="29">
        <f>ROUND('Sum of Billing Determinants'!L80*-1*'Rate Calculations'!$G$9*(1-'Sum of Billing Determinants'!$AC80),0)</f>
        <v>-41043</v>
      </c>
      <c r="L72" s="29">
        <f>ROUND('Sum of Billing Determinants'!M80*-1*'Rate Calculations'!$G$9*(1-'Sum of Billing Determinants'!$AC80),0)</f>
        <v>-39665</v>
      </c>
      <c r="M72" s="29">
        <f>ROUND('Sum of Billing Determinants'!N80*-1*'Rate Calculations'!$G$9*(1-'Sum of Billing Determinants'!$AC80),0)</f>
        <v>-36655</v>
      </c>
      <c r="N72" s="29">
        <f t="shared" si="1"/>
        <v>-379720</v>
      </c>
    </row>
    <row r="73" spans="2:14" ht="15">
      <c r="B73" s="25">
        <f>'Sum of Billing Determinants'!A81</f>
        <v>10204</v>
      </c>
      <c r="C73" s="25" t="str">
        <f>'Sum of Billing Determinants'!B81</f>
        <v>Idaho Falls Power</v>
      </c>
      <c r="D73" s="29">
        <f>ROUND('Sum of Billing Determinants'!E81*-1*'Rate Calculations'!$G$9*(1-'Sum of Billing Determinants'!$AC81),0)</f>
        <v>-312930</v>
      </c>
      <c r="E73" s="29">
        <f>ROUND('Sum of Billing Determinants'!F81*-1*'Rate Calculations'!$G$9*(1-'Sum of Billing Determinants'!$AC81),0)</f>
        <v>-258467</v>
      </c>
      <c r="F73" s="29">
        <f>ROUND('Sum of Billing Determinants'!G81*-1*'Rate Calculations'!$G$9*(1-'Sum of Billing Determinants'!$AC81),0)</f>
        <v>-224019</v>
      </c>
      <c r="G73" s="29">
        <f>ROUND('Sum of Billing Determinants'!H81*-1*'Rate Calculations'!$G$9*(1-'Sum of Billing Determinants'!$AC81),0)</f>
        <v>-267433</v>
      </c>
      <c r="H73" s="29">
        <f>ROUND('Sum of Billing Determinants'!I81*-1*'Rate Calculations'!$G$9*(1-'Sum of Billing Determinants'!$AC81),0)</f>
        <v>-207626</v>
      </c>
      <c r="I73" s="29">
        <f>ROUND('Sum of Billing Determinants'!J81*-1*'Rate Calculations'!$G$9*(1-'Sum of Billing Determinants'!$AC81),0)</f>
        <v>-287668</v>
      </c>
      <c r="J73" s="29">
        <f>ROUND('Sum of Billing Determinants'!K81*-1*'Rate Calculations'!$G$9*(1-'Sum of Billing Determinants'!$AC81),0)</f>
        <v>-307379</v>
      </c>
      <c r="K73" s="29">
        <f>ROUND('Sum of Billing Determinants'!L81*-1*'Rate Calculations'!$G$9*(1-'Sum of Billing Determinants'!$AC81),0)</f>
        <v>-291842</v>
      </c>
      <c r="L73" s="29">
        <f>ROUND('Sum of Billing Determinants'!M81*-1*'Rate Calculations'!$G$9*(1-'Sum of Billing Determinants'!$AC81),0)</f>
        <v>-282043</v>
      </c>
      <c r="M73" s="29">
        <f>ROUND('Sum of Billing Determinants'!N81*-1*'Rate Calculations'!$G$9*(1-'Sum of Billing Determinants'!$AC81),0)</f>
        <v>-260637</v>
      </c>
      <c r="N73" s="29">
        <f t="shared" si="1"/>
        <v>-2700044</v>
      </c>
    </row>
    <row r="74" spans="2:14" ht="15">
      <c r="B74" s="25">
        <f>'Sum of Billing Determinants'!A82</f>
        <v>10209</v>
      </c>
      <c r="C74" s="25" t="str">
        <f>'Sum of Billing Determinants'!B82</f>
        <v>Inland P &amp; L</v>
      </c>
      <c r="D74" s="29">
        <f>ROUND('Sum of Billing Determinants'!E82*-1*'Rate Calculations'!$G$9*(1-'Sum of Billing Determinants'!$AC82),0)</f>
        <v>-737904</v>
      </c>
      <c r="E74" s="29">
        <f>ROUND('Sum of Billing Determinants'!F82*-1*'Rate Calculations'!$G$9*(1-'Sum of Billing Determinants'!$AC82),0)</f>
        <v>-609477</v>
      </c>
      <c r="F74" s="29">
        <f>ROUND('Sum of Billing Determinants'!G82*-1*'Rate Calculations'!$G$9*(1-'Sum of Billing Determinants'!$AC82),0)</f>
        <v>-528247</v>
      </c>
      <c r="G74" s="29">
        <f>ROUND('Sum of Billing Determinants'!H82*-1*'Rate Calculations'!$G$9*(1-'Sum of Billing Determinants'!$AC82),0)</f>
        <v>-630620</v>
      </c>
      <c r="H74" s="29">
        <f>ROUND('Sum of Billing Determinants'!I82*-1*'Rate Calculations'!$G$9*(1-'Sum of Billing Determinants'!$AC82),0)</f>
        <v>-489593</v>
      </c>
      <c r="I74" s="29">
        <f>ROUND('Sum of Billing Determinants'!J82*-1*'Rate Calculations'!$G$9*(1-'Sum of Billing Determinants'!$AC82),0)</f>
        <v>-678334</v>
      </c>
      <c r="J74" s="29">
        <f>ROUND('Sum of Billing Determinants'!K82*-1*'Rate Calculations'!$G$9*(1-'Sum of Billing Determinants'!$AC82),0)</f>
        <v>-724815</v>
      </c>
      <c r="K74" s="29">
        <f>ROUND('Sum of Billing Determinants'!L82*-1*'Rate Calculations'!$G$9*(1-'Sum of Billing Determinants'!$AC82),0)</f>
        <v>-688179</v>
      </c>
      <c r="L74" s="29">
        <f>ROUND('Sum of Billing Determinants'!M82*-1*'Rate Calculations'!$G$9*(1-'Sum of Billing Determinants'!$AC82),0)</f>
        <v>-665072</v>
      </c>
      <c r="M74" s="29">
        <f>ROUND('Sum of Billing Determinants'!N82*-1*'Rate Calculations'!$G$9*(1-'Sum of Billing Determinants'!$AC82),0)</f>
        <v>-614595</v>
      </c>
      <c r="N74" s="29">
        <f t="shared" si="1"/>
        <v>-6366836</v>
      </c>
    </row>
    <row r="75" spans="2:14" ht="15">
      <c r="B75" s="25">
        <f>'Sum of Billing Determinants'!A83</f>
        <v>10230</v>
      </c>
      <c r="C75" s="25" t="str">
        <f>'Sum of Billing Determinants'!B83</f>
        <v>Kittitas County PUD #1</v>
      </c>
      <c r="D75" s="29">
        <f>ROUND('Sum of Billing Determinants'!E83*-1*'Rate Calculations'!$G$9*(1-'Sum of Billing Determinants'!$AC83),0)</f>
        <v>-67477</v>
      </c>
      <c r="E75" s="29">
        <f>ROUND('Sum of Billing Determinants'!F83*-1*'Rate Calculations'!$G$9*(1-'Sum of Billing Determinants'!$AC83),0)</f>
        <v>-55733</v>
      </c>
      <c r="F75" s="29">
        <f>ROUND('Sum of Billing Determinants'!G83*-1*'Rate Calculations'!$G$9*(1-'Sum of Billing Determinants'!$AC83),0)</f>
        <v>-48305</v>
      </c>
      <c r="G75" s="29">
        <f>ROUND('Sum of Billing Determinants'!H83*-1*'Rate Calculations'!$G$9*(1-'Sum of Billing Determinants'!$AC83),0)</f>
        <v>-57666</v>
      </c>
      <c r="H75" s="29">
        <f>ROUND('Sum of Billing Determinants'!I83*-1*'Rate Calculations'!$G$9*(1-'Sum of Billing Determinants'!$AC83),0)</f>
        <v>-44770</v>
      </c>
      <c r="I75" s="29">
        <f>ROUND('Sum of Billing Determinants'!J83*-1*'Rate Calculations'!$G$9*(1-'Sum of Billing Determinants'!$AC83),0)</f>
        <v>-62029</v>
      </c>
      <c r="J75" s="29">
        <f>ROUND('Sum of Billing Determinants'!K83*-1*'Rate Calculations'!$G$9*(1-'Sum of Billing Determinants'!$AC83),0)</f>
        <v>-66280</v>
      </c>
      <c r="K75" s="29">
        <f>ROUND('Sum of Billing Determinants'!L83*-1*'Rate Calculations'!$G$9*(1-'Sum of Billing Determinants'!$AC83),0)</f>
        <v>-62930</v>
      </c>
      <c r="L75" s="29">
        <f>ROUND('Sum of Billing Determinants'!M83*-1*'Rate Calculations'!$G$9*(1-'Sum of Billing Determinants'!$AC83),0)</f>
        <v>-60817</v>
      </c>
      <c r="M75" s="29">
        <f>ROUND('Sum of Billing Determinants'!N83*-1*'Rate Calculations'!$G$9*(1-'Sum of Billing Determinants'!$AC83),0)</f>
        <v>-56201</v>
      </c>
      <c r="N75" s="29">
        <f t="shared" si="1"/>
        <v>-582208</v>
      </c>
    </row>
    <row r="76" spans="2:14" ht="15">
      <c r="B76" s="25">
        <f>'Sum of Billing Determinants'!A84</f>
        <v>10231</v>
      </c>
      <c r="C76" s="25" t="str">
        <f>'Sum of Billing Determinants'!B84</f>
        <v>Klickitat County PUD #1</v>
      </c>
      <c r="D76" s="29">
        <f>ROUND('Sum of Billing Determinants'!E84*-1*'Rate Calculations'!$G$9*(1-'Sum of Billing Determinants'!$AC84),0)</f>
        <v>-255680</v>
      </c>
      <c r="E76" s="29">
        <f>ROUND('Sum of Billing Determinants'!F84*-1*'Rate Calculations'!$G$9*(1-'Sum of Billing Determinants'!$AC84),0)</f>
        <v>-211181</v>
      </c>
      <c r="F76" s="29">
        <f>ROUND('Sum of Billing Determinants'!G84*-1*'Rate Calculations'!$G$9*(1-'Sum of Billing Determinants'!$AC84),0)</f>
        <v>-183035</v>
      </c>
      <c r="G76" s="29">
        <f>ROUND('Sum of Billing Determinants'!H84*-1*'Rate Calculations'!$G$9*(1-'Sum of Billing Determinants'!$AC84),0)</f>
        <v>-218507</v>
      </c>
      <c r="H76" s="29">
        <f>ROUND('Sum of Billing Determinants'!I84*-1*'Rate Calculations'!$G$9*(1-'Sum of Billing Determinants'!$AC84),0)</f>
        <v>-169642</v>
      </c>
      <c r="I76" s="29">
        <f>ROUND('Sum of Billing Determinants'!J84*-1*'Rate Calculations'!$G$9*(1-'Sum of Billing Determinants'!$AC84),0)</f>
        <v>-235040</v>
      </c>
      <c r="J76" s="29">
        <f>ROUND('Sum of Billing Determinants'!K84*-1*'Rate Calculations'!$G$9*(1-'Sum of Billing Determinants'!$AC84),0)</f>
        <v>-251145</v>
      </c>
      <c r="K76" s="29">
        <f>ROUND('Sum of Billing Determinants'!L84*-1*'Rate Calculations'!$G$9*(1-'Sum of Billing Determinants'!$AC84),0)</f>
        <v>-238451</v>
      </c>
      <c r="L76" s="29">
        <f>ROUND('Sum of Billing Determinants'!M84*-1*'Rate Calculations'!$G$9*(1-'Sum of Billing Determinants'!$AC84),0)</f>
        <v>-230444</v>
      </c>
      <c r="M76" s="29">
        <f>ROUND('Sum of Billing Determinants'!N84*-1*'Rate Calculations'!$G$9*(1-'Sum of Billing Determinants'!$AC84),0)</f>
        <v>-212954</v>
      </c>
      <c r="N76" s="29">
        <f t="shared" si="1"/>
        <v>-2206079</v>
      </c>
    </row>
    <row r="77" spans="2:14" ht="15">
      <c r="B77" s="25">
        <f>'Sum of Billing Determinants'!A85</f>
        <v>10234</v>
      </c>
      <c r="C77" s="25" t="str">
        <f>'Sum of Billing Determinants'!B85</f>
        <v>Kootenai Electric Coop</v>
      </c>
      <c r="D77" s="29">
        <f>ROUND('Sum of Billing Determinants'!E85*-1*'Rate Calculations'!$G$9*(1-'Sum of Billing Determinants'!$AC85),0)</f>
        <v>-391234</v>
      </c>
      <c r="E77" s="29">
        <f>ROUND('Sum of Billing Determinants'!F85*-1*'Rate Calculations'!$G$9*(1-'Sum of Billing Determinants'!$AC85),0)</f>
        <v>-323143</v>
      </c>
      <c r="F77" s="29">
        <f>ROUND('Sum of Billing Determinants'!G85*-1*'Rate Calculations'!$G$9*(1-'Sum of Billing Determinants'!$AC85),0)</f>
        <v>-280075</v>
      </c>
      <c r="G77" s="29">
        <f>ROUND('Sum of Billing Determinants'!H85*-1*'Rate Calculations'!$G$9*(1-'Sum of Billing Determinants'!$AC85),0)</f>
        <v>-334353</v>
      </c>
      <c r="H77" s="29">
        <f>ROUND('Sum of Billing Determinants'!I85*-1*'Rate Calculations'!$G$9*(1-'Sum of Billing Determinants'!$AC85),0)</f>
        <v>-259580</v>
      </c>
      <c r="I77" s="29">
        <f>ROUND('Sum of Billing Determinants'!J85*-1*'Rate Calculations'!$G$9*(1-'Sum of Billing Determinants'!$AC85),0)</f>
        <v>-359651</v>
      </c>
      <c r="J77" s="29">
        <f>ROUND('Sum of Billing Determinants'!K85*-1*'Rate Calculations'!$G$9*(1-'Sum of Billing Determinants'!$AC85),0)</f>
        <v>-384294</v>
      </c>
      <c r="K77" s="29">
        <f>ROUND('Sum of Billing Determinants'!L85*-1*'Rate Calculations'!$G$9*(1-'Sum of Billing Determinants'!$AC85),0)</f>
        <v>-364870</v>
      </c>
      <c r="L77" s="29">
        <f>ROUND('Sum of Billing Determinants'!M85*-1*'Rate Calculations'!$G$9*(1-'Sum of Billing Determinants'!$AC85),0)</f>
        <v>-352619</v>
      </c>
      <c r="M77" s="29">
        <f>ROUND('Sum of Billing Determinants'!N85*-1*'Rate Calculations'!$G$9*(1-'Sum of Billing Determinants'!$AC85),0)</f>
        <v>-325856</v>
      </c>
      <c r="N77" s="29">
        <f t="shared" si="1"/>
        <v>-3375675</v>
      </c>
    </row>
    <row r="78" spans="2:14" ht="15">
      <c r="B78" s="25">
        <f>'Sum of Billing Determinants'!A86</f>
        <v>10235</v>
      </c>
      <c r="C78" s="25" t="str">
        <f>'Sum of Billing Determinants'!B86</f>
        <v>Lakeview L &amp; P (WA)</v>
      </c>
      <c r="D78" s="29">
        <f>ROUND('Sum of Billing Determinants'!E86*-1*'Rate Calculations'!$G$9*(1-'Sum of Billing Determinants'!$AC86),0)</f>
        <v>-247931</v>
      </c>
      <c r="E78" s="29">
        <f>ROUND('Sum of Billing Determinants'!F86*-1*'Rate Calculations'!$G$9*(1-'Sum of Billing Determinants'!$AC86),0)</f>
        <v>-204780</v>
      </c>
      <c r="F78" s="29">
        <f>ROUND('Sum of Billing Determinants'!G86*-1*'Rate Calculations'!$G$9*(1-'Sum of Billing Determinants'!$AC86),0)</f>
        <v>-177488</v>
      </c>
      <c r="G78" s="29">
        <f>ROUND('Sum of Billing Determinants'!H86*-1*'Rate Calculations'!$G$9*(1-'Sum of Billing Determinants'!$AC86),0)</f>
        <v>-211884</v>
      </c>
      <c r="H78" s="29">
        <f>ROUND('Sum of Billing Determinants'!I86*-1*'Rate Calculations'!$G$9*(1-'Sum of Billing Determinants'!$AC86),0)</f>
        <v>-164500</v>
      </c>
      <c r="I78" s="29">
        <f>ROUND('Sum of Billing Determinants'!J86*-1*'Rate Calculations'!$G$9*(1-'Sum of Billing Determinants'!$AC86),0)</f>
        <v>-227916</v>
      </c>
      <c r="J78" s="29">
        <f>ROUND('Sum of Billing Determinants'!K86*-1*'Rate Calculations'!$G$9*(1-'Sum of Billing Determinants'!$AC86),0)</f>
        <v>-243533</v>
      </c>
      <c r="K78" s="29">
        <f>ROUND('Sum of Billing Determinants'!L86*-1*'Rate Calculations'!$G$9*(1-'Sum of Billing Determinants'!$AC86),0)</f>
        <v>-231224</v>
      </c>
      <c r="L78" s="29">
        <f>ROUND('Sum of Billing Determinants'!M86*-1*'Rate Calculations'!$G$9*(1-'Sum of Billing Determinants'!$AC86),0)</f>
        <v>-223460</v>
      </c>
      <c r="M78" s="29">
        <f>ROUND('Sum of Billing Determinants'!N86*-1*'Rate Calculations'!$G$9*(1-'Sum of Billing Determinants'!$AC86),0)</f>
        <v>-206500</v>
      </c>
      <c r="N78" s="29">
        <f t="shared" si="1"/>
        <v>-2139216</v>
      </c>
    </row>
    <row r="79" spans="2:14" ht="15">
      <c r="B79" s="25">
        <f>'Sum of Billing Determinants'!A87</f>
        <v>10236</v>
      </c>
      <c r="C79" s="25" t="str">
        <f>'Sum of Billing Determinants'!B87</f>
        <v>Lane County Elec Coop</v>
      </c>
      <c r="D79" s="29">
        <f>ROUND('Sum of Billing Determinants'!E87*-1*'Rate Calculations'!$G$9*(1-'Sum of Billing Determinants'!$AC87),0)</f>
        <v>-205881</v>
      </c>
      <c r="E79" s="29">
        <f>ROUND('Sum of Billing Determinants'!F87*-1*'Rate Calculations'!$G$9*(1-'Sum of Billing Determinants'!$AC87),0)</f>
        <v>-170049</v>
      </c>
      <c r="F79" s="29">
        <f>ROUND('Sum of Billing Determinants'!G87*-1*'Rate Calculations'!$G$9*(1-'Sum of Billing Determinants'!$AC87),0)</f>
        <v>-147385</v>
      </c>
      <c r="G79" s="29">
        <f>ROUND('Sum of Billing Determinants'!H87*-1*'Rate Calculations'!$G$9*(1-'Sum of Billing Determinants'!$AC87),0)</f>
        <v>-175948</v>
      </c>
      <c r="H79" s="29">
        <f>ROUND('Sum of Billing Determinants'!I87*-1*'Rate Calculations'!$G$9*(1-'Sum of Billing Determinants'!$AC87),0)</f>
        <v>-136600</v>
      </c>
      <c r="I79" s="29">
        <f>ROUND('Sum of Billing Determinants'!J87*-1*'Rate Calculations'!$G$9*(1-'Sum of Billing Determinants'!$AC87),0)</f>
        <v>-189261</v>
      </c>
      <c r="J79" s="29">
        <f>ROUND('Sum of Billing Determinants'!K87*-1*'Rate Calculations'!$G$9*(1-'Sum of Billing Determinants'!$AC87),0)</f>
        <v>-202229</v>
      </c>
      <c r="K79" s="29">
        <f>ROUND('Sum of Billing Determinants'!L87*-1*'Rate Calculations'!$G$9*(1-'Sum of Billing Determinants'!$AC87),0)</f>
        <v>-192007</v>
      </c>
      <c r="L79" s="29">
        <f>ROUND('Sum of Billing Determinants'!M87*-1*'Rate Calculations'!$G$9*(1-'Sum of Billing Determinants'!$AC87),0)</f>
        <v>-185560</v>
      </c>
      <c r="M79" s="29">
        <f>ROUND('Sum of Billing Determinants'!N87*-1*'Rate Calculations'!$G$9*(1-'Sum of Billing Determinants'!$AC87),0)</f>
        <v>-171477</v>
      </c>
      <c r="N79" s="29">
        <f t="shared" si="1"/>
        <v>-1776397</v>
      </c>
    </row>
    <row r="80" spans="2:14" ht="15">
      <c r="B80" s="25">
        <f>'Sum of Billing Determinants'!A88</f>
        <v>10237</v>
      </c>
      <c r="C80" s="25" t="str">
        <f>'Sum of Billing Determinants'!B88</f>
        <v>Lewis County PUD #1</v>
      </c>
      <c r="D80" s="29">
        <f>ROUND('Sum of Billing Determinants'!E88*-1*'Rate Calculations'!$G$9*(1-'Sum of Billing Determinants'!$AC88),0)</f>
        <v>-334013</v>
      </c>
      <c r="E80" s="29">
        <f>ROUND('Sum of Billing Determinants'!F88*-1*'Rate Calculations'!$G$9*(1-'Sum of Billing Determinants'!$AC88),0)</f>
        <v>-275881</v>
      </c>
      <c r="F80" s="29">
        <f>ROUND('Sum of Billing Determinants'!G88*-1*'Rate Calculations'!$G$9*(1-'Sum of Billing Determinants'!$AC88),0)</f>
        <v>-239112</v>
      </c>
      <c r="G80" s="29">
        <f>ROUND('Sum of Billing Determinants'!H88*-1*'Rate Calculations'!$G$9*(1-'Sum of Billing Determinants'!$AC88),0)</f>
        <v>-285451</v>
      </c>
      <c r="H80" s="29">
        <f>ROUND('Sum of Billing Determinants'!I88*-1*'Rate Calculations'!$G$9*(1-'Sum of Billing Determinants'!$AC88),0)</f>
        <v>-221615</v>
      </c>
      <c r="I80" s="29">
        <f>ROUND('Sum of Billing Determinants'!J88*-1*'Rate Calculations'!$G$9*(1-'Sum of Billing Determinants'!$AC88),0)</f>
        <v>-307049</v>
      </c>
      <c r="J80" s="29">
        <f>ROUND('Sum of Billing Determinants'!K88*-1*'Rate Calculations'!$G$9*(1-'Sum of Billing Determinants'!$AC88),0)</f>
        <v>-328088</v>
      </c>
      <c r="K80" s="29">
        <f>ROUND('Sum of Billing Determinants'!L88*-1*'Rate Calculations'!$G$9*(1-'Sum of Billing Determinants'!$AC88),0)</f>
        <v>-311505</v>
      </c>
      <c r="L80" s="29">
        <f>ROUND('Sum of Billing Determinants'!M88*-1*'Rate Calculations'!$G$9*(1-'Sum of Billing Determinants'!$AC88),0)</f>
        <v>-301045</v>
      </c>
      <c r="M80" s="29">
        <f>ROUND('Sum of Billing Determinants'!N88*-1*'Rate Calculations'!$G$9*(1-'Sum of Billing Determinants'!$AC88),0)</f>
        <v>-278197</v>
      </c>
      <c r="N80" s="29">
        <f t="shared" si="1"/>
        <v>-2881956</v>
      </c>
    </row>
    <row r="81" spans="2:14" ht="15">
      <c r="B81" s="25">
        <f>'Sum of Billing Determinants'!A89</f>
        <v>10239</v>
      </c>
      <c r="C81" s="25" t="str">
        <f>'Sum of Billing Determinants'!B89</f>
        <v>Lincoln Elec Coop (MT)</v>
      </c>
      <c r="D81" s="29">
        <f>ROUND('Sum of Billing Determinants'!E89*-1*'Rate Calculations'!$G$9*(1-'Sum of Billing Determinants'!$AC89),0)</f>
        <v>-99151</v>
      </c>
      <c r="E81" s="29">
        <f>ROUND('Sum of Billing Determinants'!F89*-1*'Rate Calculations'!$G$9*(1-'Sum of Billing Determinants'!$AC89),0)</f>
        <v>-81894</v>
      </c>
      <c r="F81" s="29">
        <f>ROUND('Sum of Billing Determinants'!G89*-1*'Rate Calculations'!$G$9*(1-'Sum of Billing Determinants'!$AC89),0)</f>
        <v>-70980</v>
      </c>
      <c r="G81" s="29">
        <f>ROUND('Sum of Billing Determinants'!H89*-1*'Rate Calculations'!$G$9*(1-'Sum of Billing Determinants'!$AC89),0)</f>
        <v>-84735</v>
      </c>
      <c r="H81" s="29">
        <f>ROUND('Sum of Billing Determinants'!I89*-1*'Rate Calculations'!$G$9*(1-'Sum of Billing Determinants'!$AC89),0)</f>
        <v>-65786</v>
      </c>
      <c r="I81" s="29">
        <f>ROUND('Sum of Billing Determinants'!J89*-1*'Rate Calculations'!$G$9*(1-'Sum of Billing Determinants'!$AC89),0)</f>
        <v>-91147</v>
      </c>
      <c r="J81" s="29">
        <f>ROUND('Sum of Billing Determinants'!K89*-1*'Rate Calculations'!$G$9*(1-'Sum of Billing Determinants'!$AC89),0)</f>
        <v>-97392</v>
      </c>
      <c r="K81" s="29">
        <f>ROUND('Sum of Billing Determinants'!L89*-1*'Rate Calculations'!$G$9*(1-'Sum of Billing Determinants'!$AC89),0)</f>
        <v>-92469</v>
      </c>
      <c r="L81" s="29">
        <f>ROUND('Sum of Billing Determinants'!M89*-1*'Rate Calculations'!$G$9*(1-'Sum of Billing Determinants'!$AC89),0)</f>
        <v>-89365</v>
      </c>
      <c r="M81" s="29">
        <f>ROUND('Sum of Billing Determinants'!N89*-1*'Rate Calculations'!$G$9*(1-'Sum of Billing Determinants'!$AC89),0)</f>
        <v>-82582</v>
      </c>
      <c r="N81" s="29">
        <f t="shared" si="1"/>
        <v>-855501</v>
      </c>
    </row>
    <row r="82" spans="2:14" ht="15">
      <c r="B82" s="25">
        <f>'Sum of Billing Determinants'!A90</f>
        <v>10242</v>
      </c>
      <c r="C82" s="25" t="str">
        <f>'Sum of Billing Determinants'!B90</f>
        <v>Lost River Elec Coop</v>
      </c>
      <c r="D82" s="29">
        <f>ROUND('Sum of Billing Determinants'!E90*-1*'Rate Calculations'!$G$9*(1-'Sum of Billing Determinants'!$AC90),0)</f>
        <v>-67615</v>
      </c>
      <c r="E82" s="29">
        <f>ROUND('Sum of Billing Determinants'!F90*-1*'Rate Calculations'!$G$9*(1-'Sum of Billing Determinants'!$AC90),0)</f>
        <v>-55847</v>
      </c>
      <c r="F82" s="29">
        <f>ROUND('Sum of Billing Determinants'!G90*-1*'Rate Calculations'!$G$9*(1-'Sum of Billing Determinants'!$AC90),0)</f>
        <v>-48404</v>
      </c>
      <c r="G82" s="29">
        <f>ROUND('Sum of Billing Determinants'!H90*-1*'Rate Calculations'!$G$9*(1-'Sum of Billing Determinants'!$AC90),0)</f>
        <v>-57784</v>
      </c>
      <c r="H82" s="29">
        <f>ROUND('Sum of Billing Determinants'!I90*-1*'Rate Calculations'!$G$9*(1-'Sum of Billing Determinants'!$AC90),0)</f>
        <v>-44862</v>
      </c>
      <c r="I82" s="29">
        <f>ROUND('Sum of Billing Determinants'!J90*-1*'Rate Calculations'!$G$9*(1-'Sum of Billing Determinants'!$AC90),0)</f>
        <v>-62156</v>
      </c>
      <c r="J82" s="29">
        <f>ROUND('Sum of Billing Determinants'!K90*-1*'Rate Calculations'!$G$9*(1-'Sum of Billing Determinants'!$AC90),0)</f>
        <v>-66415</v>
      </c>
      <c r="K82" s="29">
        <f>ROUND('Sum of Billing Determinants'!L90*-1*'Rate Calculations'!$G$9*(1-'Sum of Billing Determinants'!$AC90),0)</f>
        <v>-63058</v>
      </c>
      <c r="L82" s="29">
        <f>ROUND('Sum of Billing Determinants'!M90*-1*'Rate Calculations'!$G$9*(1-'Sum of Billing Determinants'!$AC90),0)</f>
        <v>-60941</v>
      </c>
      <c r="M82" s="29">
        <f>ROUND('Sum of Billing Determinants'!N90*-1*'Rate Calculations'!$G$9*(1-'Sum of Billing Determinants'!$AC90),0)</f>
        <v>-56316</v>
      </c>
      <c r="N82" s="29">
        <f t="shared" si="1"/>
        <v>-583398</v>
      </c>
    </row>
    <row r="83" spans="2:14" ht="15">
      <c r="B83" s="25">
        <f>'Sum of Billing Determinants'!A91</f>
        <v>10244</v>
      </c>
      <c r="C83" s="25" t="str">
        <f>'Sum of Billing Determinants'!B91</f>
        <v>Lower Valley Energy</v>
      </c>
      <c r="D83" s="29">
        <f>ROUND('Sum of Billing Determinants'!E91*-1*'Rate Calculations'!$G$9*(1-'Sum of Billing Determinants'!$AC91),0)</f>
        <v>-612031</v>
      </c>
      <c r="E83" s="29">
        <f>ROUND('Sum of Billing Determinants'!F91*-1*'Rate Calculations'!$G$9*(1-'Sum of Billing Determinants'!$AC91),0)</f>
        <v>-505511</v>
      </c>
      <c r="F83" s="29">
        <f>ROUND('Sum of Billing Determinants'!G91*-1*'Rate Calculations'!$G$9*(1-'Sum of Billing Determinants'!$AC91),0)</f>
        <v>-438138</v>
      </c>
      <c r="G83" s="29">
        <f>ROUND('Sum of Billing Determinants'!H91*-1*'Rate Calculations'!$G$9*(1-'Sum of Billing Determinants'!$AC91),0)</f>
        <v>-523048</v>
      </c>
      <c r="H83" s="29">
        <f>ROUND('Sum of Billing Determinants'!I91*-1*'Rate Calculations'!$G$9*(1-'Sum of Billing Determinants'!$AC91),0)</f>
        <v>-406077</v>
      </c>
      <c r="I83" s="29">
        <f>ROUND('Sum of Billing Determinants'!J91*-1*'Rate Calculations'!$G$9*(1-'Sum of Billing Determinants'!$AC91),0)</f>
        <v>-562623</v>
      </c>
      <c r="J83" s="29">
        <f>ROUND('Sum of Billing Determinants'!K91*-1*'Rate Calculations'!$G$9*(1-'Sum of Billing Determinants'!$AC91),0)</f>
        <v>-601174</v>
      </c>
      <c r="K83" s="29">
        <f>ROUND('Sum of Billing Determinants'!L91*-1*'Rate Calculations'!$G$9*(1-'Sum of Billing Determinants'!$AC91),0)</f>
        <v>-570788</v>
      </c>
      <c r="L83" s="29">
        <f>ROUND('Sum of Billing Determinants'!M91*-1*'Rate Calculations'!$G$9*(1-'Sum of Billing Determinants'!$AC91),0)</f>
        <v>-551622</v>
      </c>
      <c r="M83" s="29">
        <f>ROUND('Sum of Billing Determinants'!N91*-1*'Rate Calculations'!$G$9*(1-'Sum of Billing Determinants'!$AC91),0)</f>
        <v>-509756</v>
      </c>
      <c r="N83" s="29">
        <f t="shared" si="1"/>
        <v>-5280768</v>
      </c>
    </row>
    <row r="84" spans="2:14" ht="15">
      <c r="B84" s="25">
        <f>'Sum of Billing Determinants'!A92</f>
        <v>10246</v>
      </c>
      <c r="C84" s="25" t="str">
        <f>'Sum of Billing Determinants'!B92</f>
        <v>Mason County PUD #1</v>
      </c>
      <c r="D84" s="29">
        <f>ROUND('Sum of Billing Determinants'!E92*-1*'Rate Calculations'!$G$9*(1-'Sum of Billing Determinants'!$AC92),0)</f>
        <v>-68943</v>
      </c>
      <c r="E84" s="29">
        <f>ROUND('Sum of Billing Determinants'!F92*-1*'Rate Calculations'!$G$9*(1-'Sum of Billing Determinants'!$AC92),0)</f>
        <v>-56944</v>
      </c>
      <c r="F84" s="29">
        <f>ROUND('Sum of Billing Determinants'!G92*-1*'Rate Calculations'!$G$9*(1-'Sum of Billing Determinants'!$AC92),0)</f>
        <v>-49354</v>
      </c>
      <c r="G84" s="29">
        <f>ROUND('Sum of Billing Determinants'!H92*-1*'Rate Calculations'!$G$9*(1-'Sum of Billing Determinants'!$AC92),0)</f>
        <v>-58919</v>
      </c>
      <c r="H84" s="29">
        <f>ROUND('Sum of Billing Determinants'!I92*-1*'Rate Calculations'!$G$9*(1-'Sum of Billing Determinants'!$AC92),0)</f>
        <v>-45743</v>
      </c>
      <c r="I84" s="29">
        <f>ROUND('Sum of Billing Determinants'!J92*-1*'Rate Calculations'!$G$9*(1-'Sum of Billing Determinants'!$AC92),0)</f>
        <v>-63377</v>
      </c>
      <c r="J84" s="29">
        <f>ROUND('Sum of Billing Determinants'!K92*-1*'Rate Calculations'!$G$9*(1-'Sum of Billing Determinants'!$AC92),0)</f>
        <v>-67720</v>
      </c>
      <c r="K84" s="29">
        <f>ROUND('Sum of Billing Determinants'!L92*-1*'Rate Calculations'!$G$9*(1-'Sum of Billing Determinants'!$AC92),0)</f>
        <v>-64297</v>
      </c>
      <c r="L84" s="29">
        <f>ROUND('Sum of Billing Determinants'!M92*-1*'Rate Calculations'!$G$9*(1-'Sum of Billing Determinants'!$AC92),0)</f>
        <v>-62138</v>
      </c>
      <c r="M84" s="29">
        <f>ROUND('Sum of Billing Determinants'!N92*-1*'Rate Calculations'!$G$9*(1-'Sum of Billing Determinants'!$AC92),0)</f>
        <v>-57422</v>
      </c>
      <c r="N84" s="29">
        <f t="shared" si="1"/>
        <v>-594857</v>
      </c>
    </row>
    <row r="85" spans="2:14" ht="15">
      <c r="B85" s="25">
        <f>'Sum of Billing Determinants'!A93</f>
        <v>10247</v>
      </c>
      <c r="C85" s="25" t="str">
        <f>'Sum of Billing Determinants'!B93</f>
        <v>Mason County PUD #3</v>
      </c>
      <c r="D85" s="29">
        <f>ROUND('Sum of Billing Determinants'!E93*-1*'Rate Calculations'!$G$9*(1-'Sum of Billing Determinants'!$AC93),0)</f>
        <v>-613167</v>
      </c>
      <c r="E85" s="29">
        <f>ROUND('Sum of Billing Determinants'!F93*-1*'Rate Calculations'!$G$9*(1-'Sum of Billing Determinants'!$AC93),0)</f>
        <v>-506450</v>
      </c>
      <c r="F85" s="29">
        <f>ROUND('Sum of Billing Determinants'!G93*-1*'Rate Calculations'!$G$9*(1-'Sum of Billing Determinants'!$AC93),0)</f>
        <v>-438951</v>
      </c>
      <c r="G85" s="29">
        <f>ROUND('Sum of Billing Determinants'!H93*-1*'Rate Calculations'!$G$9*(1-'Sum of Billing Determinants'!$AC93),0)</f>
        <v>-524019</v>
      </c>
      <c r="H85" s="29">
        <f>ROUND('Sum of Billing Determinants'!I93*-1*'Rate Calculations'!$G$9*(1-'Sum of Billing Determinants'!$AC93),0)</f>
        <v>-406831</v>
      </c>
      <c r="I85" s="29">
        <f>ROUND('Sum of Billing Determinants'!J93*-1*'Rate Calculations'!$G$9*(1-'Sum of Billing Determinants'!$AC93),0)</f>
        <v>-563667</v>
      </c>
      <c r="J85" s="29">
        <f>ROUND('Sum of Billing Determinants'!K93*-1*'Rate Calculations'!$G$9*(1-'Sum of Billing Determinants'!$AC93),0)</f>
        <v>-602290</v>
      </c>
      <c r="K85" s="29">
        <f>ROUND('Sum of Billing Determinants'!L93*-1*'Rate Calculations'!$G$9*(1-'Sum of Billing Determinants'!$AC93),0)</f>
        <v>-571847</v>
      </c>
      <c r="L85" s="29">
        <f>ROUND('Sum of Billing Determinants'!M93*-1*'Rate Calculations'!$G$9*(1-'Sum of Billing Determinants'!$AC93),0)</f>
        <v>-552646</v>
      </c>
      <c r="M85" s="29">
        <f>ROUND('Sum of Billing Determinants'!N93*-1*'Rate Calculations'!$G$9*(1-'Sum of Billing Determinants'!$AC93),0)</f>
        <v>-510703</v>
      </c>
      <c r="N85" s="29">
        <f t="shared" si="1"/>
        <v>-5290571</v>
      </c>
    </row>
    <row r="86" spans="2:14" ht="15">
      <c r="B86" s="25">
        <f>'Sum of Billing Determinants'!A94</f>
        <v>10256</v>
      </c>
      <c r="C86" s="25" t="str">
        <f>'Sum of Billing Determinants'!B94</f>
        <v>Midstate Elec Coop</v>
      </c>
      <c r="D86" s="29">
        <f>ROUND('Sum of Billing Determinants'!E94*-1*'Rate Calculations'!$G$9*(1-'Sum of Billing Determinants'!$AC94),0)</f>
        <v>-331602</v>
      </c>
      <c r="E86" s="29">
        <f>ROUND('Sum of Billing Determinants'!F94*-1*'Rate Calculations'!$G$9*(1-'Sum of Billing Determinants'!$AC94),0)</f>
        <v>-273889</v>
      </c>
      <c r="F86" s="29">
        <f>ROUND('Sum of Billing Determinants'!G94*-1*'Rate Calculations'!$G$9*(1-'Sum of Billing Determinants'!$AC94),0)</f>
        <v>-237386</v>
      </c>
      <c r="G86" s="29">
        <f>ROUND('Sum of Billing Determinants'!H94*-1*'Rate Calculations'!$G$9*(1-'Sum of Billing Determinants'!$AC94),0)</f>
        <v>-283390</v>
      </c>
      <c r="H86" s="29">
        <f>ROUND('Sum of Billing Determinants'!I94*-1*'Rate Calculations'!$G$9*(1-'Sum of Billing Determinants'!$AC94),0)</f>
        <v>-220015</v>
      </c>
      <c r="I86" s="29">
        <f>ROUND('Sum of Billing Determinants'!J94*-1*'Rate Calculations'!$G$9*(1-'Sum of Billing Determinants'!$AC94),0)</f>
        <v>-304832</v>
      </c>
      <c r="J86" s="29">
        <f>ROUND('Sum of Billing Determinants'!K94*-1*'Rate Calculations'!$G$9*(1-'Sum of Billing Determinants'!$AC94),0)</f>
        <v>-325720</v>
      </c>
      <c r="K86" s="29">
        <f>ROUND('Sum of Billing Determinants'!L94*-1*'Rate Calculations'!$G$9*(1-'Sum of Billing Determinants'!$AC94),0)</f>
        <v>-309256</v>
      </c>
      <c r="L86" s="29">
        <f>ROUND('Sum of Billing Determinants'!M94*-1*'Rate Calculations'!$G$9*(1-'Sum of Billing Determinants'!$AC94),0)</f>
        <v>-298872</v>
      </c>
      <c r="M86" s="29">
        <f>ROUND('Sum of Billing Determinants'!N94*-1*'Rate Calculations'!$G$9*(1-'Sum of Billing Determinants'!$AC94),0)</f>
        <v>-276189</v>
      </c>
      <c r="N86" s="29">
        <f t="shared" si="1"/>
        <v>-2861151</v>
      </c>
    </row>
    <row r="87" spans="2:14" ht="15">
      <c r="B87" s="25">
        <f>'Sum of Billing Determinants'!A95</f>
        <v>10258</v>
      </c>
      <c r="C87" s="25" t="str">
        <f>'Sum of Billing Determinants'!B95</f>
        <v>Mission Valley</v>
      </c>
      <c r="D87" s="29">
        <f>ROUND('Sum of Billing Determinants'!E95*-1*'Rate Calculations'!$G$9*(1-'Sum of Billing Determinants'!$AC95),0)</f>
        <v>-275472</v>
      </c>
      <c r="E87" s="29">
        <f>ROUND('Sum of Billing Determinants'!F95*-1*'Rate Calculations'!$G$9*(1-'Sum of Billing Determinants'!$AC95),0)</f>
        <v>-227528</v>
      </c>
      <c r="F87" s="29">
        <f>ROUND('Sum of Billing Determinants'!G95*-1*'Rate Calculations'!$G$9*(1-'Sum of Billing Determinants'!$AC95),0)</f>
        <v>-197203</v>
      </c>
      <c r="G87" s="29">
        <f>ROUND('Sum of Billing Determinants'!H95*-1*'Rate Calculations'!$G$9*(1-'Sum of Billing Determinants'!$AC95),0)</f>
        <v>-235421</v>
      </c>
      <c r="H87" s="29">
        <f>ROUND('Sum of Billing Determinants'!I95*-1*'Rate Calculations'!$G$9*(1-'Sum of Billing Determinants'!$AC95),0)</f>
        <v>-182773</v>
      </c>
      <c r="I87" s="29">
        <f>ROUND('Sum of Billing Determinants'!J95*-1*'Rate Calculations'!$G$9*(1-'Sum of Billing Determinants'!$AC95),0)</f>
        <v>-253233</v>
      </c>
      <c r="J87" s="29">
        <f>ROUND('Sum of Billing Determinants'!K95*-1*'Rate Calculations'!$G$9*(1-'Sum of Billing Determinants'!$AC95),0)</f>
        <v>-270585</v>
      </c>
      <c r="K87" s="29">
        <f>ROUND('Sum of Billing Determinants'!L95*-1*'Rate Calculations'!$G$9*(1-'Sum of Billing Determinants'!$AC95),0)</f>
        <v>-256908</v>
      </c>
      <c r="L87" s="29">
        <f>ROUND('Sum of Billing Determinants'!M95*-1*'Rate Calculations'!$G$9*(1-'Sum of Billing Determinants'!$AC95),0)</f>
        <v>-248282</v>
      </c>
      <c r="M87" s="29">
        <f>ROUND('Sum of Billing Determinants'!N95*-1*'Rate Calculations'!$G$9*(1-'Sum of Billing Determinants'!$AC95),0)</f>
        <v>-229439</v>
      </c>
      <c r="N87" s="29">
        <f t="shared" si="1"/>
        <v>-2376844</v>
      </c>
    </row>
    <row r="88" spans="2:14" ht="15">
      <c r="B88" s="25">
        <f>'Sum of Billing Determinants'!A96</f>
        <v>10259</v>
      </c>
      <c r="C88" s="25" t="str">
        <f>'Sum of Billing Determinants'!B96</f>
        <v>Missoula Elec Coop</v>
      </c>
      <c r="D88" s="29">
        <f>ROUND('Sum of Billing Determinants'!E96*-1*'Rate Calculations'!$G$9*(1-'Sum of Billing Determinants'!$AC96),0)</f>
        <v>-191766</v>
      </c>
      <c r="E88" s="29">
        <f>ROUND('Sum of Billing Determinants'!F96*-1*'Rate Calculations'!$G$9*(1-'Sum of Billing Determinants'!$AC96),0)</f>
        <v>-158391</v>
      </c>
      <c r="F88" s="29">
        <f>ROUND('Sum of Billing Determinants'!G96*-1*'Rate Calculations'!$G$9*(1-'Sum of Billing Determinants'!$AC96),0)</f>
        <v>-137281</v>
      </c>
      <c r="G88" s="29">
        <f>ROUND('Sum of Billing Determinants'!H96*-1*'Rate Calculations'!$G$9*(1-'Sum of Billing Determinants'!$AC96),0)</f>
        <v>-163885</v>
      </c>
      <c r="H88" s="29">
        <f>ROUND('Sum of Billing Determinants'!I96*-1*'Rate Calculations'!$G$9*(1-'Sum of Billing Determinants'!$AC96),0)</f>
        <v>-127235</v>
      </c>
      <c r="I88" s="29">
        <f>ROUND('Sum of Billing Determinants'!J96*-1*'Rate Calculations'!$G$9*(1-'Sum of Billing Determinants'!$AC96),0)</f>
        <v>-176285</v>
      </c>
      <c r="J88" s="29">
        <f>ROUND('Sum of Billing Determinants'!K96*-1*'Rate Calculations'!$G$9*(1-'Sum of Billing Determinants'!$AC96),0)</f>
        <v>-188365</v>
      </c>
      <c r="K88" s="29">
        <f>ROUND('Sum of Billing Determinants'!L96*-1*'Rate Calculations'!$G$9*(1-'Sum of Billing Determinants'!$AC96),0)</f>
        <v>-178844</v>
      </c>
      <c r="L88" s="29">
        <f>ROUND('Sum of Billing Determinants'!M96*-1*'Rate Calculations'!$G$9*(1-'Sum of Billing Determinants'!$AC96),0)</f>
        <v>-172839</v>
      </c>
      <c r="M88" s="29">
        <f>ROUND('Sum of Billing Determinants'!N96*-1*'Rate Calculations'!$G$9*(1-'Sum of Billing Determinants'!$AC96),0)</f>
        <v>-159721</v>
      </c>
      <c r="N88" s="29">
        <f t="shared" si="1"/>
        <v>-1654612</v>
      </c>
    </row>
    <row r="89" spans="2:14" ht="15">
      <c r="B89" s="25">
        <f>'Sum of Billing Determinants'!A97</f>
        <v>10260</v>
      </c>
      <c r="C89" s="25" t="str">
        <f>'Sum of Billing Determinants'!B97</f>
        <v>Modern Elec Coop</v>
      </c>
      <c r="D89" s="29">
        <f>ROUND('Sum of Billing Determinants'!E97*-1*'Rate Calculations'!$G$9*(1-'Sum of Billing Determinants'!$AC97),0)</f>
        <v>-201639</v>
      </c>
      <c r="E89" s="29">
        <f>ROUND('Sum of Billing Determinants'!F97*-1*'Rate Calculations'!$G$9*(1-'Sum of Billing Determinants'!$AC97),0)</f>
        <v>-166545</v>
      </c>
      <c r="F89" s="29">
        <f>ROUND('Sum of Billing Determinants'!G97*-1*'Rate Calculations'!$G$9*(1-'Sum of Billing Determinants'!$AC97),0)</f>
        <v>-144348</v>
      </c>
      <c r="G89" s="29">
        <f>ROUND('Sum of Billing Determinants'!H97*-1*'Rate Calculations'!$G$9*(1-'Sum of Billing Determinants'!$AC97),0)</f>
        <v>-172322</v>
      </c>
      <c r="H89" s="29">
        <f>ROUND('Sum of Billing Determinants'!I97*-1*'Rate Calculations'!$G$9*(1-'Sum of Billing Determinants'!$AC97),0)</f>
        <v>-133785</v>
      </c>
      <c r="I89" s="29">
        <f>ROUND('Sum of Billing Determinants'!J97*-1*'Rate Calculations'!$G$9*(1-'Sum of Billing Determinants'!$AC97),0)</f>
        <v>-185361</v>
      </c>
      <c r="J89" s="29">
        <f>ROUND('Sum of Billing Determinants'!K97*-1*'Rate Calculations'!$G$9*(1-'Sum of Billing Determinants'!$AC97),0)</f>
        <v>-198062</v>
      </c>
      <c r="K89" s="29">
        <f>ROUND('Sum of Billing Determinants'!L97*-1*'Rate Calculations'!$G$9*(1-'Sum of Billing Determinants'!$AC97),0)</f>
        <v>-188051</v>
      </c>
      <c r="L89" s="29">
        <f>ROUND('Sum of Billing Determinants'!M97*-1*'Rate Calculations'!$G$9*(1-'Sum of Billing Determinants'!$AC97),0)</f>
        <v>-181737</v>
      </c>
      <c r="M89" s="29">
        <f>ROUND('Sum of Billing Determinants'!N97*-1*'Rate Calculations'!$G$9*(1-'Sum of Billing Determinants'!$AC97),0)</f>
        <v>-167944</v>
      </c>
      <c r="N89" s="29">
        <f t="shared" si="1"/>
        <v>-1739794</v>
      </c>
    </row>
    <row r="90" spans="2:14" ht="15">
      <c r="B90" s="25">
        <f>'Sum of Billing Determinants'!A98</f>
        <v>10273</v>
      </c>
      <c r="C90" s="25" t="str">
        <f>'Sum of Billing Determinants'!B98</f>
        <v>Nespelem Valley Elec Coop</v>
      </c>
      <c r="D90" s="29">
        <f>ROUND('Sum of Billing Determinants'!E98*-1*'Rate Calculations'!$G$9*(1-'Sum of Billing Determinants'!$AC98),0)</f>
        <v>-40350</v>
      </c>
      <c r="E90" s="29">
        <f>ROUND('Sum of Billing Determinants'!F98*-1*'Rate Calculations'!$G$9*(1-'Sum of Billing Determinants'!$AC98),0)</f>
        <v>-33327</v>
      </c>
      <c r="F90" s="29">
        <f>ROUND('Sum of Billing Determinants'!G98*-1*'Rate Calculations'!$G$9*(1-'Sum of Billing Determinants'!$AC98),0)</f>
        <v>-28885</v>
      </c>
      <c r="G90" s="29">
        <f>ROUND('Sum of Billing Determinants'!H98*-1*'Rate Calculations'!$G$9*(1-'Sum of Billing Determinants'!$AC98),0)</f>
        <v>-34483</v>
      </c>
      <c r="H90" s="29">
        <f>ROUND('Sum of Billing Determinants'!I98*-1*'Rate Calculations'!$G$9*(1-'Sum of Billing Determinants'!$AC98),0)</f>
        <v>-26772</v>
      </c>
      <c r="I90" s="29">
        <f>ROUND('Sum of Billing Determinants'!J98*-1*'Rate Calculations'!$G$9*(1-'Sum of Billing Determinants'!$AC98),0)</f>
        <v>-37092</v>
      </c>
      <c r="J90" s="29">
        <f>ROUND('Sum of Billing Determinants'!K98*-1*'Rate Calculations'!$G$9*(1-'Sum of Billing Determinants'!$AC98),0)</f>
        <v>-39634</v>
      </c>
      <c r="K90" s="29">
        <f>ROUND('Sum of Billing Determinants'!L98*-1*'Rate Calculations'!$G$9*(1-'Sum of Billing Determinants'!$AC98),0)</f>
        <v>-37631</v>
      </c>
      <c r="L90" s="29">
        <f>ROUND('Sum of Billing Determinants'!M98*-1*'Rate Calculations'!$G$9*(1-'Sum of Billing Determinants'!$AC98),0)</f>
        <v>-36367</v>
      </c>
      <c r="M90" s="29">
        <f>ROUND('Sum of Billing Determinants'!N98*-1*'Rate Calculations'!$G$9*(1-'Sum of Billing Determinants'!$AC98),0)</f>
        <v>-33607</v>
      </c>
      <c r="N90" s="29">
        <f t="shared" si="1"/>
        <v>-348148</v>
      </c>
    </row>
    <row r="91" spans="2:14" ht="15">
      <c r="B91" s="25">
        <f>'Sum of Billing Determinants'!A99</f>
        <v>10278</v>
      </c>
      <c r="C91" s="25" t="str">
        <f>'Sum of Billing Determinants'!B99</f>
        <v>Northern Lights</v>
      </c>
      <c r="D91" s="29">
        <f>ROUND('Sum of Billing Determinants'!E99*-1*'Rate Calculations'!$G$9*(1-'Sum of Billing Determinants'!$AC99),0)</f>
        <v>-255229</v>
      </c>
      <c r="E91" s="29">
        <f>ROUND('Sum of Billing Determinants'!F99*-1*'Rate Calculations'!$G$9*(1-'Sum of Billing Determinants'!$AC99),0)</f>
        <v>-210809</v>
      </c>
      <c r="F91" s="29">
        <f>ROUND('Sum of Billing Determinants'!G99*-1*'Rate Calculations'!$G$9*(1-'Sum of Billing Determinants'!$AC99),0)</f>
        <v>-182712</v>
      </c>
      <c r="G91" s="29">
        <f>ROUND('Sum of Billing Determinants'!H99*-1*'Rate Calculations'!$G$9*(1-'Sum of Billing Determinants'!$AC99),0)</f>
        <v>-218122</v>
      </c>
      <c r="H91" s="29">
        <f>ROUND('Sum of Billing Determinants'!I99*-1*'Rate Calculations'!$G$9*(1-'Sum of Billing Determinants'!$AC99),0)</f>
        <v>-169342</v>
      </c>
      <c r="I91" s="29">
        <f>ROUND('Sum of Billing Determinants'!J99*-1*'Rate Calculations'!$G$9*(1-'Sum of Billing Determinants'!$AC99),0)</f>
        <v>-234625</v>
      </c>
      <c r="J91" s="29">
        <f>ROUND('Sum of Billing Determinants'!K99*-1*'Rate Calculations'!$G$9*(1-'Sum of Billing Determinants'!$AC99),0)</f>
        <v>-250702</v>
      </c>
      <c r="K91" s="29">
        <f>ROUND('Sum of Billing Determinants'!L99*-1*'Rate Calculations'!$G$9*(1-'Sum of Billing Determinants'!$AC99),0)</f>
        <v>-238030</v>
      </c>
      <c r="L91" s="29">
        <f>ROUND('Sum of Billing Determinants'!M99*-1*'Rate Calculations'!$G$9*(1-'Sum of Billing Determinants'!$AC99),0)</f>
        <v>-230038</v>
      </c>
      <c r="M91" s="29">
        <f>ROUND('Sum of Billing Determinants'!N99*-1*'Rate Calculations'!$G$9*(1-'Sum of Billing Determinants'!$AC99),0)</f>
        <v>-212579</v>
      </c>
      <c r="N91" s="29">
        <f t="shared" si="1"/>
        <v>-2202188</v>
      </c>
    </row>
    <row r="92" spans="2:14" ht="15">
      <c r="B92" s="25">
        <f>'Sum of Billing Determinants'!A100</f>
        <v>10279</v>
      </c>
      <c r="C92" s="25" t="str">
        <f>'Sum of Billing Determinants'!B100</f>
        <v>Northern Wasco County PUD</v>
      </c>
      <c r="D92" s="29">
        <f>ROUND('Sum of Billing Determinants'!E100*-1*'Rate Calculations'!$G$9*(1-'Sum of Billing Determinants'!$AC100),0)</f>
        <v>-496837</v>
      </c>
      <c r="E92" s="29">
        <f>ROUND('Sum of Billing Determinants'!F100*-1*'Rate Calculations'!$G$9*(1-'Sum of Billing Determinants'!$AC100),0)</f>
        <v>-410366</v>
      </c>
      <c r="F92" s="29">
        <f>ROUND('Sum of Billing Determinants'!G100*-1*'Rate Calculations'!$G$9*(1-'Sum of Billing Determinants'!$AC100),0)</f>
        <v>-355673</v>
      </c>
      <c r="G92" s="29">
        <f>ROUND('Sum of Billing Determinants'!H100*-1*'Rate Calculations'!$G$9*(1-'Sum of Billing Determinants'!$AC100),0)</f>
        <v>-424602</v>
      </c>
      <c r="H92" s="29">
        <f>ROUND('Sum of Billing Determinants'!I100*-1*'Rate Calculations'!$G$9*(1-'Sum of Billing Determinants'!$AC100),0)</f>
        <v>-329647</v>
      </c>
      <c r="I92" s="29">
        <f>ROUND('Sum of Billing Determinants'!J100*-1*'Rate Calculations'!$G$9*(1-'Sum of Billing Determinants'!$AC100),0)</f>
        <v>-456729</v>
      </c>
      <c r="J92" s="29">
        <f>ROUND('Sum of Billing Determinants'!K100*-1*'Rate Calculations'!$G$9*(1-'Sum of Billing Determinants'!$AC100),0)</f>
        <v>-488024</v>
      </c>
      <c r="K92" s="29">
        <f>ROUND('Sum of Billing Determinants'!L100*-1*'Rate Calculations'!$G$9*(1-'Sum of Billing Determinants'!$AC100),0)</f>
        <v>-463357</v>
      </c>
      <c r="L92" s="29">
        <f>ROUND('Sum of Billing Determinants'!M100*-1*'Rate Calculations'!$G$9*(1-'Sum of Billing Determinants'!$AC100),0)</f>
        <v>-447798</v>
      </c>
      <c r="M92" s="29">
        <f>ROUND('Sum of Billing Determinants'!N100*-1*'Rate Calculations'!$G$9*(1-'Sum of Billing Determinants'!$AC100),0)</f>
        <v>-413812</v>
      </c>
      <c r="N92" s="29">
        <f t="shared" si="1"/>
        <v>-4286845</v>
      </c>
    </row>
    <row r="93" spans="2:14" ht="15">
      <c r="B93" s="25">
        <f>'Sum of Billing Determinants'!A101</f>
        <v>10284</v>
      </c>
      <c r="C93" s="25" t="str">
        <f>'Sum of Billing Determinants'!B101</f>
        <v>Ohop Mutual Light Company</v>
      </c>
      <c r="D93" s="29">
        <f>ROUND('Sum of Billing Determinants'!E101*-1*'Rate Calculations'!$G$9*(1-'Sum of Billing Determinants'!$AC101),0)</f>
        <v>-73997</v>
      </c>
      <c r="E93" s="29">
        <f>ROUND('Sum of Billing Determinants'!F101*-1*'Rate Calculations'!$G$9*(1-'Sum of Billing Determinants'!$AC101),0)</f>
        <v>-61118</v>
      </c>
      <c r="F93" s="29">
        <f>ROUND('Sum of Billing Determinants'!G101*-1*'Rate Calculations'!$G$9*(1-'Sum of Billing Determinants'!$AC101),0)</f>
        <v>-52972</v>
      </c>
      <c r="G93" s="29">
        <f>ROUND('Sum of Billing Determinants'!H101*-1*'Rate Calculations'!$G$9*(1-'Sum of Billing Determinants'!$AC101),0)</f>
        <v>-63238</v>
      </c>
      <c r="H93" s="29">
        <f>ROUND('Sum of Billing Determinants'!I101*-1*'Rate Calculations'!$G$9*(1-'Sum of Billing Determinants'!$AC101),0)</f>
        <v>-49096</v>
      </c>
      <c r="I93" s="29">
        <f>ROUND('Sum of Billing Determinants'!J101*-1*'Rate Calculations'!$G$9*(1-'Sum of Billing Determinants'!$AC101),0)</f>
        <v>-68023</v>
      </c>
      <c r="J93" s="29">
        <f>ROUND('Sum of Billing Determinants'!K101*-1*'Rate Calculations'!$G$9*(1-'Sum of Billing Determinants'!$AC101),0)</f>
        <v>-72684</v>
      </c>
      <c r="K93" s="29">
        <f>ROUND('Sum of Billing Determinants'!L101*-1*'Rate Calculations'!$G$9*(1-'Sum of Billing Determinants'!$AC101),0)</f>
        <v>-69010</v>
      </c>
      <c r="L93" s="29">
        <f>ROUND('Sum of Billing Determinants'!M101*-1*'Rate Calculations'!$G$9*(1-'Sum of Billing Determinants'!$AC101),0)</f>
        <v>-66693</v>
      </c>
      <c r="M93" s="29">
        <f>ROUND('Sum of Billing Determinants'!N101*-1*'Rate Calculations'!$G$9*(1-'Sum of Billing Determinants'!$AC101),0)</f>
        <v>-61631</v>
      </c>
      <c r="N93" s="29">
        <f t="shared" si="1"/>
        <v>-638462</v>
      </c>
    </row>
    <row r="94" spans="2:14" ht="15">
      <c r="B94" s="25">
        <f>'Sum of Billing Determinants'!A102</f>
        <v>10285</v>
      </c>
      <c r="C94" s="25" t="str">
        <f>'Sum of Billing Determinants'!B102</f>
        <v>Okanogan County Elec Coop</v>
      </c>
      <c r="D94" s="29">
        <f>ROUND('Sum of Billing Determinants'!E102*-1*'Rate Calculations'!$G$9*(1-'Sum of Billing Determinants'!$AC102),0)</f>
        <v>-46439</v>
      </c>
      <c r="E94" s="29">
        <f>ROUND('Sum of Billing Determinants'!F102*-1*'Rate Calculations'!$G$9*(1-'Sum of Billing Determinants'!$AC102),0)</f>
        <v>-38357</v>
      </c>
      <c r="F94" s="29">
        <f>ROUND('Sum of Billing Determinants'!G102*-1*'Rate Calculations'!$G$9*(1-'Sum of Billing Determinants'!$AC102),0)</f>
        <v>-33244</v>
      </c>
      <c r="G94" s="29">
        <f>ROUND('Sum of Billing Determinants'!H102*-1*'Rate Calculations'!$G$9*(1-'Sum of Billing Determinants'!$AC102),0)</f>
        <v>-39687</v>
      </c>
      <c r="H94" s="29">
        <f>ROUND('Sum of Billing Determinants'!I102*-1*'Rate Calculations'!$G$9*(1-'Sum of Billing Determinants'!$AC102),0)</f>
        <v>-30812</v>
      </c>
      <c r="I94" s="29">
        <f>ROUND('Sum of Billing Determinants'!J102*-1*'Rate Calculations'!$G$9*(1-'Sum of Billing Determinants'!$AC102),0)</f>
        <v>-42690</v>
      </c>
      <c r="J94" s="29">
        <f>ROUND('Sum of Billing Determinants'!K102*-1*'Rate Calculations'!$G$9*(1-'Sum of Billing Determinants'!$AC102),0)</f>
        <v>-45615</v>
      </c>
      <c r="K94" s="29">
        <f>ROUND('Sum of Billing Determinants'!L102*-1*'Rate Calculations'!$G$9*(1-'Sum of Billing Determinants'!$AC102),0)</f>
        <v>-43310</v>
      </c>
      <c r="L94" s="29">
        <f>ROUND('Sum of Billing Determinants'!M102*-1*'Rate Calculations'!$G$9*(1-'Sum of Billing Determinants'!$AC102),0)</f>
        <v>-41855</v>
      </c>
      <c r="M94" s="29">
        <f>ROUND('Sum of Billing Determinants'!N102*-1*'Rate Calculations'!$G$9*(1-'Sum of Billing Determinants'!$AC102),0)</f>
        <v>-38679</v>
      </c>
      <c r="N94" s="29">
        <f t="shared" si="1"/>
        <v>-400688</v>
      </c>
    </row>
    <row r="95" spans="2:14" ht="15">
      <c r="B95" s="25">
        <f>'Sum of Billing Determinants'!A103</f>
        <v>10286</v>
      </c>
      <c r="C95" s="25" t="str">
        <f>'Sum of Billing Determinants'!B103</f>
        <v>Okanogan County PUD #1</v>
      </c>
      <c r="D95" s="29">
        <f>ROUND('Sum of Billing Determinants'!E103*-1*'Rate Calculations'!$G$9*(1-'Sum of Billing Determinants'!$AC103),0)</f>
        <v>-352207</v>
      </c>
      <c r="E95" s="29">
        <f>ROUND('Sum of Billing Determinants'!F103*-1*'Rate Calculations'!$G$9*(1-'Sum of Billing Determinants'!$AC103),0)</f>
        <v>-290908</v>
      </c>
      <c r="F95" s="29">
        <f>ROUND('Sum of Billing Determinants'!G103*-1*'Rate Calculations'!$G$9*(1-'Sum of Billing Determinants'!$AC103),0)</f>
        <v>-252136</v>
      </c>
      <c r="G95" s="29">
        <f>ROUND('Sum of Billing Determinants'!H103*-1*'Rate Calculations'!$G$9*(1-'Sum of Billing Determinants'!$AC103),0)</f>
        <v>-301000</v>
      </c>
      <c r="H95" s="29">
        <f>ROUND('Sum of Billing Determinants'!I103*-1*'Rate Calculations'!$G$9*(1-'Sum of Billing Determinants'!$AC103),0)</f>
        <v>-233686</v>
      </c>
      <c r="I95" s="29">
        <f>ROUND('Sum of Billing Determinants'!J103*-1*'Rate Calculations'!$G$9*(1-'Sum of Billing Determinants'!$AC103),0)</f>
        <v>-323774</v>
      </c>
      <c r="J95" s="29">
        <f>ROUND('Sum of Billing Determinants'!K103*-1*'Rate Calculations'!$G$9*(1-'Sum of Billing Determinants'!$AC103),0)</f>
        <v>-345959</v>
      </c>
      <c r="K95" s="29">
        <f>ROUND('Sum of Billing Determinants'!L103*-1*'Rate Calculations'!$G$9*(1-'Sum of Billing Determinants'!$AC103),0)</f>
        <v>-328472</v>
      </c>
      <c r="L95" s="29">
        <f>ROUND('Sum of Billing Determinants'!M103*-1*'Rate Calculations'!$G$9*(1-'Sum of Billing Determinants'!$AC103),0)</f>
        <v>-317443</v>
      </c>
      <c r="M95" s="29">
        <f>ROUND('Sum of Billing Determinants'!N103*-1*'Rate Calculations'!$G$9*(1-'Sum of Billing Determinants'!$AC103),0)</f>
        <v>-293351</v>
      </c>
      <c r="N95" s="29">
        <f t="shared" si="1"/>
        <v>-3038936</v>
      </c>
    </row>
    <row r="96" spans="2:14" ht="15">
      <c r="B96" s="25">
        <f>'Sum of Billing Determinants'!A104</f>
        <v>10288</v>
      </c>
      <c r="C96" s="25" t="str">
        <f>'Sum of Billing Determinants'!B104</f>
        <v>Orcas P &amp; L</v>
      </c>
      <c r="D96" s="29">
        <f>ROUND('Sum of Billing Determinants'!E104*-1*'Rate Calculations'!$G$9*(1-'Sum of Billing Determinants'!$AC104),0)</f>
        <v>-177638</v>
      </c>
      <c r="E96" s="29">
        <f>ROUND('Sum of Billing Determinants'!F104*-1*'Rate Calculations'!$G$9*(1-'Sum of Billing Determinants'!$AC104),0)</f>
        <v>-146721</v>
      </c>
      <c r="F96" s="29">
        <f>ROUND('Sum of Billing Determinants'!G104*-1*'Rate Calculations'!$G$9*(1-'Sum of Billing Determinants'!$AC104),0)</f>
        <v>-127166</v>
      </c>
      <c r="G96" s="29">
        <f>ROUND('Sum of Billing Determinants'!H104*-1*'Rate Calculations'!$G$9*(1-'Sum of Billing Determinants'!$AC104),0)</f>
        <v>-151811</v>
      </c>
      <c r="H96" s="29">
        <f>ROUND('Sum of Billing Determinants'!I104*-1*'Rate Calculations'!$G$9*(1-'Sum of Billing Determinants'!$AC104),0)</f>
        <v>-117861</v>
      </c>
      <c r="I96" s="29">
        <f>ROUND('Sum of Billing Determinants'!J104*-1*'Rate Calculations'!$G$9*(1-'Sum of Billing Determinants'!$AC104),0)</f>
        <v>-163297</v>
      </c>
      <c r="J96" s="29">
        <f>ROUND('Sum of Billing Determinants'!K104*-1*'Rate Calculations'!$G$9*(1-'Sum of Billing Determinants'!$AC104),0)</f>
        <v>-174487</v>
      </c>
      <c r="K96" s="29">
        <f>ROUND('Sum of Billing Determinants'!L104*-1*'Rate Calculations'!$G$9*(1-'Sum of Billing Determinants'!$AC104),0)</f>
        <v>-165667</v>
      </c>
      <c r="L96" s="29">
        <f>ROUND('Sum of Billing Determinants'!M104*-1*'Rate Calculations'!$G$9*(1-'Sum of Billing Determinants'!$AC104),0)</f>
        <v>-160104</v>
      </c>
      <c r="M96" s="29">
        <f>ROUND('Sum of Billing Determinants'!N104*-1*'Rate Calculations'!$G$9*(1-'Sum of Billing Determinants'!$AC104),0)</f>
        <v>-147953</v>
      </c>
      <c r="N96" s="29">
        <f t="shared" si="1"/>
        <v>-1532705</v>
      </c>
    </row>
    <row r="97" spans="2:14" ht="15">
      <c r="B97" s="25">
        <f>'Sum of Billing Determinants'!A105</f>
        <v>10291</v>
      </c>
      <c r="C97" s="25" t="str">
        <f>'Sum of Billing Determinants'!B105</f>
        <v>Oregon Trail Elec Coop</v>
      </c>
      <c r="D97" s="29">
        <f>ROUND('Sum of Billing Determinants'!E105*-1*'Rate Calculations'!$G$9*(1-'Sum of Billing Determinants'!$AC105),0)</f>
        <v>-575787</v>
      </c>
      <c r="E97" s="29">
        <f>ROUND('Sum of Billing Determinants'!F105*-1*'Rate Calculations'!$G$9*(1-'Sum of Billing Determinants'!$AC105),0)</f>
        <v>-475575</v>
      </c>
      <c r="F97" s="29">
        <f>ROUND('Sum of Billing Determinants'!G105*-1*'Rate Calculations'!$G$9*(1-'Sum of Billing Determinants'!$AC105),0)</f>
        <v>-412191</v>
      </c>
      <c r="G97" s="29">
        <f>ROUND('Sum of Billing Determinants'!H105*-1*'Rate Calculations'!$G$9*(1-'Sum of Billing Determinants'!$AC105),0)</f>
        <v>-492073</v>
      </c>
      <c r="H97" s="29">
        <f>ROUND('Sum of Billing Determinants'!I105*-1*'Rate Calculations'!$G$9*(1-'Sum of Billing Determinants'!$AC105),0)</f>
        <v>-382029</v>
      </c>
      <c r="I97" s="29">
        <f>ROUND('Sum of Billing Determinants'!J105*-1*'Rate Calculations'!$G$9*(1-'Sum of Billing Determinants'!$AC105),0)</f>
        <v>-529305</v>
      </c>
      <c r="J97" s="29">
        <f>ROUND('Sum of Billing Determinants'!K105*-1*'Rate Calculations'!$G$9*(1-'Sum of Billing Determinants'!$AC105),0)</f>
        <v>-565573</v>
      </c>
      <c r="K97" s="29">
        <f>ROUND('Sum of Billing Determinants'!L105*-1*'Rate Calculations'!$G$9*(1-'Sum of Billing Determinants'!$AC105),0)</f>
        <v>-536986</v>
      </c>
      <c r="L97" s="29">
        <f>ROUND('Sum of Billing Determinants'!M105*-1*'Rate Calculations'!$G$9*(1-'Sum of Billing Determinants'!$AC105),0)</f>
        <v>-518956</v>
      </c>
      <c r="M97" s="29">
        <f>ROUND('Sum of Billing Determinants'!N105*-1*'Rate Calculations'!$G$9*(1-'Sum of Billing Determinants'!$AC105),0)</f>
        <v>-479569</v>
      </c>
      <c r="N97" s="29">
        <f t="shared" si="1"/>
        <v>-4968044</v>
      </c>
    </row>
    <row r="98" spans="2:14" ht="15">
      <c r="B98" s="25">
        <f>'Sum of Billing Determinants'!A106</f>
        <v>10294</v>
      </c>
      <c r="C98" s="25" t="str">
        <f>'Sum of Billing Determinants'!B106</f>
        <v>Pacific County PUD #2</v>
      </c>
      <c r="D98" s="29">
        <f>ROUND('Sum of Billing Determinants'!E106*-1*'Rate Calculations'!$G$9*(1-'Sum of Billing Determinants'!$AC106),0)</f>
        <v>-126124</v>
      </c>
      <c r="E98" s="29">
        <f>ROUND('Sum of Billing Determinants'!F106*-1*'Rate Calculations'!$G$9*(1-'Sum of Billing Determinants'!$AC106),0)</f>
        <v>-104173</v>
      </c>
      <c r="F98" s="29">
        <f>ROUND('Sum of Billing Determinants'!G106*-1*'Rate Calculations'!$G$9*(1-'Sum of Billing Determinants'!$AC106),0)</f>
        <v>-90289</v>
      </c>
      <c r="G98" s="29">
        <f>ROUND('Sum of Billing Determinants'!H106*-1*'Rate Calculations'!$G$9*(1-'Sum of Billing Determinants'!$AC106),0)</f>
        <v>-107787</v>
      </c>
      <c r="H98" s="29">
        <f>ROUND('Sum of Billing Determinants'!I106*-1*'Rate Calculations'!$G$9*(1-'Sum of Billing Determinants'!$AC106),0)</f>
        <v>-83682</v>
      </c>
      <c r="I98" s="29">
        <f>ROUND('Sum of Billing Determinants'!J106*-1*'Rate Calculations'!$G$9*(1-'Sum of Billing Determinants'!$AC106),0)</f>
        <v>-115943</v>
      </c>
      <c r="J98" s="29">
        <f>ROUND('Sum of Billing Determinants'!K106*-1*'Rate Calculations'!$G$9*(1-'Sum of Billing Determinants'!$AC106),0)</f>
        <v>-123887</v>
      </c>
      <c r="K98" s="29">
        <f>ROUND('Sum of Billing Determinants'!L106*-1*'Rate Calculations'!$G$9*(1-'Sum of Billing Determinants'!$AC106),0)</f>
        <v>-117625</v>
      </c>
      <c r="L98" s="29">
        <f>ROUND('Sum of Billing Determinants'!M106*-1*'Rate Calculations'!$G$9*(1-'Sum of Billing Determinants'!$AC106),0)</f>
        <v>-113676</v>
      </c>
      <c r="M98" s="29">
        <f>ROUND('Sum of Billing Determinants'!N106*-1*'Rate Calculations'!$G$9*(1-'Sum of Billing Determinants'!$AC106),0)</f>
        <v>-105048</v>
      </c>
      <c r="N98" s="29">
        <f t="shared" si="1"/>
        <v>-1088234</v>
      </c>
    </row>
    <row r="99" spans="2:14" ht="15">
      <c r="B99" s="25">
        <f>'Sum of Billing Determinants'!A107</f>
        <v>10304</v>
      </c>
      <c r="C99" s="25" t="str">
        <f>'Sum of Billing Determinants'!B107</f>
        <v>Parkland L &amp; W</v>
      </c>
      <c r="D99" s="29">
        <f>ROUND('Sum of Billing Determinants'!E107*-1*'Rate Calculations'!$G$9*(1-'Sum of Billing Determinants'!$AC107),0)</f>
        <v>-107911</v>
      </c>
      <c r="E99" s="29">
        <f>ROUND('Sum of Billing Determinants'!F107*-1*'Rate Calculations'!$G$9*(1-'Sum of Billing Determinants'!$AC107),0)</f>
        <v>-89130</v>
      </c>
      <c r="F99" s="29">
        <f>ROUND('Sum of Billing Determinants'!G107*-1*'Rate Calculations'!$G$9*(1-'Sum of Billing Determinants'!$AC107),0)</f>
        <v>-77251</v>
      </c>
      <c r="G99" s="29">
        <f>ROUND('Sum of Billing Determinants'!H107*-1*'Rate Calculations'!$G$9*(1-'Sum of Billing Determinants'!$AC107),0)</f>
        <v>-92222</v>
      </c>
      <c r="H99" s="29">
        <f>ROUND('Sum of Billing Determinants'!I107*-1*'Rate Calculations'!$G$9*(1-'Sum of Billing Determinants'!$AC107),0)</f>
        <v>-71598</v>
      </c>
      <c r="I99" s="29">
        <f>ROUND('Sum of Billing Determinants'!J107*-1*'Rate Calculations'!$G$9*(1-'Sum of Billing Determinants'!$AC107),0)</f>
        <v>-99199</v>
      </c>
      <c r="J99" s="29">
        <f>ROUND('Sum of Billing Determinants'!K107*-1*'Rate Calculations'!$G$9*(1-'Sum of Billing Determinants'!$AC107),0)</f>
        <v>-105997</v>
      </c>
      <c r="K99" s="29">
        <f>ROUND('Sum of Billing Determinants'!L107*-1*'Rate Calculations'!$G$9*(1-'Sum of Billing Determinants'!$AC107),0)</f>
        <v>-100639</v>
      </c>
      <c r="L99" s="29">
        <f>ROUND('Sum of Billing Determinants'!M107*-1*'Rate Calculations'!$G$9*(1-'Sum of Billing Determinants'!$AC107),0)</f>
        <v>-97260</v>
      </c>
      <c r="M99" s="29">
        <f>ROUND('Sum of Billing Determinants'!N107*-1*'Rate Calculations'!$G$9*(1-'Sum of Billing Determinants'!$AC107),0)</f>
        <v>-89878</v>
      </c>
      <c r="N99" s="29">
        <f t="shared" si="1"/>
        <v>-931085</v>
      </c>
    </row>
    <row r="100" spans="2:14" ht="15">
      <c r="B100" s="25">
        <f>'Sum of Billing Determinants'!A108</f>
        <v>10306</v>
      </c>
      <c r="C100" s="25" t="str">
        <f>'Sum of Billing Determinants'!B108</f>
        <v>Pend Oreille County PUD  #1</v>
      </c>
      <c r="D100" s="29">
        <f>ROUND('Sum of Billing Determinants'!E108*-1*'Rate Calculations'!$G$9*(1-'Sum of Billing Determinants'!$AC108),0)</f>
        <v>-197684</v>
      </c>
      <c r="E100" s="29">
        <f>ROUND('Sum of Billing Determinants'!F108*-1*'Rate Calculations'!$G$9*(1-'Sum of Billing Determinants'!$AC108),0)</f>
        <v>-163278</v>
      </c>
      <c r="F100" s="29">
        <f>ROUND('Sum of Billing Determinants'!G108*-1*'Rate Calculations'!$G$9*(1-'Sum of Billing Determinants'!$AC108),0)</f>
        <v>-141517</v>
      </c>
      <c r="G100" s="29">
        <f>ROUND('Sum of Billing Determinants'!H108*-1*'Rate Calculations'!$G$9*(1-'Sum of Billing Determinants'!$AC108),0)</f>
        <v>-168943</v>
      </c>
      <c r="H100" s="29">
        <f>ROUND('Sum of Billing Determinants'!I108*-1*'Rate Calculations'!$G$9*(1-'Sum of Billing Determinants'!$AC108),0)</f>
        <v>-131162</v>
      </c>
      <c r="I100" s="29">
        <f>ROUND('Sum of Billing Determinants'!J108*-1*'Rate Calculations'!$G$9*(1-'Sum of Billing Determinants'!$AC108),0)</f>
        <v>-181725</v>
      </c>
      <c r="J100" s="29">
        <f>ROUND('Sum of Billing Determinants'!K108*-1*'Rate Calculations'!$G$9*(1-'Sum of Billing Determinants'!$AC108),0)</f>
        <v>-194177</v>
      </c>
      <c r="K100" s="29">
        <f>ROUND('Sum of Billing Determinants'!L108*-1*'Rate Calculations'!$G$9*(1-'Sum of Billing Determinants'!$AC108),0)</f>
        <v>-184362</v>
      </c>
      <c r="L100" s="29">
        <f>ROUND('Sum of Billing Determinants'!M108*-1*'Rate Calculations'!$G$9*(1-'Sum of Billing Determinants'!$AC108),0)</f>
        <v>-178172</v>
      </c>
      <c r="M100" s="29">
        <f>ROUND('Sum of Billing Determinants'!N108*-1*'Rate Calculations'!$G$9*(1-'Sum of Billing Determinants'!$AC108),0)</f>
        <v>-164650</v>
      </c>
      <c r="N100" s="29">
        <f t="shared" si="1"/>
        <v>-1705670</v>
      </c>
    </row>
    <row r="101" spans="2:14" ht="15">
      <c r="B101" s="25">
        <f>'Sum of Billing Determinants'!A109</f>
        <v>10307</v>
      </c>
      <c r="C101" s="25" t="str">
        <f>'Sum of Billing Determinants'!B109</f>
        <v>Peninsula Light Company</v>
      </c>
      <c r="D101" s="29">
        <f>ROUND('Sum of Billing Determinants'!E109*-1*'Rate Calculations'!$G$9*(1-'Sum of Billing Determinants'!$AC109),0)</f>
        <v>-548482</v>
      </c>
      <c r="E101" s="29">
        <f>ROUND('Sum of Billing Determinants'!F109*-1*'Rate Calculations'!$G$9*(1-'Sum of Billing Determinants'!$AC109),0)</f>
        <v>-453023</v>
      </c>
      <c r="F101" s="29">
        <f>ROUND('Sum of Billing Determinants'!G109*-1*'Rate Calculations'!$G$9*(1-'Sum of Billing Determinants'!$AC109),0)</f>
        <v>-392645</v>
      </c>
      <c r="G101" s="29">
        <f>ROUND('Sum of Billing Determinants'!H109*-1*'Rate Calculations'!$G$9*(1-'Sum of Billing Determinants'!$AC109),0)</f>
        <v>-468738</v>
      </c>
      <c r="H101" s="29">
        <f>ROUND('Sum of Billing Determinants'!I109*-1*'Rate Calculations'!$G$9*(1-'Sum of Billing Determinants'!$AC109),0)</f>
        <v>-363913</v>
      </c>
      <c r="I101" s="29">
        <f>ROUND('Sum of Billing Determinants'!J109*-1*'Rate Calculations'!$G$9*(1-'Sum of Billing Determinants'!$AC109),0)</f>
        <v>-504204</v>
      </c>
      <c r="J101" s="29">
        <f>ROUND('Sum of Billing Determinants'!K109*-1*'Rate Calculations'!$G$9*(1-'Sum of Billing Determinants'!$AC109),0)</f>
        <v>-538753</v>
      </c>
      <c r="K101" s="29">
        <f>ROUND('Sum of Billing Determinants'!L109*-1*'Rate Calculations'!$G$9*(1-'Sum of Billing Determinants'!$AC109),0)</f>
        <v>-511521</v>
      </c>
      <c r="L101" s="29">
        <f>ROUND('Sum of Billing Determinants'!M109*-1*'Rate Calculations'!$G$9*(1-'Sum of Billing Determinants'!$AC109),0)</f>
        <v>-494346</v>
      </c>
      <c r="M101" s="29">
        <f>ROUND('Sum of Billing Determinants'!N109*-1*'Rate Calculations'!$G$9*(1-'Sum of Billing Determinants'!$AC109),0)</f>
        <v>-456827</v>
      </c>
      <c r="N101" s="29">
        <f t="shared" si="1"/>
        <v>-4732452</v>
      </c>
    </row>
    <row r="102" spans="2:14" ht="15">
      <c r="B102" s="25">
        <f>'Sum of Billing Determinants'!A110</f>
        <v>10326</v>
      </c>
      <c r="C102" s="25" t="str">
        <f>'Sum of Billing Determinants'!B110</f>
        <v>U.S. Naval Base,  Bremerton</v>
      </c>
      <c r="D102" s="29">
        <f>ROUND('Sum of Billing Determinants'!E110*-1*'Rate Calculations'!$G$9*(1-'Sum of Billing Determinants'!$AC110),0)</f>
        <v>-233667</v>
      </c>
      <c r="E102" s="29">
        <f>ROUND('Sum of Billing Determinants'!F110*-1*'Rate Calculations'!$G$9*(1-'Sum of Billing Determinants'!$AC110),0)</f>
        <v>-192999</v>
      </c>
      <c r="F102" s="29">
        <f>ROUND('Sum of Billing Determinants'!G110*-1*'Rate Calculations'!$G$9*(1-'Sum of Billing Determinants'!$AC110),0)</f>
        <v>-167276</v>
      </c>
      <c r="G102" s="29">
        <f>ROUND('Sum of Billing Determinants'!H110*-1*'Rate Calculations'!$G$9*(1-'Sum of Billing Determinants'!$AC110),0)</f>
        <v>-199694</v>
      </c>
      <c r="H102" s="29">
        <f>ROUND('Sum of Billing Determinants'!I110*-1*'Rate Calculations'!$G$9*(1-'Sum of Billing Determinants'!$AC110),0)</f>
        <v>-155036</v>
      </c>
      <c r="I102" s="29">
        <f>ROUND('Sum of Billing Determinants'!J110*-1*'Rate Calculations'!$G$9*(1-'Sum of Billing Determinants'!$AC110),0)</f>
        <v>-214803</v>
      </c>
      <c r="J102" s="29">
        <f>ROUND('Sum of Billing Determinants'!K110*-1*'Rate Calculations'!$G$9*(1-'Sum of Billing Determinants'!$AC110),0)</f>
        <v>-229522</v>
      </c>
      <c r="K102" s="29">
        <f>ROUND('Sum of Billing Determinants'!L110*-1*'Rate Calculations'!$G$9*(1-'Sum of Billing Determinants'!$AC110),0)</f>
        <v>-217921</v>
      </c>
      <c r="L102" s="29">
        <f>ROUND('Sum of Billing Determinants'!M110*-1*'Rate Calculations'!$G$9*(1-'Sum of Billing Determinants'!$AC110),0)</f>
        <v>-210603</v>
      </c>
      <c r="M102" s="29">
        <f>ROUND('Sum of Billing Determinants'!N110*-1*'Rate Calculations'!$G$9*(1-'Sum of Billing Determinants'!$AC110),0)</f>
        <v>-194620</v>
      </c>
      <c r="N102" s="29">
        <f t="shared" si="1"/>
        <v>-2016141</v>
      </c>
    </row>
    <row r="103" spans="2:14" ht="15">
      <c r="B103" s="25">
        <f>'Sum of Billing Determinants'!A111</f>
        <v>10331</v>
      </c>
      <c r="C103" s="25" t="str">
        <f>'Sum of Billing Determinants'!B111</f>
        <v>Raft River Elec Coop</v>
      </c>
      <c r="D103" s="29">
        <f>ROUND('Sum of Billing Determinants'!E111*-1*'Rate Calculations'!$G$9*(1-'Sum of Billing Determinants'!$AC111),0)</f>
        <v>-260860</v>
      </c>
      <c r="E103" s="29">
        <f>ROUND('Sum of Billing Determinants'!F111*-1*'Rate Calculations'!$G$9*(1-'Sum of Billing Determinants'!$AC111),0)</f>
        <v>-215459</v>
      </c>
      <c r="F103" s="29">
        <f>ROUND('Sum of Billing Determinants'!G111*-1*'Rate Calculations'!$G$9*(1-'Sum of Billing Determinants'!$AC111),0)</f>
        <v>-186743</v>
      </c>
      <c r="G103" s="29">
        <f>ROUND('Sum of Billing Determinants'!H111*-1*'Rate Calculations'!$G$9*(1-'Sum of Billing Determinants'!$AC111),0)</f>
        <v>-222934</v>
      </c>
      <c r="H103" s="29">
        <f>ROUND('Sum of Billing Determinants'!I111*-1*'Rate Calculations'!$G$9*(1-'Sum of Billing Determinants'!$AC111),0)</f>
        <v>-173078</v>
      </c>
      <c r="I103" s="29">
        <f>ROUND('Sum of Billing Determinants'!J111*-1*'Rate Calculations'!$G$9*(1-'Sum of Billing Determinants'!$AC111),0)</f>
        <v>-239801</v>
      </c>
      <c r="J103" s="29">
        <f>ROUND('Sum of Billing Determinants'!K111*-1*'Rate Calculations'!$G$9*(1-'Sum of Billing Determinants'!$AC111),0)</f>
        <v>-256233</v>
      </c>
      <c r="K103" s="29">
        <f>ROUND('Sum of Billing Determinants'!L111*-1*'Rate Calculations'!$G$9*(1-'Sum of Billing Determinants'!$AC111),0)</f>
        <v>-243281</v>
      </c>
      <c r="L103" s="29">
        <f>ROUND('Sum of Billing Determinants'!M111*-1*'Rate Calculations'!$G$9*(1-'Sum of Billing Determinants'!$AC111),0)</f>
        <v>-235113</v>
      </c>
      <c r="M103" s="29">
        <f>ROUND('Sum of Billing Determinants'!N111*-1*'Rate Calculations'!$G$9*(1-'Sum of Billing Determinants'!$AC111),0)</f>
        <v>-217269</v>
      </c>
      <c r="N103" s="29">
        <f t="shared" si="1"/>
        <v>-2250771</v>
      </c>
    </row>
    <row r="104" spans="2:14" ht="15">
      <c r="B104" s="25">
        <f>'Sum of Billing Determinants'!A112</f>
        <v>10333</v>
      </c>
      <c r="C104" s="25" t="str">
        <f>'Sum of Billing Determinants'!B112</f>
        <v>Ravalli County Elec Coop</v>
      </c>
      <c r="D104" s="29">
        <f>ROUND('Sum of Billing Determinants'!E112*-1*'Rate Calculations'!$G$9*(1-'Sum of Billing Determinants'!$AC112),0)</f>
        <v>-132926</v>
      </c>
      <c r="E104" s="29">
        <f>ROUND('Sum of Billing Determinants'!F112*-1*'Rate Calculations'!$G$9*(1-'Sum of Billing Determinants'!$AC112),0)</f>
        <v>-109791</v>
      </c>
      <c r="F104" s="29">
        <f>ROUND('Sum of Billing Determinants'!G112*-1*'Rate Calculations'!$G$9*(1-'Sum of Billing Determinants'!$AC112),0)</f>
        <v>-95158</v>
      </c>
      <c r="G104" s="29">
        <f>ROUND('Sum of Billing Determinants'!H112*-1*'Rate Calculations'!$G$9*(1-'Sum of Billing Determinants'!$AC112),0)</f>
        <v>-113600</v>
      </c>
      <c r="H104" s="29">
        <f>ROUND('Sum of Billing Determinants'!I112*-1*'Rate Calculations'!$G$9*(1-'Sum of Billing Determinants'!$AC112),0)</f>
        <v>-88195</v>
      </c>
      <c r="I104" s="29">
        <f>ROUND('Sum of Billing Determinants'!J112*-1*'Rate Calculations'!$G$9*(1-'Sum of Billing Determinants'!$AC112),0)</f>
        <v>-122195</v>
      </c>
      <c r="J104" s="29">
        <f>ROUND('Sum of Billing Determinants'!K112*-1*'Rate Calculations'!$G$9*(1-'Sum of Billing Determinants'!$AC112),0)</f>
        <v>-130568</v>
      </c>
      <c r="K104" s="29">
        <f>ROUND('Sum of Billing Determinants'!L112*-1*'Rate Calculations'!$G$9*(1-'Sum of Billing Determinants'!$AC112),0)</f>
        <v>-123968</v>
      </c>
      <c r="L104" s="29">
        <f>ROUND('Sum of Billing Determinants'!M112*-1*'Rate Calculations'!$G$9*(1-'Sum of Billing Determinants'!$AC112),0)</f>
        <v>-119806</v>
      </c>
      <c r="M104" s="29">
        <f>ROUND('Sum of Billing Determinants'!N112*-1*'Rate Calculations'!$G$9*(1-'Sum of Billing Determinants'!$AC112),0)</f>
        <v>-110713</v>
      </c>
      <c r="N104" s="29">
        <f t="shared" si="1"/>
        <v>-1146920</v>
      </c>
    </row>
    <row r="105" spans="2:14" ht="15">
      <c r="B105" s="25">
        <f>'Sum of Billing Determinants'!A113</f>
        <v>10338</v>
      </c>
      <c r="C105" s="25" t="str">
        <f>'Sum of Billing Determinants'!B113</f>
        <v>Riverside Elec Coop</v>
      </c>
      <c r="D105" s="29">
        <f>ROUND('Sum of Billing Determinants'!E113*-1*'Rate Calculations'!$G$9*(1-'Sum of Billing Determinants'!$AC113),0)</f>
        <v>-17582</v>
      </c>
      <c r="E105" s="29">
        <f>ROUND('Sum of Billing Determinants'!F113*-1*'Rate Calculations'!$G$9*(1-'Sum of Billing Determinants'!$AC113),0)</f>
        <v>-14522</v>
      </c>
      <c r="F105" s="29">
        <f>ROUND('Sum of Billing Determinants'!G113*-1*'Rate Calculations'!$G$9*(1-'Sum of Billing Determinants'!$AC113),0)</f>
        <v>-12587</v>
      </c>
      <c r="G105" s="29">
        <f>ROUND('Sum of Billing Determinants'!H113*-1*'Rate Calculations'!$G$9*(1-'Sum of Billing Determinants'!$AC113),0)</f>
        <v>-15026</v>
      </c>
      <c r="H105" s="29">
        <f>ROUND('Sum of Billing Determinants'!I113*-1*'Rate Calculations'!$G$9*(1-'Sum of Billing Determinants'!$AC113),0)</f>
        <v>-11666</v>
      </c>
      <c r="I105" s="29">
        <f>ROUND('Sum of Billing Determinants'!J113*-1*'Rate Calculations'!$G$9*(1-'Sum of Billing Determinants'!$AC113),0)</f>
        <v>-16163</v>
      </c>
      <c r="J105" s="29">
        <f>ROUND('Sum of Billing Determinants'!K113*-1*'Rate Calculations'!$G$9*(1-'Sum of Billing Determinants'!$AC113),0)</f>
        <v>-17270</v>
      </c>
      <c r="K105" s="29">
        <f>ROUND('Sum of Billing Determinants'!L113*-1*'Rate Calculations'!$G$9*(1-'Sum of Billing Determinants'!$AC113),0)</f>
        <v>-16397</v>
      </c>
      <c r="L105" s="29">
        <f>ROUND('Sum of Billing Determinants'!M113*-1*'Rate Calculations'!$G$9*(1-'Sum of Billing Determinants'!$AC113),0)</f>
        <v>-15847</v>
      </c>
      <c r="M105" s="29">
        <f>ROUND('Sum of Billing Determinants'!N113*-1*'Rate Calculations'!$G$9*(1-'Sum of Billing Determinants'!$AC113),0)</f>
        <v>-14644</v>
      </c>
      <c r="N105" s="29">
        <f t="shared" si="1"/>
        <v>-151704</v>
      </c>
    </row>
    <row r="106" spans="2:14" ht="15">
      <c r="B106" s="25">
        <f>'Sum of Billing Determinants'!A114</f>
        <v>10342</v>
      </c>
      <c r="C106" s="25" t="str">
        <f>'Sum of Billing Determinants'!B114</f>
        <v>Salem Elec Coop</v>
      </c>
      <c r="D106" s="29">
        <f>ROUND('Sum of Billing Determinants'!E114*-1*'Rate Calculations'!$G$9*(1-'Sum of Billing Determinants'!$AC114),0)</f>
        <v>-296813</v>
      </c>
      <c r="E106" s="29">
        <f>ROUND('Sum of Billing Determinants'!F114*-1*'Rate Calculations'!$G$9*(1-'Sum of Billing Determinants'!$AC114),0)</f>
        <v>-245155</v>
      </c>
      <c r="F106" s="29">
        <f>ROUND('Sum of Billing Determinants'!G114*-1*'Rate Calculations'!$G$9*(1-'Sum of Billing Determinants'!$AC114),0)</f>
        <v>-212481</v>
      </c>
      <c r="G106" s="29">
        <f>ROUND('Sum of Billing Determinants'!H114*-1*'Rate Calculations'!$G$9*(1-'Sum of Billing Determinants'!$AC114),0)</f>
        <v>-253659</v>
      </c>
      <c r="H106" s="29">
        <f>ROUND('Sum of Billing Determinants'!I114*-1*'Rate Calculations'!$G$9*(1-'Sum of Billing Determinants'!$AC114),0)</f>
        <v>-196933</v>
      </c>
      <c r="I106" s="29">
        <f>ROUND('Sum of Billing Determinants'!J114*-1*'Rate Calculations'!$G$9*(1-'Sum of Billing Determinants'!$AC114),0)</f>
        <v>-272852</v>
      </c>
      <c r="J106" s="29">
        <f>ROUND('Sum of Billing Determinants'!K114*-1*'Rate Calculations'!$G$9*(1-'Sum of Billing Determinants'!$AC114),0)</f>
        <v>-291548</v>
      </c>
      <c r="K106" s="29">
        <f>ROUND('Sum of Billing Determinants'!L114*-1*'Rate Calculations'!$G$9*(1-'Sum of Billing Determinants'!$AC114),0)</f>
        <v>-276812</v>
      </c>
      <c r="L106" s="29">
        <f>ROUND('Sum of Billing Determinants'!M114*-1*'Rate Calculations'!$G$9*(1-'Sum of Billing Determinants'!$AC114),0)</f>
        <v>-267517</v>
      </c>
      <c r="M106" s="29">
        <f>ROUND('Sum of Billing Determinants'!N114*-1*'Rate Calculations'!$G$9*(1-'Sum of Billing Determinants'!$AC114),0)</f>
        <v>-247214</v>
      </c>
      <c r="N106" s="29">
        <f t="shared" si="1"/>
        <v>-2560984</v>
      </c>
    </row>
    <row r="107" spans="2:14" ht="15">
      <c r="B107" s="25">
        <f>'Sum of Billing Determinants'!A115</f>
        <v>10343</v>
      </c>
      <c r="C107" s="25" t="str">
        <f>'Sum of Billing Determinants'!B115</f>
        <v>Salmon River Elec Coop</v>
      </c>
      <c r="D107" s="29">
        <f>ROUND('Sum of Billing Determinants'!E115*-1*'Rate Calculations'!$G$9*(1-'Sum of Billing Determinants'!$AC115),0)</f>
        <v>-89872</v>
      </c>
      <c r="E107" s="29">
        <f>ROUND('Sum of Billing Determinants'!F115*-1*'Rate Calculations'!$G$9*(1-'Sum of Billing Determinants'!$AC115),0)</f>
        <v>-74231</v>
      </c>
      <c r="F107" s="29">
        <f>ROUND('Sum of Billing Determinants'!G115*-1*'Rate Calculations'!$G$9*(1-'Sum of Billing Determinants'!$AC115),0)</f>
        <v>-64337</v>
      </c>
      <c r="G107" s="29">
        <f>ROUND('Sum of Billing Determinants'!H115*-1*'Rate Calculations'!$G$9*(1-'Sum of Billing Determinants'!$AC115),0)</f>
        <v>-76806</v>
      </c>
      <c r="H107" s="29">
        <f>ROUND('Sum of Billing Determinants'!I115*-1*'Rate Calculations'!$G$9*(1-'Sum of Billing Determinants'!$AC115),0)</f>
        <v>-59630</v>
      </c>
      <c r="I107" s="29">
        <f>ROUND('Sum of Billing Determinants'!J115*-1*'Rate Calculations'!$G$9*(1-'Sum of Billing Determinants'!$AC115),0)</f>
        <v>-82617</v>
      </c>
      <c r="J107" s="29">
        <f>ROUND('Sum of Billing Determinants'!K115*-1*'Rate Calculations'!$G$9*(1-'Sum of Billing Determinants'!$AC115),0)</f>
        <v>-88278</v>
      </c>
      <c r="K107" s="29">
        <f>ROUND('Sum of Billing Determinants'!L115*-1*'Rate Calculations'!$G$9*(1-'Sum of Billing Determinants'!$AC115),0)</f>
        <v>-83816</v>
      </c>
      <c r="L107" s="29">
        <f>ROUND('Sum of Billing Determinants'!M115*-1*'Rate Calculations'!$G$9*(1-'Sum of Billing Determinants'!$AC115),0)</f>
        <v>-81002</v>
      </c>
      <c r="M107" s="29">
        <f>ROUND('Sum of Billing Determinants'!N115*-1*'Rate Calculations'!$G$9*(1-'Sum of Billing Determinants'!$AC115),0)</f>
        <v>-74854</v>
      </c>
      <c r="N107" s="29">
        <f t="shared" si="1"/>
        <v>-775443</v>
      </c>
    </row>
    <row r="108" spans="2:14" ht="15">
      <c r="B108" s="25">
        <f>'Sum of Billing Determinants'!A116</f>
        <v>10349</v>
      </c>
      <c r="C108" s="25" t="str">
        <f>'Sum of Billing Determinants'!B116</f>
        <v>Seattle City Light</v>
      </c>
      <c r="D108" s="29">
        <f>ROUND('Sum of Billing Determinants'!E116*-1*'Rate Calculations'!$G$9*(1-'Sum of Billing Determinants'!$AC116),0)</f>
        <v>-3578153</v>
      </c>
      <c r="E108" s="29">
        <f>ROUND('Sum of Billing Determinants'!F116*-1*'Rate Calculations'!$G$9*(1-'Sum of Billing Determinants'!$AC116),0)</f>
        <v>-2955402</v>
      </c>
      <c r="F108" s="29">
        <f>ROUND('Sum of Billing Determinants'!G116*-1*'Rate Calculations'!$G$9*(1-'Sum of Billing Determinants'!$AC116),0)</f>
        <v>-2561512</v>
      </c>
      <c r="G108" s="29">
        <f>ROUND('Sum of Billing Determinants'!H116*-1*'Rate Calculations'!$G$9*(1-'Sum of Billing Determinants'!$AC116),0)</f>
        <v>-3057928</v>
      </c>
      <c r="H108" s="29">
        <f>ROUND('Sum of Billing Determinants'!I116*-1*'Rate Calculations'!$G$9*(1-'Sum of Billing Determinants'!$AC116),0)</f>
        <v>-2374074</v>
      </c>
      <c r="I108" s="29">
        <f>ROUND('Sum of Billing Determinants'!J116*-1*'Rate Calculations'!$G$9*(1-'Sum of Billing Determinants'!$AC116),0)</f>
        <v>-3289297</v>
      </c>
      <c r="J108" s="29">
        <f>ROUND('Sum of Billing Determinants'!K116*-1*'Rate Calculations'!$G$9*(1-'Sum of Billing Determinants'!$AC116),0)</f>
        <v>-3514683</v>
      </c>
      <c r="K108" s="29">
        <f>ROUND('Sum of Billing Determinants'!L116*-1*'Rate Calculations'!$G$9*(1-'Sum of Billing Determinants'!$AC116),0)</f>
        <v>-3337032</v>
      </c>
      <c r="L108" s="29">
        <f>ROUND('Sum of Billing Determinants'!M116*-1*'Rate Calculations'!$G$9*(1-'Sum of Billing Determinants'!$AC116),0)</f>
        <v>-3224984</v>
      </c>
      <c r="M108" s="29">
        <f>ROUND('Sum of Billing Determinants'!N116*-1*'Rate Calculations'!$G$9*(1-'Sum of Billing Determinants'!$AC116),0)</f>
        <v>-2980221</v>
      </c>
      <c r="N108" s="29">
        <f t="shared" si="1"/>
        <v>-30873286</v>
      </c>
    </row>
    <row r="109" spans="2:14" ht="15">
      <c r="B109" s="25">
        <f>'Sum of Billing Determinants'!A117</f>
        <v>10352</v>
      </c>
      <c r="C109" s="25" t="str">
        <f>'Sum of Billing Determinants'!B117</f>
        <v>Skamania County PUD #1</v>
      </c>
      <c r="D109" s="29">
        <f>ROUND('Sum of Billing Determinants'!E117*-1*'Rate Calculations'!$G$9*(1-'Sum of Billing Determinants'!$AC117),0)</f>
        <v>-115870</v>
      </c>
      <c r="E109" s="29">
        <f>ROUND('Sum of Billing Determinants'!F117*-1*'Rate Calculations'!$G$9*(1-'Sum of Billing Determinants'!$AC117),0)</f>
        <v>-95703</v>
      </c>
      <c r="F109" s="29">
        <f>ROUND('Sum of Billing Determinants'!G117*-1*'Rate Calculations'!$G$9*(1-'Sum of Billing Determinants'!$AC117),0)</f>
        <v>-82948</v>
      </c>
      <c r="G109" s="29">
        <f>ROUND('Sum of Billing Determinants'!H117*-1*'Rate Calculations'!$G$9*(1-'Sum of Billing Determinants'!$AC117),0)</f>
        <v>-99023</v>
      </c>
      <c r="H109" s="29">
        <f>ROUND('Sum of Billing Determinants'!I117*-1*'Rate Calculations'!$G$9*(1-'Sum of Billing Determinants'!$AC117),0)</f>
        <v>-76879</v>
      </c>
      <c r="I109" s="29">
        <f>ROUND('Sum of Billing Determinants'!J117*-1*'Rate Calculations'!$G$9*(1-'Sum of Billing Determinants'!$AC117),0)</f>
        <v>-106516</v>
      </c>
      <c r="J109" s="29">
        <f>ROUND('Sum of Billing Determinants'!K117*-1*'Rate Calculations'!$G$9*(1-'Sum of Billing Determinants'!$AC117),0)</f>
        <v>-113814</v>
      </c>
      <c r="K109" s="29">
        <f>ROUND('Sum of Billing Determinants'!L117*-1*'Rate Calculations'!$G$9*(1-'Sum of Billing Determinants'!$AC117),0)</f>
        <v>-108062</v>
      </c>
      <c r="L109" s="29">
        <f>ROUND('Sum of Billing Determinants'!M117*-1*'Rate Calculations'!$G$9*(1-'Sum of Billing Determinants'!$AC117),0)</f>
        <v>-104433</v>
      </c>
      <c r="M109" s="29">
        <f>ROUND('Sum of Billing Determinants'!N117*-1*'Rate Calculations'!$G$9*(1-'Sum of Billing Determinants'!$AC117),0)</f>
        <v>-96507</v>
      </c>
      <c r="N109" s="29">
        <f t="shared" si="1"/>
        <v>-999755</v>
      </c>
    </row>
    <row r="110" spans="2:14" ht="15">
      <c r="B110" s="25">
        <f>'Sum of Billing Determinants'!A118</f>
        <v>10354</v>
      </c>
      <c r="C110" s="25" t="str">
        <f>'Sum of Billing Determinants'!B118</f>
        <v>Snohomish County PUD #1</v>
      </c>
      <c r="D110" s="29">
        <f>ROUND('Sum of Billing Determinants'!E118*-1*'Rate Calculations'!$G$9*(1-'Sum of Billing Determinants'!$AC118),0)</f>
        <v>-3025153</v>
      </c>
      <c r="E110" s="29">
        <f>ROUND('Sum of Billing Determinants'!F118*-1*'Rate Calculations'!$G$9*(1-'Sum of Billing Determinants'!$AC118),0)</f>
        <v>-2498648</v>
      </c>
      <c r="F110" s="29">
        <f>ROUND('Sum of Billing Determinants'!G118*-1*'Rate Calculations'!$G$9*(1-'Sum of Billing Determinants'!$AC118),0)</f>
        <v>-2165633</v>
      </c>
      <c r="G110" s="29">
        <f>ROUND('Sum of Billing Determinants'!H118*-1*'Rate Calculations'!$G$9*(1-'Sum of Billing Determinants'!$AC118),0)</f>
        <v>-2585328</v>
      </c>
      <c r="H110" s="29">
        <f>ROUND('Sum of Billing Determinants'!I118*-1*'Rate Calculations'!$G$9*(1-'Sum of Billing Determinants'!$AC118),0)</f>
        <v>-2007163</v>
      </c>
      <c r="I110" s="29">
        <f>ROUND('Sum of Billing Determinants'!J118*-1*'Rate Calculations'!$G$9*(1-'Sum of Billing Determinants'!$AC118),0)</f>
        <v>-2780939</v>
      </c>
      <c r="J110" s="29">
        <f>ROUND('Sum of Billing Determinants'!K118*-1*'Rate Calculations'!$G$9*(1-'Sum of Billing Determinants'!$AC118),0)</f>
        <v>-2971492</v>
      </c>
      <c r="K110" s="29">
        <f>ROUND('Sum of Billing Determinants'!L118*-1*'Rate Calculations'!$G$9*(1-'Sum of Billing Determinants'!$AC118),0)</f>
        <v>-2821297</v>
      </c>
      <c r="L110" s="29">
        <f>ROUND('Sum of Billing Determinants'!M118*-1*'Rate Calculations'!$G$9*(1-'Sum of Billing Determinants'!$AC118),0)</f>
        <v>-2726566</v>
      </c>
      <c r="M110" s="29">
        <f>ROUND('Sum of Billing Determinants'!N118*-1*'Rate Calculations'!$G$9*(1-'Sum of Billing Determinants'!$AC118),0)</f>
        <v>-2519631</v>
      </c>
      <c r="N110" s="29">
        <f t="shared" si="1"/>
        <v>-26101850</v>
      </c>
    </row>
    <row r="111" spans="2:14" ht="15">
      <c r="B111" s="25">
        <f>'Sum of Billing Determinants'!A119</f>
        <v>10360</v>
      </c>
      <c r="C111" s="25" t="str">
        <f>'Sum of Billing Determinants'!B119</f>
        <v>South Side Elec</v>
      </c>
      <c r="D111" s="29">
        <f>ROUND('Sum of Billing Determinants'!E119*-1*'Rate Calculations'!$G$9*(1-'Sum of Billing Determinants'!$AC119),0)</f>
        <v>-49279</v>
      </c>
      <c r="E111" s="29">
        <f>ROUND('Sum of Billing Determinants'!F119*-1*'Rate Calculations'!$G$9*(1-'Sum of Billing Determinants'!$AC119),0)</f>
        <v>-40702</v>
      </c>
      <c r="F111" s="29">
        <f>ROUND('Sum of Billing Determinants'!G119*-1*'Rate Calculations'!$G$9*(1-'Sum of Billing Determinants'!$AC119),0)</f>
        <v>-35277</v>
      </c>
      <c r="G111" s="29">
        <f>ROUND('Sum of Billing Determinants'!H119*-1*'Rate Calculations'!$G$9*(1-'Sum of Billing Determinants'!$AC119),0)</f>
        <v>-42114</v>
      </c>
      <c r="H111" s="29">
        <f>ROUND('Sum of Billing Determinants'!I119*-1*'Rate Calculations'!$G$9*(1-'Sum of Billing Determinants'!$AC119),0)</f>
        <v>-32696</v>
      </c>
      <c r="I111" s="29">
        <f>ROUND('Sum of Billing Determinants'!J119*-1*'Rate Calculations'!$G$9*(1-'Sum of Billing Determinants'!$AC119),0)</f>
        <v>-45300</v>
      </c>
      <c r="J111" s="29">
        <f>ROUND('Sum of Billing Determinants'!K119*-1*'Rate Calculations'!$G$9*(1-'Sum of Billing Determinants'!$AC119),0)</f>
        <v>-48404</v>
      </c>
      <c r="K111" s="29">
        <f>ROUND('Sum of Billing Determinants'!L119*-1*'Rate Calculations'!$G$9*(1-'Sum of Billing Determinants'!$AC119),0)</f>
        <v>-45958</v>
      </c>
      <c r="L111" s="29">
        <f>ROUND('Sum of Billing Determinants'!M119*-1*'Rate Calculations'!$G$9*(1-'Sum of Billing Determinants'!$AC119),0)</f>
        <v>-44415</v>
      </c>
      <c r="M111" s="29">
        <f>ROUND('Sum of Billing Determinants'!N119*-1*'Rate Calculations'!$G$9*(1-'Sum of Billing Determinants'!$AC119),0)</f>
        <v>-41044</v>
      </c>
      <c r="N111" s="29">
        <f t="shared" si="1"/>
        <v>-425189</v>
      </c>
    </row>
    <row r="112" spans="2:14" ht="15">
      <c r="B112" s="25">
        <f>'Sum of Billing Determinants'!A120</f>
        <v>10363</v>
      </c>
      <c r="C112" s="25" t="str">
        <f>'Sum of Billing Determinants'!B120</f>
        <v>Springfield Utility Board</v>
      </c>
      <c r="D112" s="29">
        <f>ROUND('Sum of Billing Determinants'!E120*-1*'Rate Calculations'!$G$9*(1-'Sum of Billing Determinants'!$AC120),0)</f>
        <v>-734583</v>
      </c>
      <c r="E112" s="29">
        <f>ROUND('Sum of Billing Determinants'!F120*-1*'Rate Calculations'!$G$9*(1-'Sum of Billing Determinants'!$AC120),0)</f>
        <v>-606734</v>
      </c>
      <c r="F112" s="29">
        <f>ROUND('Sum of Billing Determinants'!G120*-1*'Rate Calculations'!$G$9*(1-'Sum of Billing Determinants'!$AC120),0)</f>
        <v>-525870</v>
      </c>
      <c r="G112" s="29">
        <f>ROUND('Sum of Billing Determinants'!H120*-1*'Rate Calculations'!$G$9*(1-'Sum of Billing Determinants'!$AC120),0)</f>
        <v>-627783</v>
      </c>
      <c r="H112" s="29">
        <f>ROUND('Sum of Billing Determinants'!I120*-1*'Rate Calculations'!$G$9*(1-'Sum of Billing Determinants'!$AC120),0)</f>
        <v>-487390</v>
      </c>
      <c r="I112" s="29">
        <f>ROUND('Sum of Billing Determinants'!J120*-1*'Rate Calculations'!$G$9*(1-'Sum of Billing Determinants'!$AC120),0)</f>
        <v>-675282</v>
      </c>
      <c r="J112" s="29">
        <f>ROUND('Sum of Billing Determinants'!K120*-1*'Rate Calculations'!$G$9*(1-'Sum of Billing Determinants'!$AC120),0)</f>
        <v>-721553</v>
      </c>
      <c r="K112" s="29">
        <f>ROUND('Sum of Billing Determinants'!L120*-1*'Rate Calculations'!$G$9*(1-'Sum of Billing Determinants'!$AC120),0)</f>
        <v>-685082</v>
      </c>
      <c r="L112" s="29">
        <f>ROUND('Sum of Billing Determinants'!M120*-1*'Rate Calculations'!$G$9*(1-'Sum of Billing Determinants'!$AC120),0)</f>
        <v>-662079</v>
      </c>
      <c r="M112" s="29">
        <f>ROUND('Sum of Billing Determinants'!N120*-1*'Rate Calculations'!$G$9*(1-'Sum of Billing Determinants'!$AC120),0)</f>
        <v>-611830</v>
      </c>
      <c r="N112" s="29">
        <f t="shared" si="1"/>
        <v>-6338186</v>
      </c>
    </row>
    <row r="113" spans="2:14" ht="15">
      <c r="B113" s="25">
        <f>'Sum of Billing Determinants'!A121</f>
        <v>10369</v>
      </c>
      <c r="C113" s="25" t="str">
        <f>'Sum of Billing Determinants'!B121</f>
        <v>Surprise Valley Elec Coop</v>
      </c>
      <c r="D113" s="29">
        <f>ROUND('Sum of Billing Determinants'!E121*-1*'Rate Calculations'!$G$9*(1-'Sum of Billing Determinants'!$AC121),0)</f>
        <v>-116399</v>
      </c>
      <c r="E113" s="29">
        <f>ROUND('Sum of Billing Determinants'!F121*-1*'Rate Calculations'!$G$9*(1-'Sum of Billing Determinants'!$AC121),0)</f>
        <v>-96141</v>
      </c>
      <c r="F113" s="29">
        <f>ROUND('Sum of Billing Determinants'!G121*-1*'Rate Calculations'!$G$9*(1-'Sum of Billing Determinants'!$AC121),0)</f>
        <v>-83328</v>
      </c>
      <c r="G113" s="29">
        <f>ROUND('Sum of Billing Determinants'!H121*-1*'Rate Calculations'!$G$9*(1-'Sum of Billing Determinants'!$AC121),0)</f>
        <v>-99476</v>
      </c>
      <c r="H113" s="29">
        <f>ROUND('Sum of Billing Determinants'!I121*-1*'Rate Calculations'!$G$9*(1-'Sum of Billing Determinants'!$AC121),0)</f>
        <v>-77230</v>
      </c>
      <c r="I113" s="29">
        <f>ROUND('Sum of Billing Determinants'!J121*-1*'Rate Calculations'!$G$9*(1-'Sum of Billing Determinants'!$AC121),0)</f>
        <v>-107003</v>
      </c>
      <c r="J113" s="29">
        <f>ROUND('Sum of Billing Determinants'!K121*-1*'Rate Calculations'!$G$9*(1-'Sum of Billing Determinants'!$AC121),0)</f>
        <v>-114335</v>
      </c>
      <c r="K113" s="29">
        <f>ROUND('Sum of Billing Determinants'!L121*-1*'Rate Calculations'!$G$9*(1-'Sum of Billing Determinants'!$AC121),0)</f>
        <v>-108556</v>
      </c>
      <c r="L113" s="29">
        <f>ROUND('Sum of Billing Determinants'!M121*-1*'Rate Calculations'!$G$9*(1-'Sum of Billing Determinants'!$AC121),0)</f>
        <v>-104911</v>
      </c>
      <c r="M113" s="29">
        <f>ROUND('Sum of Billing Determinants'!N121*-1*'Rate Calculations'!$G$9*(1-'Sum of Billing Determinants'!$AC121),0)</f>
        <v>-96948</v>
      </c>
      <c r="N113" s="29">
        <f t="shared" si="1"/>
        <v>-1004327</v>
      </c>
    </row>
    <row r="114" spans="2:14" ht="15">
      <c r="B114" s="25">
        <f>'Sum of Billing Determinants'!A122</f>
        <v>10370</v>
      </c>
      <c r="C114" s="25" t="str">
        <f>'Sum of Billing Determinants'!B122</f>
        <v>Tacoma Public Utilities</v>
      </c>
      <c r="D114" s="29">
        <f>ROUND('Sum of Billing Determinants'!E122*-1*'Rate Calculations'!$G$9*(1-'Sum of Billing Determinants'!$AC122),0)</f>
        <v>-1453017</v>
      </c>
      <c r="E114" s="29">
        <f>ROUND('Sum of Billing Determinants'!F122*-1*'Rate Calculations'!$G$9*(1-'Sum of Billing Determinants'!$AC122),0)</f>
        <v>-1200130</v>
      </c>
      <c r="F114" s="29">
        <f>ROUND('Sum of Billing Determinants'!G122*-1*'Rate Calculations'!$G$9*(1-'Sum of Billing Determinants'!$AC122),0)</f>
        <v>-1040179</v>
      </c>
      <c r="G114" s="29">
        <f>ROUND('Sum of Billing Determinants'!H122*-1*'Rate Calculations'!$G$9*(1-'Sum of Billing Determinants'!$AC122),0)</f>
        <v>-1241764</v>
      </c>
      <c r="H114" s="29">
        <f>ROUND('Sum of Billing Determinants'!I122*-1*'Rate Calculations'!$G$9*(1-'Sum of Billing Determinants'!$AC122),0)</f>
        <v>-964064</v>
      </c>
      <c r="I114" s="29">
        <f>ROUND('Sum of Billing Determinants'!J122*-1*'Rate Calculations'!$G$9*(1-'Sum of Billing Determinants'!$AC122),0)</f>
        <v>-1335718</v>
      </c>
      <c r="J114" s="29">
        <f>ROUND('Sum of Billing Determinants'!K122*-1*'Rate Calculations'!$G$9*(1-'Sum of Billing Determinants'!$AC122),0)</f>
        <v>-1427243</v>
      </c>
      <c r="K114" s="29">
        <f>ROUND('Sum of Billing Determinants'!L122*-1*'Rate Calculations'!$G$9*(1-'Sum of Billing Determinants'!$AC122),0)</f>
        <v>-1355102</v>
      </c>
      <c r="L114" s="29">
        <f>ROUND('Sum of Billing Determinants'!M122*-1*'Rate Calculations'!$G$9*(1-'Sum of Billing Determinants'!$AC122),0)</f>
        <v>-1309602</v>
      </c>
      <c r="M114" s="29">
        <f>ROUND('Sum of Billing Determinants'!N122*-1*'Rate Calculations'!$G$9*(1-'Sum of Billing Determinants'!$AC122),0)</f>
        <v>-1210209</v>
      </c>
      <c r="N114" s="29">
        <f t="shared" si="1"/>
        <v>-12537028</v>
      </c>
    </row>
    <row r="115" spans="2:14" ht="15">
      <c r="B115" s="25">
        <f>'Sum of Billing Determinants'!A123</f>
        <v>10371</v>
      </c>
      <c r="C115" s="25" t="str">
        <f>'Sum of Billing Determinants'!B123</f>
        <v>Tanner Elec Coop</v>
      </c>
      <c r="D115" s="29">
        <f>ROUND('Sum of Billing Determinants'!E123*-1*'Rate Calculations'!$G$9*(1-'Sum of Billing Determinants'!$AC123),0)</f>
        <v>-84637</v>
      </c>
      <c r="E115" s="29">
        <f>ROUND('Sum of Billing Determinants'!F123*-1*'Rate Calculations'!$G$9*(1-'Sum of Billing Determinants'!$AC123),0)</f>
        <v>-69907</v>
      </c>
      <c r="F115" s="29">
        <f>ROUND('Sum of Billing Determinants'!G123*-1*'Rate Calculations'!$G$9*(1-'Sum of Billing Determinants'!$AC123),0)</f>
        <v>-60590</v>
      </c>
      <c r="G115" s="29">
        <f>ROUND('Sum of Billing Determinants'!H123*-1*'Rate Calculations'!$G$9*(1-'Sum of Billing Determinants'!$AC123),0)</f>
        <v>-72332</v>
      </c>
      <c r="H115" s="29">
        <f>ROUND('Sum of Billing Determinants'!I123*-1*'Rate Calculations'!$G$9*(1-'Sum of Billing Determinants'!$AC123),0)</f>
        <v>-56156</v>
      </c>
      <c r="I115" s="29">
        <f>ROUND('Sum of Billing Determinants'!J123*-1*'Rate Calculations'!$G$9*(1-'Sum of Billing Determinants'!$AC123),0)</f>
        <v>-77805</v>
      </c>
      <c r="J115" s="29">
        <f>ROUND('Sum of Billing Determinants'!K123*-1*'Rate Calculations'!$G$9*(1-'Sum of Billing Determinants'!$AC123),0)</f>
        <v>-83136</v>
      </c>
      <c r="K115" s="29">
        <f>ROUND('Sum of Billing Determinants'!L123*-1*'Rate Calculations'!$G$9*(1-'Sum of Billing Determinants'!$AC123),0)</f>
        <v>-78934</v>
      </c>
      <c r="L115" s="29">
        <f>ROUND('Sum of Billing Determinants'!M123*-1*'Rate Calculations'!$G$9*(1-'Sum of Billing Determinants'!$AC123),0)</f>
        <v>-76283</v>
      </c>
      <c r="M115" s="29">
        <f>ROUND('Sum of Billing Determinants'!N123*-1*'Rate Calculations'!$G$9*(1-'Sum of Billing Determinants'!$AC123),0)</f>
        <v>-70494</v>
      </c>
      <c r="N115" s="29">
        <f t="shared" si="1"/>
        <v>-730274</v>
      </c>
    </row>
    <row r="116" spans="2:14" ht="15">
      <c r="B116" s="25">
        <f>'Sum of Billing Determinants'!A124</f>
        <v>10376</v>
      </c>
      <c r="C116" s="25" t="str">
        <f>'Sum of Billing Determinants'!B124</f>
        <v>Tillamook PUD #1</v>
      </c>
      <c r="D116" s="29">
        <f>ROUND('Sum of Billing Determinants'!E124*-1*'Rate Calculations'!$G$9*(1-'Sum of Billing Determinants'!$AC124),0)</f>
        <v>-429823</v>
      </c>
      <c r="E116" s="29">
        <f>ROUND('Sum of Billing Determinants'!F124*-1*'Rate Calculations'!$G$9*(1-'Sum of Billing Determinants'!$AC124),0)</f>
        <v>-355015</v>
      </c>
      <c r="F116" s="29">
        <f>ROUND('Sum of Billing Determinants'!G124*-1*'Rate Calculations'!$G$9*(1-'Sum of Billing Determinants'!$AC124),0)</f>
        <v>-307700</v>
      </c>
      <c r="G116" s="29">
        <f>ROUND('Sum of Billing Determinants'!H124*-1*'Rate Calculations'!$G$9*(1-'Sum of Billing Determinants'!$AC124),0)</f>
        <v>-367331</v>
      </c>
      <c r="H116" s="29">
        <f>ROUND('Sum of Billing Determinants'!I124*-1*'Rate Calculations'!$G$9*(1-'Sum of Billing Determinants'!$AC124),0)</f>
        <v>-285184</v>
      </c>
      <c r="I116" s="29">
        <f>ROUND('Sum of Billing Determinants'!J124*-1*'Rate Calculations'!$G$9*(1-'Sum of Billing Determinants'!$AC124),0)</f>
        <v>-395124</v>
      </c>
      <c r="J116" s="29">
        <f>ROUND('Sum of Billing Determinants'!K124*-1*'Rate Calculations'!$G$9*(1-'Sum of Billing Determinants'!$AC124),0)</f>
        <v>-422198</v>
      </c>
      <c r="K116" s="29">
        <f>ROUND('Sum of Billing Determinants'!L124*-1*'Rate Calculations'!$G$9*(1-'Sum of Billing Determinants'!$AC124),0)</f>
        <v>-400858</v>
      </c>
      <c r="L116" s="29">
        <f>ROUND('Sum of Billing Determinants'!M124*-1*'Rate Calculations'!$G$9*(1-'Sum of Billing Determinants'!$AC124),0)</f>
        <v>-387399</v>
      </c>
      <c r="M116" s="29">
        <f>ROUND('Sum of Billing Determinants'!N124*-1*'Rate Calculations'!$G$9*(1-'Sum of Billing Determinants'!$AC124),0)</f>
        <v>-357997</v>
      </c>
      <c r="N116" s="29">
        <f t="shared" si="1"/>
        <v>-3708629</v>
      </c>
    </row>
    <row r="117" spans="2:14" ht="15">
      <c r="B117" s="25">
        <f>'Sum of Billing Determinants'!A125</f>
        <v>10378</v>
      </c>
      <c r="C117" s="25" t="str">
        <f>'Sum of Billing Determinants'!B125</f>
        <v>Coulee Dam, City of</v>
      </c>
      <c r="D117" s="29">
        <f>ROUND('Sum of Billing Determinants'!E125*-1*'Rate Calculations'!$G$9*(1-'Sum of Billing Determinants'!$AC125),0)</f>
        <v>-15142</v>
      </c>
      <c r="E117" s="29">
        <f>ROUND('Sum of Billing Determinants'!F125*-1*'Rate Calculations'!$G$9*(1-'Sum of Billing Determinants'!$AC125),0)</f>
        <v>-12507</v>
      </c>
      <c r="F117" s="29">
        <f>ROUND('Sum of Billing Determinants'!G125*-1*'Rate Calculations'!$G$9*(1-'Sum of Billing Determinants'!$AC125),0)</f>
        <v>-10840</v>
      </c>
      <c r="G117" s="29">
        <f>ROUND('Sum of Billing Determinants'!H125*-1*'Rate Calculations'!$G$9*(1-'Sum of Billing Determinants'!$AC125),0)</f>
        <v>-12940</v>
      </c>
      <c r="H117" s="29">
        <f>ROUND('Sum of Billing Determinants'!I125*-1*'Rate Calculations'!$G$9*(1-'Sum of Billing Determinants'!$AC125),0)</f>
        <v>-10046</v>
      </c>
      <c r="I117" s="29">
        <f>ROUND('Sum of Billing Determinants'!J125*-1*'Rate Calculations'!$G$9*(1-'Sum of Billing Determinants'!$AC125),0)</f>
        <v>-13919</v>
      </c>
      <c r="J117" s="29">
        <f>ROUND('Sum of Billing Determinants'!K125*-1*'Rate Calculations'!$G$9*(1-'Sum of Billing Determinants'!$AC125),0)</f>
        <v>-14873</v>
      </c>
      <c r="K117" s="29">
        <f>ROUND('Sum of Billing Determinants'!L125*-1*'Rate Calculations'!$G$9*(1-'Sum of Billing Determinants'!$AC125),0)</f>
        <v>-14121</v>
      </c>
      <c r="L117" s="29">
        <f>ROUND('Sum of Billing Determinants'!M125*-1*'Rate Calculations'!$G$9*(1-'Sum of Billing Determinants'!$AC125),0)</f>
        <v>-13647</v>
      </c>
      <c r="M117" s="29">
        <f>ROUND('Sum of Billing Determinants'!N125*-1*'Rate Calculations'!$G$9*(1-'Sum of Billing Determinants'!$AC125),0)</f>
        <v>-12612</v>
      </c>
      <c r="N117" s="29">
        <f t="shared" si="1"/>
        <v>-130647</v>
      </c>
    </row>
    <row r="118" spans="2:14" ht="15">
      <c r="B118" s="25">
        <f>'Sum of Billing Determinants'!A126</f>
        <v>10379</v>
      </c>
      <c r="C118" s="25" t="str">
        <f>'Sum of Billing Determinants'!B126</f>
        <v>Steilacoom, Town of</v>
      </c>
      <c r="D118" s="29">
        <f>ROUND('Sum of Billing Determinants'!E126*-1*'Rate Calculations'!$G$9*(1-'Sum of Billing Determinants'!$AC126),0)</f>
        <v>-36747</v>
      </c>
      <c r="E118" s="29">
        <f>ROUND('Sum of Billing Determinants'!F126*-1*'Rate Calculations'!$G$9*(1-'Sum of Billing Determinants'!$AC126),0)</f>
        <v>-30351</v>
      </c>
      <c r="F118" s="29">
        <f>ROUND('Sum of Billing Determinants'!G126*-1*'Rate Calculations'!$G$9*(1-'Sum of Billing Determinants'!$AC126),0)</f>
        <v>-26306</v>
      </c>
      <c r="G118" s="29">
        <f>ROUND('Sum of Billing Determinants'!H126*-1*'Rate Calculations'!$G$9*(1-'Sum of Billing Determinants'!$AC126),0)</f>
        <v>-31404</v>
      </c>
      <c r="H118" s="29">
        <f>ROUND('Sum of Billing Determinants'!I126*-1*'Rate Calculations'!$G$9*(1-'Sum of Billing Determinants'!$AC126),0)</f>
        <v>-24381</v>
      </c>
      <c r="I118" s="29">
        <f>ROUND('Sum of Billing Determinants'!J126*-1*'Rate Calculations'!$G$9*(1-'Sum of Billing Determinants'!$AC126),0)</f>
        <v>-33780</v>
      </c>
      <c r="J118" s="29">
        <f>ROUND('Sum of Billing Determinants'!K126*-1*'Rate Calculations'!$G$9*(1-'Sum of Billing Determinants'!$AC126),0)</f>
        <v>-36095</v>
      </c>
      <c r="K118" s="29">
        <f>ROUND('Sum of Billing Determinants'!L126*-1*'Rate Calculations'!$G$9*(1-'Sum of Billing Determinants'!$AC126),0)</f>
        <v>-34271</v>
      </c>
      <c r="L118" s="29">
        <f>ROUND('Sum of Billing Determinants'!M126*-1*'Rate Calculations'!$G$9*(1-'Sum of Billing Determinants'!$AC126),0)</f>
        <v>-33120</v>
      </c>
      <c r="M118" s="29">
        <f>ROUND('Sum of Billing Determinants'!N126*-1*'Rate Calculations'!$G$9*(1-'Sum of Billing Determinants'!$AC126),0)</f>
        <v>-30606</v>
      </c>
      <c r="N118" s="29">
        <f t="shared" si="1"/>
        <v>-317061</v>
      </c>
    </row>
    <row r="119" spans="2:14" ht="15">
      <c r="B119" s="25">
        <f>'Sum of Billing Determinants'!A127</f>
        <v>10388</v>
      </c>
      <c r="C119" s="25" t="str">
        <f>'Sum of Billing Determinants'!B127</f>
        <v>Umatilla Elec Coop</v>
      </c>
      <c r="D119" s="29">
        <f>ROUND('Sum of Billing Determinants'!E127*-1*'Rate Calculations'!$G$9*(1-'Sum of Billing Determinants'!$AC127),0)</f>
        <v>-797143</v>
      </c>
      <c r="E119" s="29">
        <f>ROUND('Sum of Billing Determinants'!F127*-1*'Rate Calculations'!$G$9*(1-'Sum of Billing Determinants'!$AC127),0)</f>
        <v>-658407</v>
      </c>
      <c r="F119" s="29">
        <f>ROUND('Sum of Billing Determinants'!G127*-1*'Rate Calculations'!$G$9*(1-'Sum of Billing Determinants'!$AC127),0)</f>
        <v>-570655</v>
      </c>
      <c r="G119" s="29">
        <f>ROUND('Sum of Billing Determinants'!H127*-1*'Rate Calculations'!$G$9*(1-'Sum of Billing Determinants'!$AC127),0)</f>
        <v>-681247</v>
      </c>
      <c r="H119" s="29">
        <f>ROUND('Sum of Billing Determinants'!I127*-1*'Rate Calculations'!$G$9*(1-'Sum of Billing Determinants'!$AC127),0)</f>
        <v>-528898</v>
      </c>
      <c r="I119" s="29">
        <f>ROUND('Sum of Billing Determinants'!J127*-1*'Rate Calculations'!$G$9*(1-'Sum of Billing Determinants'!$AC127),0)</f>
        <v>-732792</v>
      </c>
      <c r="J119" s="29">
        <f>ROUND('Sum of Billing Determinants'!K127*-1*'Rate Calculations'!$G$9*(1-'Sum of Billing Determinants'!$AC127),0)</f>
        <v>-783003</v>
      </c>
      <c r="K119" s="29">
        <f>ROUND('Sum of Billing Determinants'!L127*-1*'Rate Calculations'!$G$9*(1-'Sum of Billing Determinants'!$AC127),0)</f>
        <v>-743426</v>
      </c>
      <c r="L119" s="29">
        <f>ROUND('Sum of Billing Determinants'!M127*-1*'Rate Calculations'!$G$9*(1-'Sum of Billing Determinants'!$AC127),0)</f>
        <v>-718464</v>
      </c>
      <c r="M119" s="29">
        <f>ROUND('Sum of Billing Determinants'!N127*-1*'Rate Calculations'!$G$9*(1-'Sum of Billing Determinants'!$AC127),0)</f>
        <v>-663936</v>
      </c>
      <c r="N119" s="29">
        <f t="shared" si="1"/>
        <v>-6877971</v>
      </c>
    </row>
    <row r="120" spans="2:14" ht="15">
      <c r="B120" s="25">
        <f>'Sum of Billing Determinants'!A128</f>
        <v>10391</v>
      </c>
      <c r="C120" s="25" t="str">
        <f>'Sum of Billing Determinants'!B128</f>
        <v>United Electric Coop</v>
      </c>
      <c r="D120" s="29">
        <f>ROUND('Sum of Billing Determinants'!E128*-1*'Rate Calculations'!$G$9*(1-'Sum of Billing Determinants'!$AC128),0)</f>
        <v>-222001</v>
      </c>
      <c r="E120" s="29">
        <f>ROUND('Sum of Billing Determinants'!F128*-1*'Rate Calculations'!$G$9*(1-'Sum of Billing Determinants'!$AC128),0)</f>
        <v>-183363</v>
      </c>
      <c r="F120" s="29">
        <f>ROUND('Sum of Billing Determinants'!G128*-1*'Rate Calculations'!$G$9*(1-'Sum of Billing Determinants'!$AC128),0)</f>
        <v>-158925</v>
      </c>
      <c r="G120" s="29">
        <f>ROUND('Sum of Billing Determinants'!H128*-1*'Rate Calculations'!$G$9*(1-'Sum of Billing Determinants'!$AC128),0)</f>
        <v>-189724</v>
      </c>
      <c r="H120" s="29">
        <f>ROUND('Sum of Billing Determinants'!I128*-1*'Rate Calculations'!$G$9*(1-'Sum of Billing Determinants'!$AC128),0)</f>
        <v>-147295</v>
      </c>
      <c r="I120" s="29">
        <f>ROUND('Sum of Billing Determinants'!J128*-1*'Rate Calculations'!$G$9*(1-'Sum of Billing Determinants'!$AC128),0)</f>
        <v>-204079</v>
      </c>
      <c r="J120" s="29">
        <f>ROUND('Sum of Billing Determinants'!K128*-1*'Rate Calculations'!$G$9*(1-'Sum of Billing Determinants'!$AC128),0)</f>
        <v>-218063</v>
      </c>
      <c r="K120" s="29">
        <f>ROUND('Sum of Billing Determinants'!L128*-1*'Rate Calculations'!$G$9*(1-'Sum of Billing Determinants'!$AC128),0)</f>
        <v>-207041</v>
      </c>
      <c r="L120" s="29">
        <f>ROUND('Sum of Billing Determinants'!M128*-1*'Rate Calculations'!$G$9*(1-'Sum of Billing Determinants'!$AC128),0)</f>
        <v>-200089</v>
      </c>
      <c r="M120" s="29">
        <f>ROUND('Sum of Billing Determinants'!N128*-1*'Rate Calculations'!$G$9*(1-'Sum of Billing Determinants'!$AC128),0)</f>
        <v>-184903</v>
      </c>
      <c r="N120" s="29">
        <f t="shared" si="1"/>
        <v>-1915483</v>
      </c>
    </row>
    <row r="121" spans="2:14" ht="15">
      <c r="B121" s="25">
        <f>'Sum of Billing Determinants'!A129</f>
        <v>10406</v>
      </c>
      <c r="C121" s="25" t="str">
        <f>'Sum of Billing Determinants'!B129</f>
        <v>U.S. DOE Albany Research Center</v>
      </c>
      <c r="D121" s="29">
        <f>ROUND('Sum of Billing Determinants'!E129*-1*'Rate Calculations'!$G$9*(1-'Sum of Billing Determinants'!$AC129),0)</f>
        <v>-3516</v>
      </c>
      <c r="E121" s="29">
        <f>ROUND('Sum of Billing Determinants'!F129*-1*'Rate Calculations'!$G$9*(1-'Sum of Billing Determinants'!$AC129),0)</f>
        <v>-2904</v>
      </c>
      <c r="F121" s="29">
        <f>ROUND('Sum of Billing Determinants'!G129*-1*'Rate Calculations'!$G$9*(1-'Sum of Billing Determinants'!$AC129),0)</f>
        <v>-2517</v>
      </c>
      <c r="G121" s="29">
        <f>ROUND('Sum of Billing Determinants'!H129*-1*'Rate Calculations'!$G$9*(1-'Sum of Billing Determinants'!$AC129),0)</f>
        <v>-3005</v>
      </c>
      <c r="H121" s="29">
        <f>ROUND('Sum of Billing Determinants'!I129*-1*'Rate Calculations'!$G$9*(1-'Sum of Billing Determinants'!$AC129),0)</f>
        <v>-2333</v>
      </c>
      <c r="I121" s="29">
        <f>ROUND('Sum of Billing Determinants'!J129*-1*'Rate Calculations'!$G$9*(1-'Sum of Billing Determinants'!$AC129),0)</f>
        <v>-3232</v>
      </c>
      <c r="J121" s="29">
        <f>ROUND('Sum of Billing Determinants'!K129*-1*'Rate Calculations'!$G$9*(1-'Sum of Billing Determinants'!$AC129),0)</f>
        <v>-3454</v>
      </c>
      <c r="K121" s="29">
        <f>ROUND('Sum of Billing Determinants'!L129*-1*'Rate Calculations'!$G$9*(1-'Sum of Billing Determinants'!$AC129),0)</f>
        <v>-3279</v>
      </c>
      <c r="L121" s="29">
        <f>ROUND('Sum of Billing Determinants'!M129*-1*'Rate Calculations'!$G$9*(1-'Sum of Billing Determinants'!$AC129),0)</f>
        <v>-3169</v>
      </c>
      <c r="M121" s="29">
        <f>ROUND('Sum of Billing Determinants'!N129*-1*'Rate Calculations'!$G$9*(1-'Sum of Billing Determinants'!$AC129),0)</f>
        <v>-2928</v>
      </c>
      <c r="N121" s="29">
        <f t="shared" si="1"/>
        <v>-30337</v>
      </c>
    </row>
    <row r="122" spans="2:14" ht="15">
      <c r="B122" s="25">
        <f>'Sum of Billing Determinants'!A130</f>
        <v>10408</v>
      </c>
      <c r="C122" s="25" t="str">
        <f>'Sum of Billing Determinants'!B130</f>
        <v>U.S. Naval Station, Everett (Jim Creek)</v>
      </c>
      <c r="D122" s="29">
        <f>ROUND('Sum of Billing Determinants'!E130*-1*'Rate Calculations'!$G$9*(1-'Sum of Billing Determinants'!$AC130),0)</f>
        <v>-11718</v>
      </c>
      <c r="E122" s="29">
        <f>ROUND('Sum of Billing Determinants'!F130*-1*'Rate Calculations'!$G$9*(1-'Sum of Billing Determinants'!$AC130),0)</f>
        <v>-9679</v>
      </c>
      <c r="F122" s="29">
        <f>ROUND('Sum of Billing Determinants'!G130*-1*'Rate Calculations'!$G$9*(1-'Sum of Billing Determinants'!$AC130),0)</f>
        <v>-8389</v>
      </c>
      <c r="G122" s="29">
        <f>ROUND('Sum of Billing Determinants'!H130*-1*'Rate Calculations'!$G$9*(1-'Sum of Billing Determinants'!$AC130),0)</f>
        <v>-10014</v>
      </c>
      <c r="H122" s="29">
        <f>ROUND('Sum of Billing Determinants'!I130*-1*'Rate Calculations'!$G$9*(1-'Sum of Billing Determinants'!$AC130),0)</f>
        <v>-7775</v>
      </c>
      <c r="I122" s="29">
        <f>ROUND('Sum of Billing Determinants'!J130*-1*'Rate Calculations'!$G$9*(1-'Sum of Billing Determinants'!$AC130),0)</f>
        <v>-10772</v>
      </c>
      <c r="J122" s="29">
        <f>ROUND('Sum of Billing Determinants'!K130*-1*'Rate Calculations'!$G$9*(1-'Sum of Billing Determinants'!$AC130),0)</f>
        <v>-11510</v>
      </c>
      <c r="K122" s="29">
        <f>ROUND('Sum of Billing Determinants'!L130*-1*'Rate Calculations'!$G$9*(1-'Sum of Billing Determinants'!$AC130),0)</f>
        <v>-10928</v>
      </c>
      <c r="L122" s="29">
        <f>ROUND('Sum of Billing Determinants'!M130*-1*'Rate Calculations'!$G$9*(1-'Sum of Billing Determinants'!$AC130),0)</f>
        <v>-10561</v>
      </c>
      <c r="M122" s="29">
        <f>ROUND('Sum of Billing Determinants'!N130*-1*'Rate Calculations'!$G$9*(1-'Sum of Billing Determinants'!$AC130),0)</f>
        <v>-9760</v>
      </c>
      <c r="N122" s="29">
        <f t="shared" si="1"/>
        <v>-101106</v>
      </c>
    </row>
    <row r="123" spans="2:14" ht="15">
      <c r="B123" s="25">
        <f>'Sum of Billing Determinants'!A131</f>
        <v>10409</v>
      </c>
      <c r="C123" s="25" t="str">
        <f>'Sum of Billing Determinants'!B131</f>
        <v>U.S. Naval Submarine Base, Bangor</v>
      </c>
      <c r="D123" s="29">
        <f>ROUND('Sum of Billing Determinants'!E131*-1*'Rate Calculations'!$G$9*(1-'Sum of Billing Determinants'!$AC131),0)</f>
        <v>-156663</v>
      </c>
      <c r="E123" s="29">
        <f>ROUND('Sum of Billing Determinants'!F131*-1*'Rate Calculations'!$G$9*(1-'Sum of Billing Determinants'!$AC131),0)</f>
        <v>-129397</v>
      </c>
      <c r="F123" s="29">
        <f>ROUND('Sum of Billing Determinants'!G131*-1*'Rate Calculations'!$G$9*(1-'Sum of Billing Determinants'!$AC131),0)</f>
        <v>-112151</v>
      </c>
      <c r="G123" s="29">
        <f>ROUND('Sum of Billing Determinants'!H131*-1*'Rate Calculations'!$G$9*(1-'Sum of Billing Determinants'!$AC131),0)</f>
        <v>-133886</v>
      </c>
      <c r="H123" s="29">
        <f>ROUND('Sum of Billing Determinants'!I131*-1*'Rate Calculations'!$G$9*(1-'Sum of Billing Determinants'!$AC131),0)</f>
        <v>-103944</v>
      </c>
      <c r="I123" s="29">
        <f>ROUND('Sum of Billing Determinants'!J131*-1*'Rate Calculations'!$G$9*(1-'Sum of Billing Determinants'!$AC131),0)</f>
        <v>-144016</v>
      </c>
      <c r="J123" s="29">
        <f>ROUND('Sum of Billing Determinants'!K131*-1*'Rate Calculations'!$G$9*(1-'Sum of Billing Determinants'!$AC131),0)</f>
        <v>-153884</v>
      </c>
      <c r="K123" s="29">
        <f>ROUND('Sum of Billing Determinants'!L131*-1*'Rate Calculations'!$G$9*(1-'Sum of Billing Determinants'!$AC131),0)</f>
        <v>-146106</v>
      </c>
      <c r="L123" s="29">
        <f>ROUND('Sum of Billing Determinants'!M131*-1*'Rate Calculations'!$G$9*(1-'Sum of Billing Determinants'!$AC131),0)</f>
        <v>-141200</v>
      </c>
      <c r="M123" s="29">
        <f>ROUND('Sum of Billing Determinants'!N131*-1*'Rate Calculations'!$G$9*(1-'Sum of Billing Determinants'!$AC131),0)</f>
        <v>-130483</v>
      </c>
      <c r="N123" s="29">
        <f t="shared" si="1"/>
        <v>-1351730</v>
      </c>
    </row>
    <row r="124" spans="2:14" ht="15">
      <c r="B124" s="25">
        <f>'Sum of Billing Determinants'!A132</f>
        <v>10426</v>
      </c>
      <c r="C124" s="25" t="str">
        <f>'Sum of Billing Determinants'!B132</f>
        <v>U.S. DOE Richland Operations Office</v>
      </c>
      <c r="D124" s="29">
        <f>ROUND('Sum of Billing Determinants'!E132*-1*'Rate Calculations'!$G$9*(1-'Sum of Billing Determinants'!$AC132),0)</f>
        <v>-131748</v>
      </c>
      <c r="E124" s="29">
        <f>ROUND('Sum of Billing Determinants'!F132*-1*'Rate Calculations'!$G$9*(1-'Sum of Billing Determinants'!$AC132),0)</f>
        <v>-108818</v>
      </c>
      <c r="F124" s="29">
        <f>ROUND('Sum of Billing Determinants'!G132*-1*'Rate Calculations'!$G$9*(1-'Sum of Billing Determinants'!$AC132),0)</f>
        <v>-94315</v>
      </c>
      <c r="G124" s="29">
        <f>ROUND('Sum of Billing Determinants'!H132*-1*'Rate Calculations'!$G$9*(1-'Sum of Billing Determinants'!$AC132),0)</f>
        <v>-112593</v>
      </c>
      <c r="H124" s="29">
        <f>ROUND('Sum of Billing Determinants'!I132*-1*'Rate Calculations'!$G$9*(1-'Sum of Billing Determinants'!$AC132),0)</f>
        <v>-87413</v>
      </c>
      <c r="I124" s="29">
        <f>ROUND('Sum of Billing Determinants'!J132*-1*'Rate Calculations'!$G$9*(1-'Sum of Billing Determinants'!$AC132),0)</f>
        <v>-121112</v>
      </c>
      <c r="J124" s="29">
        <f>ROUND('Sum of Billing Determinants'!K132*-1*'Rate Calculations'!$G$9*(1-'Sum of Billing Determinants'!$AC132),0)</f>
        <v>-129411</v>
      </c>
      <c r="K124" s="29">
        <f>ROUND('Sum of Billing Determinants'!L132*-1*'Rate Calculations'!$G$9*(1-'Sum of Billing Determinants'!$AC132),0)</f>
        <v>-122870</v>
      </c>
      <c r="L124" s="29">
        <f>ROUND('Sum of Billing Determinants'!M132*-1*'Rate Calculations'!$G$9*(1-'Sum of Billing Determinants'!$AC132),0)</f>
        <v>-118744</v>
      </c>
      <c r="M124" s="29">
        <f>ROUND('Sum of Billing Determinants'!N132*-1*'Rate Calculations'!$G$9*(1-'Sum of Billing Determinants'!$AC132),0)</f>
        <v>-109732</v>
      </c>
      <c r="N124" s="29">
        <f t="shared" si="1"/>
        <v>-1136756</v>
      </c>
    </row>
    <row r="125" spans="2:14" ht="15">
      <c r="B125" s="25">
        <f>'Sum of Billing Determinants'!A133</f>
        <v>10434</v>
      </c>
      <c r="C125" s="25" t="str">
        <f>'Sum of Billing Determinants'!B133</f>
        <v>Vera Irrigation District</v>
      </c>
      <c r="D125" s="29">
        <f>ROUND('Sum of Billing Determinants'!E133*-1*'Rate Calculations'!$G$9*(1-'Sum of Billing Determinants'!$AC133),0)</f>
        <v>-208329</v>
      </c>
      <c r="E125" s="29">
        <f>ROUND('Sum of Billing Determinants'!F133*-1*'Rate Calculations'!$G$9*(1-'Sum of Billing Determinants'!$AC133),0)</f>
        <v>-172071</v>
      </c>
      <c r="F125" s="29">
        <f>ROUND('Sum of Billing Determinants'!G133*-1*'Rate Calculations'!$G$9*(1-'Sum of Billing Determinants'!$AC133),0)</f>
        <v>-149138</v>
      </c>
      <c r="G125" s="29">
        <f>ROUND('Sum of Billing Determinants'!H133*-1*'Rate Calculations'!$G$9*(1-'Sum of Billing Determinants'!$AC133),0)</f>
        <v>-178040</v>
      </c>
      <c r="H125" s="29">
        <f>ROUND('Sum of Billing Determinants'!I133*-1*'Rate Calculations'!$G$9*(1-'Sum of Billing Determinants'!$AC133),0)</f>
        <v>-138225</v>
      </c>
      <c r="I125" s="29">
        <f>ROUND('Sum of Billing Determinants'!J133*-1*'Rate Calculations'!$G$9*(1-'Sum of Billing Determinants'!$AC133),0)</f>
        <v>-191511</v>
      </c>
      <c r="J125" s="29">
        <f>ROUND('Sum of Billing Determinants'!K133*-1*'Rate Calculations'!$G$9*(1-'Sum of Billing Determinants'!$AC133),0)</f>
        <v>-204634</v>
      </c>
      <c r="K125" s="29">
        <f>ROUND('Sum of Billing Determinants'!L133*-1*'Rate Calculations'!$G$9*(1-'Sum of Billing Determinants'!$AC133),0)</f>
        <v>-194290</v>
      </c>
      <c r="L125" s="29">
        <f>ROUND('Sum of Billing Determinants'!M133*-1*'Rate Calculations'!$G$9*(1-'Sum of Billing Determinants'!$AC133),0)</f>
        <v>-187767</v>
      </c>
      <c r="M125" s="29">
        <f>ROUND('Sum of Billing Determinants'!N133*-1*'Rate Calculations'!$G$9*(1-'Sum of Billing Determinants'!$AC133),0)</f>
        <v>-173516</v>
      </c>
      <c r="N125" s="29">
        <f t="shared" si="1"/>
        <v>-1797521</v>
      </c>
    </row>
    <row r="126" spans="2:14" ht="15">
      <c r="B126" s="25">
        <f>'Sum of Billing Determinants'!A134</f>
        <v>10436</v>
      </c>
      <c r="C126" s="25" t="str">
        <f>'Sum of Billing Determinants'!B134</f>
        <v>Vigilante Elec Coop</v>
      </c>
      <c r="D126" s="29">
        <f>ROUND('Sum of Billing Determinants'!E134*-1*'Rate Calculations'!$G$9*(1-'Sum of Billing Determinants'!$AC134),0)</f>
        <v>-134860</v>
      </c>
      <c r="E126" s="29">
        <f>ROUND('Sum of Billing Determinants'!F134*-1*'Rate Calculations'!$G$9*(1-'Sum of Billing Determinants'!$AC134),0)</f>
        <v>-111388</v>
      </c>
      <c r="F126" s="29">
        <f>ROUND('Sum of Billing Determinants'!G134*-1*'Rate Calculations'!$G$9*(1-'Sum of Billing Determinants'!$AC134),0)</f>
        <v>-96543</v>
      </c>
      <c r="G126" s="29">
        <f>ROUND('Sum of Billing Determinants'!H134*-1*'Rate Calculations'!$G$9*(1-'Sum of Billing Determinants'!$AC134),0)</f>
        <v>-115253</v>
      </c>
      <c r="H126" s="29">
        <f>ROUND('Sum of Billing Determinants'!I134*-1*'Rate Calculations'!$G$9*(1-'Sum of Billing Determinants'!$AC134),0)</f>
        <v>-89478</v>
      </c>
      <c r="I126" s="29">
        <f>ROUND('Sum of Billing Determinants'!J134*-1*'Rate Calculations'!$G$9*(1-'Sum of Billing Determinants'!$AC134),0)</f>
        <v>-123973</v>
      </c>
      <c r="J126" s="29">
        <f>ROUND('Sum of Billing Determinants'!K134*-1*'Rate Calculations'!$G$9*(1-'Sum of Billing Determinants'!$AC134),0)</f>
        <v>-132468</v>
      </c>
      <c r="K126" s="29">
        <f>ROUND('Sum of Billing Determinants'!L134*-1*'Rate Calculations'!$G$9*(1-'Sum of Billing Determinants'!$AC134),0)</f>
        <v>-125772</v>
      </c>
      <c r="L126" s="29">
        <f>ROUND('Sum of Billing Determinants'!M134*-1*'Rate Calculations'!$G$9*(1-'Sum of Billing Determinants'!$AC134),0)</f>
        <v>-121549</v>
      </c>
      <c r="M126" s="29">
        <f>ROUND('Sum of Billing Determinants'!N134*-1*'Rate Calculations'!$G$9*(1-'Sum of Billing Determinants'!$AC134),0)</f>
        <v>-112324</v>
      </c>
      <c r="N126" s="29">
        <f t="shared" si="1"/>
        <v>-1163608</v>
      </c>
    </row>
    <row r="127" spans="2:14" ht="15">
      <c r="B127" s="25">
        <f>'Sum of Billing Determinants'!A135</f>
        <v>10440</v>
      </c>
      <c r="C127" s="25" t="str">
        <f>'Sum of Billing Determinants'!B135</f>
        <v>Wahkiakum County PUD #1</v>
      </c>
      <c r="D127" s="29">
        <f>ROUND('Sum of Billing Determinants'!E135*-1*'Rate Calculations'!$G$9*(1-'Sum of Billing Determinants'!$AC135),0)</f>
        <v>-36223</v>
      </c>
      <c r="E127" s="29">
        <f>ROUND('Sum of Billing Determinants'!F135*-1*'Rate Calculations'!$G$9*(1-'Sum of Billing Determinants'!$AC135),0)</f>
        <v>-29918</v>
      </c>
      <c r="F127" s="29">
        <f>ROUND('Sum of Billing Determinants'!G135*-1*'Rate Calculations'!$G$9*(1-'Sum of Billing Determinants'!$AC135),0)</f>
        <v>-25931</v>
      </c>
      <c r="G127" s="29">
        <f>ROUND('Sum of Billing Determinants'!H135*-1*'Rate Calculations'!$G$9*(1-'Sum of Billing Determinants'!$AC135),0)</f>
        <v>-30956</v>
      </c>
      <c r="H127" s="29">
        <f>ROUND('Sum of Billing Determinants'!I135*-1*'Rate Calculations'!$G$9*(1-'Sum of Billing Determinants'!$AC135),0)</f>
        <v>-24033</v>
      </c>
      <c r="I127" s="29">
        <f>ROUND('Sum of Billing Determinants'!J135*-1*'Rate Calculations'!$G$9*(1-'Sum of Billing Determinants'!$AC135),0)</f>
        <v>-33298</v>
      </c>
      <c r="J127" s="29">
        <f>ROUND('Sum of Billing Determinants'!K135*-1*'Rate Calculations'!$G$9*(1-'Sum of Billing Determinants'!$AC135),0)</f>
        <v>-35580</v>
      </c>
      <c r="K127" s="29">
        <f>ROUND('Sum of Billing Determinants'!L135*-1*'Rate Calculations'!$G$9*(1-'Sum of Billing Determinants'!$AC135),0)</f>
        <v>-33782</v>
      </c>
      <c r="L127" s="29">
        <f>ROUND('Sum of Billing Determinants'!M135*-1*'Rate Calculations'!$G$9*(1-'Sum of Billing Determinants'!$AC135),0)</f>
        <v>-32647</v>
      </c>
      <c r="M127" s="29">
        <f>ROUND('Sum of Billing Determinants'!N135*-1*'Rate Calculations'!$G$9*(1-'Sum of Billing Determinants'!$AC135),0)</f>
        <v>-30170</v>
      </c>
      <c r="N127" s="29">
        <f t="shared" si="1"/>
        <v>-312538</v>
      </c>
    </row>
    <row r="128" spans="2:14" ht="15">
      <c r="B128" s="25">
        <f>'Sum of Billing Determinants'!A136</f>
        <v>10442</v>
      </c>
      <c r="C128" s="25" t="str">
        <f>'Sum of Billing Determinants'!B136</f>
        <v>Wasco Elec Coop</v>
      </c>
      <c r="D128" s="29">
        <f>ROUND('Sum of Billing Determinants'!E136*-1*'Rate Calculations'!$G$9*(1-'Sum of Billing Determinants'!$AC136),0)</f>
        <v>-95142</v>
      </c>
      <c r="E128" s="29">
        <f>ROUND('Sum of Billing Determinants'!F136*-1*'Rate Calculations'!$G$9*(1-'Sum of Billing Determinants'!$AC136),0)</f>
        <v>-78584</v>
      </c>
      <c r="F128" s="29">
        <f>ROUND('Sum of Billing Determinants'!G136*-1*'Rate Calculations'!$G$9*(1-'Sum of Billing Determinants'!$AC136),0)</f>
        <v>-68110</v>
      </c>
      <c r="G128" s="29">
        <f>ROUND('Sum of Billing Determinants'!H136*-1*'Rate Calculations'!$G$9*(1-'Sum of Billing Determinants'!$AC136),0)</f>
        <v>-81310</v>
      </c>
      <c r="H128" s="29">
        <f>ROUND('Sum of Billing Determinants'!I136*-1*'Rate Calculations'!$G$9*(1-'Sum of Billing Determinants'!$AC136),0)</f>
        <v>-63126</v>
      </c>
      <c r="I128" s="29">
        <f>ROUND('Sum of Billing Determinants'!J136*-1*'Rate Calculations'!$G$9*(1-'Sum of Billing Determinants'!$AC136),0)</f>
        <v>-87462</v>
      </c>
      <c r="J128" s="29">
        <f>ROUND('Sum of Billing Determinants'!K136*-1*'Rate Calculations'!$G$9*(1-'Sum of Billing Determinants'!$AC136),0)</f>
        <v>-93455</v>
      </c>
      <c r="K128" s="29">
        <f>ROUND('Sum of Billing Determinants'!L136*-1*'Rate Calculations'!$G$9*(1-'Sum of Billing Determinants'!$AC136),0)</f>
        <v>-88731</v>
      </c>
      <c r="L128" s="29">
        <f>ROUND('Sum of Billing Determinants'!M136*-1*'Rate Calculations'!$G$9*(1-'Sum of Billing Determinants'!$AC136),0)</f>
        <v>-85752</v>
      </c>
      <c r="M128" s="29">
        <f>ROUND('Sum of Billing Determinants'!N136*-1*'Rate Calculations'!$G$9*(1-'Sum of Billing Determinants'!$AC136),0)</f>
        <v>-79244</v>
      </c>
      <c r="N128" s="29">
        <f t="shared" si="1"/>
        <v>-820916</v>
      </c>
    </row>
    <row r="129" spans="2:14" ht="15">
      <c r="B129" s="25">
        <f>'Sum of Billing Determinants'!A137</f>
        <v>10446</v>
      </c>
      <c r="C129" s="25" t="str">
        <f>'Sum of Billing Determinants'!B137</f>
        <v>Wells Rural Elec Coop</v>
      </c>
      <c r="D129" s="29">
        <f>ROUND('Sum of Billing Determinants'!E137*-1*'Rate Calculations'!$G$9*(1-'Sum of Billing Determinants'!$AC137),0)</f>
        <v>-679822</v>
      </c>
      <c r="E129" s="29">
        <f>ROUND('Sum of Billing Determinants'!F137*-1*'Rate Calculations'!$G$9*(1-'Sum of Billing Determinants'!$AC137),0)</f>
        <v>-561504</v>
      </c>
      <c r="F129" s="29">
        <f>ROUND('Sum of Billing Determinants'!G137*-1*'Rate Calculations'!$G$9*(1-'Sum of Billing Determinants'!$AC137),0)</f>
        <v>-486668</v>
      </c>
      <c r="G129" s="29">
        <f>ROUND('Sum of Billing Determinants'!H137*-1*'Rate Calculations'!$G$9*(1-'Sum of Billing Determinants'!$AC137),0)</f>
        <v>-580983</v>
      </c>
      <c r="H129" s="29">
        <f>ROUND('Sum of Billing Determinants'!I137*-1*'Rate Calculations'!$G$9*(1-'Sum of Billing Determinants'!$AC137),0)</f>
        <v>-451056</v>
      </c>
      <c r="I129" s="29">
        <f>ROUND('Sum of Billing Determinants'!J137*-1*'Rate Calculations'!$G$9*(1-'Sum of Billing Determinants'!$AC137),0)</f>
        <v>-624942</v>
      </c>
      <c r="J129" s="29">
        <f>ROUND('Sum of Billing Determinants'!K137*-1*'Rate Calculations'!$G$9*(1-'Sum of Billing Determinants'!$AC137),0)</f>
        <v>-667763</v>
      </c>
      <c r="K129" s="29">
        <f>ROUND('Sum of Billing Determinants'!L137*-1*'Rate Calculations'!$G$9*(1-'Sum of Billing Determinants'!$AC137),0)</f>
        <v>-634011</v>
      </c>
      <c r="L129" s="29">
        <f>ROUND('Sum of Billing Determinants'!M137*-1*'Rate Calculations'!$G$9*(1-'Sum of Billing Determinants'!$AC137),0)</f>
        <v>-612723</v>
      </c>
      <c r="M129" s="29">
        <f>ROUND('Sum of Billing Determinants'!N137*-1*'Rate Calculations'!$G$9*(1-'Sum of Billing Determinants'!$AC137),0)</f>
        <v>-566220</v>
      </c>
      <c r="N129" s="29">
        <f t="shared" si="1"/>
        <v>-5865692</v>
      </c>
    </row>
    <row r="130" spans="2:14" ht="15">
      <c r="B130" s="25">
        <f>'Sum of Billing Determinants'!A138</f>
        <v>10448</v>
      </c>
      <c r="C130" s="25" t="str">
        <f>'Sum of Billing Determinants'!B138</f>
        <v>West Oregon Elec Coop</v>
      </c>
      <c r="D130" s="29">
        <f>ROUND('Sum of Billing Determinants'!E138*-1*'Rate Calculations'!$G$9*(1-'Sum of Billing Determinants'!$AC138),0)</f>
        <v>-60411</v>
      </c>
      <c r="E130" s="29">
        <f>ROUND('Sum of Billing Determinants'!F138*-1*'Rate Calculations'!$G$9*(1-'Sum of Billing Determinants'!$AC138),0)</f>
        <v>-49897</v>
      </c>
      <c r="F130" s="29">
        <f>ROUND('Sum of Billing Determinants'!G138*-1*'Rate Calculations'!$G$9*(1-'Sum of Billing Determinants'!$AC138),0)</f>
        <v>-43247</v>
      </c>
      <c r="G130" s="29">
        <f>ROUND('Sum of Billing Determinants'!H138*-1*'Rate Calculations'!$G$9*(1-'Sum of Billing Determinants'!$AC138),0)</f>
        <v>-51628</v>
      </c>
      <c r="H130" s="29">
        <f>ROUND('Sum of Billing Determinants'!I138*-1*'Rate Calculations'!$G$9*(1-'Sum of Billing Determinants'!$AC138),0)</f>
        <v>-40082</v>
      </c>
      <c r="I130" s="29">
        <f>ROUND('Sum of Billing Determinants'!J138*-1*'Rate Calculations'!$G$9*(1-'Sum of Billing Determinants'!$AC138),0)</f>
        <v>-55534</v>
      </c>
      <c r="J130" s="29">
        <f>ROUND('Sum of Billing Determinants'!K138*-1*'Rate Calculations'!$G$9*(1-'Sum of Billing Determinants'!$AC138),0)</f>
        <v>-59339</v>
      </c>
      <c r="K130" s="29">
        <f>ROUND('Sum of Billing Determinants'!L138*-1*'Rate Calculations'!$G$9*(1-'Sum of Billing Determinants'!$AC138),0)</f>
        <v>-56340</v>
      </c>
      <c r="L130" s="29">
        <f>ROUND('Sum of Billing Determinants'!M138*-1*'Rate Calculations'!$G$9*(1-'Sum of Billing Determinants'!$AC138),0)</f>
        <v>-54448</v>
      </c>
      <c r="M130" s="29">
        <f>ROUND('Sum of Billing Determinants'!N138*-1*'Rate Calculations'!$G$9*(1-'Sum of Billing Determinants'!$AC138),0)</f>
        <v>-50316</v>
      </c>
      <c r="N130" s="29">
        <f t="shared" si="1"/>
        <v>-521242</v>
      </c>
    </row>
    <row r="131" spans="2:14" ht="15">
      <c r="B131" s="25">
        <f>'Sum of Billing Determinants'!A139</f>
        <v>10451</v>
      </c>
      <c r="C131" s="25" t="str">
        <f>'Sum of Billing Determinants'!B139</f>
        <v>Whatcom County PUD #1</v>
      </c>
      <c r="D131" s="29">
        <f>ROUND('Sum of Billing Determinants'!E139*-1*'Rate Calculations'!$G$9*(1-'Sum of Billing Determinants'!$AC139),0)</f>
        <v>-205848</v>
      </c>
      <c r="E131" s="29">
        <f>ROUND('Sum of Billing Determinants'!F139*-1*'Rate Calculations'!$G$9*(1-'Sum of Billing Determinants'!$AC139),0)</f>
        <v>-170022</v>
      </c>
      <c r="F131" s="29">
        <f>ROUND('Sum of Billing Determinants'!G139*-1*'Rate Calculations'!$G$9*(1-'Sum of Billing Determinants'!$AC139),0)</f>
        <v>-147361</v>
      </c>
      <c r="G131" s="29">
        <f>ROUND('Sum of Billing Determinants'!H139*-1*'Rate Calculations'!$G$9*(1-'Sum of Billing Determinants'!$AC139),0)</f>
        <v>-175920</v>
      </c>
      <c r="H131" s="29">
        <f>ROUND('Sum of Billing Determinants'!I139*-1*'Rate Calculations'!$G$9*(1-'Sum of Billing Determinants'!$AC139),0)</f>
        <v>-136578</v>
      </c>
      <c r="I131" s="29">
        <f>ROUND('Sum of Billing Determinants'!J139*-1*'Rate Calculations'!$G$9*(1-'Sum of Billing Determinants'!$AC139),0)</f>
        <v>-189230</v>
      </c>
      <c r="J131" s="29">
        <f>ROUND('Sum of Billing Determinants'!K139*-1*'Rate Calculations'!$G$9*(1-'Sum of Billing Determinants'!$AC139),0)</f>
        <v>-202197</v>
      </c>
      <c r="K131" s="29">
        <f>ROUND('Sum of Billing Determinants'!L139*-1*'Rate Calculations'!$G$9*(1-'Sum of Billing Determinants'!$AC139),0)</f>
        <v>-191976</v>
      </c>
      <c r="L131" s="29">
        <f>ROUND('Sum of Billing Determinants'!M139*-1*'Rate Calculations'!$G$9*(1-'Sum of Billing Determinants'!$AC139),0)</f>
        <v>-185530</v>
      </c>
      <c r="M131" s="29">
        <f>ROUND('Sum of Billing Determinants'!N139*-1*'Rate Calculations'!$G$9*(1-'Sum of Billing Determinants'!$AC139),0)</f>
        <v>-171449</v>
      </c>
      <c r="N131" s="29">
        <f t="shared" si="1"/>
        <v>-1776111</v>
      </c>
    </row>
    <row r="132" spans="2:14" ht="15">
      <c r="B132" s="25">
        <f>'Sum of Billing Determinants'!A140</f>
        <v>10482</v>
      </c>
      <c r="C132" s="25" t="str">
        <f>'Sum of Billing Determinants'!B140</f>
        <v>Umpqua Indian Utility Cooperative</v>
      </c>
      <c r="D132" s="29">
        <f>ROUND('Sum of Billing Determinants'!E140*-1*'Rate Calculations'!$G$9*(1-'Sum of Billing Determinants'!$AC140),0)</f>
        <v>-22564</v>
      </c>
      <c r="E132" s="29">
        <f>ROUND('Sum of Billing Determinants'!F140*-1*'Rate Calculations'!$G$9*(1-'Sum of Billing Determinants'!$AC140),0)</f>
        <v>-18637</v>
      </c>
      <c r="F132" s="29">
        <f>ROUND('Sum of Billing Determinants'!G140*-1*'Rate Calculations'!$G$9*(1-'Sum of Billing Determinants'!$AC140),0)</f>
        <v>-16153</v>
      </c>
      <c r="G132" s="29">
        <f>ROUND('Sum of Billing Determinants'!H140*-1*'Rate Calculations'!$G$9*(1-'Sum of Billing Determinants'!$AC140),0)</f>
        <v>-19283</v>
      </c>
      <c r="H132" s="29">
        <f>ROUND('Sum of Billing Determinants'!I140*-1*'Rate Calculations'!$G$9*(1-'Sum of Billing Determinants'!$AC140),0)</f>
        <v>-14971</v>
      </c>
      <c r="I132" s="29">
        <f>ROUND('Sum of Billing Determinants'!J140*-1*'Rate Calculations'!$G$9*(1-'Sum of Billing Determinants'!$AC140),0)</f>
        <v>-20742</v>
      </c>
      <c r="J132" s="29">
        <f>ROUND('Sum of Billing Determinants'!K140*-1*'Rate Calculations'!$G$9*(1-'Sum of Billing Determinants'!$AC140),0)</f>
        <v>-22164</v>
      </c>
      <c r="K132" s="29">
        <f>ROUND('Sum of Billing Determinants'!L140*-1*'Rate Calculations'!$G$9*(1-'Sum of Billing Determinants'!$AC140),0)</f>
        <v>-21043</v>
      </c>
      <c r="L132" s="29">
        <f>ROUND('Sum of Billing Determinants'!M140*-1*'Rate Calculations'!$G$9*(1-'Sum of Billing Determinants'!$AC140),0)</f>
        <v>-20337</v>
      </c>
      <c r="M132" s="29">
        <f>ROUND('Sum of Billing Determinants'!N140*-1*'Rate Calculations'!$G$9*(1-'Sum of Billing Determinants'!$AC140),0)</f>
        <v>-18793</v>
      </c>
      <c r="N132" s="29">
        <f t="shared" si="1"/>
        <v>-194687</v>
      </c>
    </row>
    <row r="133" spans="2:14" ht="15">
      <c r="B133" s="25">
        <f>'Sum of Billing Determinants'!A141</f>
        <v>10502</v>
      </c>
      <c r="C133" s="25" t="str">
        <f>'Sum of Billing Determinants'!B141</f>
        <v>Yakama Power</v>
      </c>
      <c r="D133" s="29">
        <f>ROUND('Sum of Billing Determinants'!E141*-1*'Rate Calculations'!$G$9*(1-'Sum of Billing Determinants'!$AC141),0)</f>
        <v>-133036</v>
      </c>
      <c r="E133" s="29">
        <f>ROUND('Sum of Billing Determinants'!F141*-1*'Rate Calculations'!$G$9*(1-'Sum of Billing Determinants'!$AC141),0)</f>
        <v>-109882</v>
      </c>
      <c r="F133" s="29">
        <f>ROUND('Sum of Billing Determinants'!G141*-1*'Rate Calculations'!$G$9*(1-'Sum of Billing Determinants'!$AC141),0)</f>
        <v>-95238</v>
      </c>
      <c r="G133" s="29">
        <f>ROUND('Sum of Billing Determinants'!H141*-1*'Rate Calculations'!$G$9*(1-'Sum of Billing Determinants'!$AC141),0)</f>
        <v>-113694</v>
      </c>
      <c r="H133" s="29">
        <f>ROUND('Sum of Billing Determinants'!I141*-1*'Rate Calculations'!$G$9*(1-'Sum of Billing Determinants'!$AC141),0)</f>
        <v>-88269</v>
      </c>
      <c r="I133" s="29">
        <f>ROUND('Sum of Billing Determinants'!J141*-1*'Rate Calculations'!$G$9*(1-'Sum of Billing Determinants'!$AC141),0)</f>
        <v>-122297</v>
      </c>
      <c r="J133" s="29">
        <f>ROUND('Sum of Billing Determinants'!K141*-1*'Rate Calculations'!$G$9*(1-'Sum of Billing Determinants'!$AC141),0)</f>
        <v>-130677</v>
      </c>
      <c r="K133" s="29">
        <f>ROUND('Sum of Billing Determinants'!L141*-1*'Rate Calculations'!$G$9*(1-'Sum of Billing Determinants'!$AC141),0)</f>
        <v>-124072</v>
      </c>
      <c r="L133" s="29">
        <f>ROUND('Sum of Billing Determinants'!M141*-1*'Rate Calculations'!$G$9*(1-'Sum of Billing Determinants'!$AC141),0)</f>
        <v>-119906</v>
      </c>
      <c r="M133" s="29">
        <f>ROUND('Sum of Billing Determinants'!N141*-1*'Rate Calculations'!$G$9*(1-'Sum of Billing Determinants'!$AC141),0)</f>
        <v>-110805</v>
      </c>
      <c r="N133" s="29">
        <f t="shared" si="1"/>
        <v>-1147876</v>
      </c>
    </row>
    <row r="134" spans="2:14" ht="15">
      <c r="B134" s="25">
        <f>'Sum of Billing Determinants'!A142</f>
        <v>13927</v>
      </c>
      <c r="C134" s="25" t="str">
        <f>'Sum of Billing Determinants'!B142</f>
        <v>Kalispel Tribe Utility</v>
      </c>
      <c r="D134" s="29">
        <f>ROUND('Sum of Billing Determinants'!E142*-1*'Rate Calculations'!$G$9*(1-'Sum of Billing Determinants'!$AC142),0)</f>
        <v>-30793</v>
      </c>
      <c r="E134" s="29">
        <f>ROUND('Sum of Billing Determinants'!F142*-1*'Rate Calculations'!$G$9*(1-'Sum of Billing Determinants'!$AC142),0)</f>
        <v>-25434</v>
      </c>
      <c r="F134" s="29">
        <f>ROUND('Sum of Billing Determinants'!G142*-1*'Rate Calculations'!$G$9*(1-'Sum of Billing Determinants'!$AC142),0)</f>
        <v>-22044</v>
      </c>
      <c r="G134" s="29">
        <f>ROUND('Sum of Billing Determinants'!H142*-1*'Rate Calculations'!$G$9*(1-'Sum of Billing Determinants'!$AC142),0)</f>
        <v>-26316</v>
      </c>
      <c r="H134" s="29">
        <f>ROUND('Sum of Billing Determinants'!I142*-1*'Rate Calculations'!$G$9*(1-'Sum of Billing Determinants'!$AC142),0)</f>
        <v>-20431</v>
      </c>
      <c r="I134" s="29">
        <f>ROUND('Sum of Billing Determinants'!J142*-1*'Rate Calculations'!$G$9*(1-'Sum of Billing Determinants'!$AC142),0)</f>
        <v>-28307</v>
      </c>
      <c r="J134" s="29">
        <f>ROUND('Sum of Billing Determinants'!K142*-1*'Rate Calculations'!$G$9*(1-'Sum of Billing Determinants'!$AC142),0)</f>
        <v>-30247</v>
      </c>
      <c r="K134" s="29">
        <f>ROUND('Sum of Billing Determinants'!L142*-1*'Rate Calculations'!$G$9*(1-'Sum of Billing Determinants'!$AC142),0)</f>
        <v>-28718</v>
      </c>
      <c r="L134" s="29">
        <f>ROUND('Sum of Billing Determinants'!M142*-1*'Rate Calculations'!$G$9*(1-'Sum of Billing Determinants'!$AC142),0)</f>
        <v>-27754</v>
      </c>
      <c r="M134" s="29">
        <f>ROUND('Sum of Billing Determinants'!N142*-1*'Rate Calculations'!$G$9*(1-'Sum of Billing Determinants'!$AC142),0)</f>
        <v>-25647</v>
      </c>
      <c r="N134" s="29">
        <f aca="true" t="shared" si="2" ref="N134:N138">SUM(D134:M134)</f>
        <v>-265691</v>
      </c>
    </row>
    <row r="135" spans="2:14" ht="15">
      <c r="B135" s="25">
        <f>'Sum of Billing Determinants'!A143</f>
        <v>10597</v>
      </c>
      <c r="C135" s="25" t="str">
        <f>'Sum of Billing Determinants'!B143</f>
        <v>Hermiston, City of</v>
      </c>
      <c r="D135" s="29">
        <f>ROUND('Sum of Billing Determinants'!E143*-1*'Rate Calculations'!$G$9*(1-'Sum of Billing Determinants'!$AC143),0)</f>
        <v>-99032</v>
      </c>
      <c r="E135" s="29">
        <f>ROUND('Sum of Billing Determinants'!F143*-1*'Rate Calculations'!$G$9*(1-'Sum of Billing Determinants'!$AC143),0)</f>
        <v>-81796</v>
      </c>
      <c r="F135" s="29">
        <f>ROUND('Sum of Billing Determinants'!G143*-1*'Rate Calculations'!$G$9*(1-'Sum of Billing Determinants'!$AC143),0)</f>
        <v>-70894</v>
      </c>
      <c r="G135" s="29">
        <f>ROUND('Sum of Billing Determinants'!H143*-1*'Rate Calculations'!$G$9*(1-'Sum of Billing Determinants'!$AC143),0)</f>
        <v>-84633</v>
      </c>
      <c r="H135" s="29">
        <f>ROUND('Sum of Billing Determinants'!I143*-1*'Rate Calculations'!$G$9*(1-'Sum of Billing Determinants'!$AC143),0)</f>
        <v>-65707</v>
      </c>
      <c r="I135" s="29">
        <f>ROUND('Sum of Billing Determinants'!J143*-1*'Rate Calculations'!$G$9*(1-'Sum of Billing Determinants'!$AC143),0)</f>
        <v>-91037</v>
      </c>
      <c r="J135" s="29">
        <f>ROUND('Sum of Billing Determinants'!K143*-1*'Rate Calculations'!$G$9*(1-'Sum of Billing Determinants'!$AC143),0)</f>
        <v>-97275</v>
      </c>
      <c r="K135" s="29">
        <f>ROUND('Sum of Billing Determinants'!L143*-1*'Rate Calculations'!$G$9*(1-'Sum of Billing Determinants'!$AC143),0)</f>
        <v>-92358</v>
      </c>
      <c r="L135" s="29">
        <f>ROUND('Sum of Billing Determinants'!M143*-1*'Rate Calculations'!$G$9*(1-'Sum of Billing Determinants'!$AC143),0)</f>
        <v>-89257</v>
      </c>
      <c r="M135" s="29">
        <f>ROUND('Sum of Billing Determinants'!N143*-1*'Rate Calculations'!$G$9*(1-'Sum of Billing Determinants'!$AC143),0)</f>
        <v>-82483</v>
      </c>
      <c r="N135" s="29">
        <f t="shared" si="2"/>
        <v>-854472</v>
      </c>
    </row>
    <row r="136" spans="2:14" ht="15">
      <c r="B136" s="25">
        <f>'Sum of Billing Determinants'!A144</f>
        <v>10706</v>
      </c>
      <c r="C136" s="25" t="str">
        <f>'Sum of Billing Determinants'!B144</f>
        <v>Port of Seattle - SETAC In'tl. Airport</v>
      </c>
      <c r="D136" s="29">
        <f>ROUND('Sum of Billing Determinants'!E144*-1*'Rate Calculations'!$G$9*(1-'Sum of Billing Determinants'!$AC144),0)</f>
        <v>-132549</v>
      </c>
      <c r="E136" s="29">
        <f>ROUND('Sum of Billing Determinants'!F144*-1*'Rate Calculations'!$G$9*(1-'Sum of Billing Determinants'!$AC144),0)</f>
        <v>-109480</v>
      </c>
      <c r="F136" s="29">
        <f>ROUND('Sum of Billing Determinants'!G144*-1*'Rate Calculations'!$G$9*(1-'Sum of Billing Determinants'!$AC144),0)</f>
        <v>-94889</v>
      </c>
      <c r="G136" s="29">
        <f>ROUND('Sum of Billing Determinants'!H144*-1*'Rate Calculations'!$G$9*(1-'Sum of Billing Determinants'!$AC144),0)</f>
        <v>-113278</v>
      </c>
      <c r="H136" s="29">
        <f>ROUND('Sum of Billing Determinants'!I144*-1*'Rate Calculations'!$G$9*(1-'Sum of Billing Determinants'!$AC144),0)</f>
        <v>-87945</v>
      </c>
      <c r="I136" s="29">
        <f>ROUND('Sum of Billing Determinants'!J144*-1*'Rate Calculations'!$G$9*(1-'Sum of Billing Determinants'!$AC144),0)</f>
        <v>-121849</v>
      </c>
      <c r="J136" s="29">
        <f>ROUND('Sum of Billing Determinants'!K144*-1*'Rate Calculations'!$G$9*(1-'Sum of Billing Determinants'!$AC144),0)</f>
        <v>-130198</v>
      </c>
      <c r="K136" s="29">
        <f>ROUND('Sum of Billing Determinants'!L144*-1*'Rate Calculations'!$G$9*(1-'Sum of Billing Determinants'!$AC144),0)</f>
        <v>-123617</v>
      </c>
      <c r="L136" s="29">
        <f>ROUND('Sum of Billing Determinants'!M144*-1*'Rate Calculations'!$G$9*(1-'Sum of Billing Determinants'!$AC144),0)</f>
        <v>-119467</v>
      </c>
      <c r="M136" s="29">
        <f>ROUND('Sum of Billing Determinants'!N144*-1*'Rate Calculations'!$G$9*(1-'Sum of Billing Determinants'!$AC144),0)</f>
        <v>-110400</v>
      </c>
      <c r="N136" s="29">
        <f t="shared" si="2"/>
        <v>-1143672</v>
      </c>
    </row>
    <row r="137" spans="2:14" ht="15">
      <c r="B137" s="25">
        <f>'Sum of Billing Determinants'!A145</f>
        <v>11680</v>
      </c>
      <c r="C137" s="25" t="str">
        <f>'Sum of Billing Determinants'!B145</f>
        <v>Weiser, City of</v>
      </c>
      <c r="D137" s="29">
        <f>ROUND('Sum of Billing Determinants'!E145*-1*'Rate Calculations'!$G$9*(1-'Sum of Billing Determinants'!$AC145),0)</f>
        <v>-48551</v>
      </c>
      <c r="E137" s="29">
        <f>ROUND('Sum of Billing Determinants'!F145*-1*'Rate Calculations'!$G$9*(1-'Sum of Billing Determinants'!$AC145),0)</f>
        <v>-40101</v>
      </c>
      <c r="F137" s="29">
        <f>ROUND('Sum of Billing Determinants'!G145*-1*'Rate Calculations'!$G$9*(1-'Sum of Billing Determinants'!$AC145),0)</f>
        <v>-34757</v>
      </c>
      <c r="G137" s="29">
        <f>ROUND('Sum of Billing Determinants'!H145*-1*'Rate Calculations'!$G$9*(1-'Sum of Billing Determinants'!$AC145),0)</f>
        <v>-41493</v>
      </c>
      <c r="H137" s="29">
        <f>ROUND('Sum of Billing Determinants'!I145*-1*'Rate Calculations'!$G$9*(1-'Sum of Billing Determinants'!$AC145),0)</f>
        <v>-32213</v>
      </c>
      <c r="I137" s="29">
        <f>ROUND('Sum of Billing Determinants'!J145*-1*'Rate Calculations'!$G$9*(1-'Sum of Billing Determinants'!$AC145),0)</f>
        <v>-44632</v>
      </c>
      <c r="J137" s="29">
        <f>ROUND('Sum of Billing Determinants'!K145*-1*'Rate Calculations'!$G$9*(1-'Sum of Billing Determinants'!$AC145),0)</f>
        <v>-47690</v>
      </c>
      <c r="K137" s="29">
        <f>ROUND('Sum of Billing Determinants'!L145*-1*'Rate Calculations'!$G$9*(1-'Sum of Billing Determinants'!$AC145),0)</f>
        <v>-45280</v>
      </c>
      <c r="L137" s="29">
        <f>ROUND('Sum of Billing Determinants'!M145*-1*'Rate Calculations'!$G$9*(1-'Sum of Billing Determinants'!$AC145),0)</f>
        <v>-43759</v>
      </c>
      <c r="M137" s="29">
        <f>ROUND('Sum of Billing Determinants'!N145*-1*'Rate Calculations'!$G$9*(1-'Sum of Billing Determinants'!$AC145),0)</f>
        <v>-40438</v>
      </c>
      <c r="N137" s="29">
        <f t="shared" si="2"/>
        <v>-418914</v>
      </c>
    </row>
    <row r="138" spans="2:14" ht="14.25" customHeight="1">
      <c r="B138" s="25">
        <f>'Sum of Billing Determinants'!A146</f>
        <v>12026</v>
      </c>
      <c r="C138" s="25" t="str">
        <f>'Sum of Billing Determinants'!B146</f>
        <v>Jefferson County PUD #1</v>
      </c>
      <c r="D138" s="29">
        <f>ROUND('Sum of Billing Determinants'!E146*-1*'Rate Calculations'!$G$9*(1-'Sum of Billing Determinants'!$AC146),0)</f>
        <v>-346545</v>
      </c>
      <c r="E138" s="29">
        <f>ROUND('Sum of Billing Determinants'!F146*-1*'Rate Calculations'!$G$9*(1-'Sum of Billing Determinants'!$AC146),0)</f>
        <v>-286232</v>
      </c>
      <c r="F138" s="29">
        <f>ROUND('Sum of Billing Determinants'!G146*-1*'Rate Calculations'!$G$9*(1-'Sum of Billing Determinants'!$AC146),0)</f>
        <v>-248083</v>
      </c>
      <c r="G138" s="29">
        <f>ROUND('Sum of Billing Determinants'!H146*-1*'Rate Calculations'!$G$9*(1-'Sum of Billing Determinants'!$AC146),0)</f>
        <v>-296161</v>
      </c>
      <c r="H138" s="29">
        <f>ROUND('Sum of Billing Determinants'!I146*-1*'Rate Calculations'!$G$9*(1-'Sum of Billing Determinants'!$AC146),0)</f>
        <v>-229930</v>
      </c>
      <c r="I138" s="29">
        <f>ROUND('Sum of Billing Determinants'!J146*-1*'Rate Calculations'!$G$9*(1-'Sum of Billing Determinants'!$AC146),0)</f>
        <v>-318570</v>
      </c>
      <c r="J138" s="29">
        <f>ROUND('Sum of Billing Determinants'!K146*-1*'Rate Calculations'!$G$9*(1-'Sum of Billing Determinants'!$AC146),0)</f>
        <v>-340398</v>
      </c>
      <c r="K138" s="29">
        <f>ROUND('Sum of Billing Determinants'!L146*-1*'Rate Calculations'!$G$9*(1-'Sum of Billing Determinants'!$AC146),0)</f>
        <v>-323193</v>
      </c>
      <c r="L138" s="29">
        <f>ROUND('Sum of Billing Determinants'!M146*-1*'Rate Calculations'!$G$9*(1-'Sum of Billing Determinants'!$AC146),0)</f>
        <v>-312341</v>
      </c>
      <c r="M138" s="29">
        <f>ROUND('Sum of Billing Determinants'!N146*-1*'Rate Calculations'!$G$9*(1-'Sum of Billing Determinants'!$AC146),0)</f>
        <v>-288635</v>
      </c>
      <c r="N138" s="29">
        <f t="shared" si="2"/>
        <v>-2990088</v>
      </c>
    </row>
    <row r="139" spans="2:14" ht="15">
      <c r="B139" s="25">
        <f>'Sum of Billing Determinants'!R147</f>
        <v>10298</v>
      </c>
      <c r="C139" s="25" t="str">
        <f>'Sum of Billing Determinants'!S147</f>
        <v>PNGC Aggregate</v>
      </c>
      <c r="D139" s="29">
        <f>SUMPRODUCT(D5:D138,'Sum of Billing Determinants'!$AD$13:$AD$146)</f>
        <v>-4371062</v>
      </c>
      <c r="E139" s="29">
        <f>SUMPRODUCT(E5:E138,'Sum of Billing Determinants'!$AD$13:$AD$146)</f>
        <v>-3610312</v>
      </c>
      <c r="F139" s="29">
        <f>SUMPRODUCT(F5:F138,'Sum of Billing Determinants'!$AD$13:$AD$146)</f>
        <v>-3129134</v>
      </c>
      <c r="G139" s="29">
        <f>SUMPRODUCT(G5:G138,'Sum of Billing Determinants'!$AD$13:$AD$146)</f>
        <v>-3735556</v>
      </c>
      <c r="H139" s="29">
        <f>SUMPRODUCT(H5:H138,'Sum of Billing Determinants'!$AD$13:$AD$146)</f>
        <v>-2900160</v>
      </c>
      <c r="I139" s="29">
        <f>SUMPRODUCT(I5:I138,'Sum of Billing Determinants'!$AD$13:$AD$146)</f>
        <v>-4018194</v>
      </c>
      <c r="J139" s="29">
        <f>SUMPRODUCT(J5:J138,'Sum of Billing Determinants'!$AD$13:$AD$146)</f>
        <v>-4293526</v>
      </c>
      <c r="K139" s="29">
        <f>SUMPRODUCT(K5:K138,'Sum of Billing Determinants'!$AD$13:$AD$146)</f>
        <v>-4076508</v>
      </c>
      <c r="L139" s="29">
        <f>SUMPRODUCT(L5:L138,'Sum of Billing Determinants'!$AD$13:$AD$146)</f>
        <v>-3939632</v>
      </c>
      <c r="M139" s="29">
        <f>SUMPRODUCT(M5:M138,'Sum of Billing Determinants'!$AD$13:$AD$146)</f>
        <v>-3640630</v>
      </c>
      <c r="N139" s="29">
        <f aca="true" t="shared" si="3" ref="N139">SUM(D139:M139)</f>
        <v>-37714714</v>
      </c>
    </row>
    <row r="140" spans="2:14" ht="15">
      <c r="B140" s="25"/>
      <c r="C140" s="25"/>
      <c r="N140" s="6"/>
    </row>
    <row r="141" ht="15">
      <c r="B141" s="25"/>
    </row>
    <row r="144" ht="15">
      <c r="N144" s="6"/>
    </row>
  </sheetData>
  <conditionalFormatting sqref="B5:N139">
    <cfRule type="expression" priority="1" dxfId="0">
      <formula>MOD(ROW(),2)=1</formula>
    </cfRule>
  </conditionalFormatting>
  <printOptions gridLines="1" horizontalCentered="1"/>
  <pageMargins left="0.25" right="0.25" top="0.75" bottom="0.75" header="0.3" footer="0.3"/>
  <pageSetup fitToHeight="3" fitToWidth="1" horizontalDpi="600" verticalDpi="600" orientation="landscape" scale="69" r:id="rId1"/>
  <headerFooter>
    <oddFooter>&amp;LNovember 16, 2022&amp;R&amp;P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D36032125F746A617CDE272689EB8" ma:contentTypeVersion="1" ma:contentTypeDescription="Create a new document." ma:contentTypeScope="" ma:versionID="84938d10bf1adf9185e2aba830e600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0EC5B1-5392-4BCD-90C3-414BF1A29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1581BA-F5F2-4F77-95D6-F22EFFD5CC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F99B2-F43F-46DB-AC6B-FE26CC295DB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Supreme Grand Master Nguyen</cp:lastModifiedBy>
  <cp:lastPrinted>2022-11-08T19:27:07Z</cp:lastPrinted>
  <dcterms:created xsi:type="dcterms:W3CDTF">2017-09-18T21:42:42Z</dcterms:created>
  <dcterms:modified xsi:type="dcterms:W3CDTF">2024-01-25T22:51:40Z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0x010100FD4D36032125F746A617CDE272689EB8</vt:lpwstr>
  </property>
  <property fmtid="{D5CDD505-2E9C-101B-9397-08002B2CF9AE}" pid="3" name="Order">
    <vt:r8>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