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68" yWindow="48" windowWidth="13692" windowHeight="10452" activeTab="0"/>
  </bookViews>
  <sheets>
    <sheet name="Dairy Milking Machine VSD Calc" sheetId="1" r:id="rId1"/>
    <sheet name="Data and Calculations" sheetId="2" r:id="rId2"/>
  </sheets>
  <definedNames>
    <definedName name="BC_Ratio">'Data and Calculations'!$D$12</definedName>
    <definedName name="BPA_Reimbursement">'Dairy Milking Machine VSD Calc'!$I$37</definedName>
    <definedName name="DiscountRate">'Data and Calculations'!$H$7</definedName>
    <definedName name="MeasureLife">'Dairy Milking Machine VSD Calc'!$I$27</definedName>
    <definedName name="OandM">'Dairy Milking Machine VSD Calc'!$I$24</definedName>
    <definedName name="Post_Use">'Dairy Milking Machine VSD Calc'!$I$28</definedName>
    <definedName name="Project_Cost">'Dairy Milking Machine VSD Calc'!$I$23</definedName>
    <definedName name="PV_Energy_Savings">'Data and Calculations'!$E$15</definedName>
    <definedName name="PV_Energy_Use">'Data and Calculations'!$E$16</definedName>
    <definedName name="PV_OandM">'Data and Calculations'!$H$10</definedName>
    <definedName name="Savings_Busbar">'Dairy Milking Machine VSD Calc'!$I$30</definedName>
    <definedName name="Savings_Site">'Dairy Milking Machine VSD Calc'!$I$29</definedName>
  </definedNames>
  <calcPr fullCalcOnLoad="1"/>
</workbook>
</file>

<file path=xl/comments2.xml><?xml version="1.0" encoding="utf-8"?>
<comments xmlns="http://schemas.openxmlformats.org/spreadsheetml/2006/main">
  <authors>
    <author>dng6482</author>
    <author>Adam Hadley</author>
  </authors>
  <commentList>
    <comment ref="H7" authorId="0">
      <text>
        <r>
          <rPr>
            <b/>
            <sz val="8"/>
            <rFont val="Tahoma"/>
            <family val="2"/>
          </rPr>
          <t>dng6482:</t>
        </r>
        <r>
          <rPr>
            <sz val="8"/>
            <rFont val="Tahoma"/>
            <family val="2"/>
          </rPr>
          <t xml:space="preserve">
updated from 4% to 5% for 6th Plan
</t>
        </r>
      </text>
    </comment>
    <comment ref="C15" authorId="1">
      <text>
        <r>
          <rPr>
            <b/>
            <sz val="8"/>
            <rFont val="Tahoma"/>
            <family val="2"/>
          </rPr>
          <t>Adam Hadley:</t>
        </r>
        <r>
          <rPr>
            <sz val="8"/>
            <rFont val="Tahoma"/>
            <family val="2"/>
          </rPr>
          <t xml:space="preserve">
updated 1/13/2011 (this is per kWh site savings)</t>
        </r>
      </text>
    </comment>
  </commentList>
</comments>
</file>

<file path=xl/sharedStrings.xml><?xml version="1.0" encoding="utf-8"?>
<sst xmlns="http://schemas.openxmlformats.org/spreadsheetml/2006/main" count="77" uniqueCount="69">
  <si>
    <t>Will Vacuum Pump be replaced?</t>
  </si>
  <si>
    <t>Will Pump Motor be replaced?</t>
  </si>
  <si>
    <t>Will a VFD be installed?</t>
  </si>
  <si>
    <t>Is the existing Vacuum Pump a rotary vane or centrifugal type?</t>
  </si>
  <si>
    <t>Installation Date</t>
  </si>
  <si>
    <t>INPUTS</t>
  </si>
  <si>
    <t>Enter Existing Vacuum Pump Motor Horsepower</t>
  </si>
  <si>
    <t>Yes</t>
  </si>
  <si>
    <t>No</t>
  </si>
  <si>
    <t>Line No.</t>
  </si>
  <si>
    <t>Will a Variable Speed Drive (VSD) be installed?</t>
  </si>
  <si>
    <t>Baseline Annual Energy Usage (kWh/yr)</t>
  </si>
  <si>
    <t>Enter New Vacuum Pump Motor Horsepower</t>
  </si>
  <si>
    <t>RESULTS</t>
  </si>
  <si>
    <t>Post-VSD Installation Annual Energy Use (kWh)</t>
  </si>
  <si>
    <t>Annual Site Energy Savings (kWh)</t>
  </si>
  <si>
    <t>Default Baseline Run Time Average Power Use (KW)</t>
  </si>
  <si>
    <t>Default Post-VSD Installation Run Time Average Power Use (KW)</t>
  </si>
  <si>
    <t>Enter Actual Average Run Time of Vacuum Pump (hours/day)</t>
  </si>
  <si>
    <t>Dairy Milking Machine Vacuum Pump Variable Speed Drive System Deemed Savings Calculation Method</t>
  </si>
  <si>
    <t>Today's Date =&gt;</t>
  </si>
  <si>
    <t>Farm Address</t>
  </si>
  <si>
    <t>Account Number</t>
  </si>
  <si>
    <t>BPA Project Reimbursement</t>
  </si>
  <si>
    <t>Benefit/Cost Ratio Calculation</t>
  </si>
  <si>
    <t>Cost</t>
  </si>
  <si>
    <t>Benefit</t>
  </si>
  <si>
    <t>Capital Cost</t>
  </si>
  <si>
    <t>PV O&amp;M Cost</t>
  </si>
  <si>
    <t>PV Energy Savings</t>
  </si>
  <si>
    <t>Total</t>
  </si>
  <si>
    <t>B/C Ratio</t>
  </si>
  <si>
    <t>Calculation of Present Value of O&amp;M</t>
  </si>
  <si>
    <t>Real Discount Rate</t>
  </si>
  <si>
    <t>Where:</t>
  </si>
  <si>
    <t>Periods</t>
  </si>
  <si>
    <t>PV = Present Value Stream of Equal Payments</t>
  </si>
  <si>
    <t>Annual O&amp;M</t>
  </si>
  <si>
    <t>PMT = Amount of each payment</t>
  </si>
  <si>
    <t>PV of O&amp;M</t>
  </si>
  <si>
    <t>i = Discount Rate Per Period</t>
  </si>
  <si>
    <t>N = Number of Periods</t>
  </si>
  <si>
    <t>Measure Life</t>
  </si>
  <si>
    <t>Project Cost Life Cycle Cost</t>
  </si>
  <si>
    <t>Project Benefit/Cost Ratio</t>
  </si>
  <si>
    <t>PMT*[1-((1/(1+i))^N)]/I</t>
  </si>
  <si>
    <t>If variable speed drive is installed, it is strongly recommended that new, larger diameter PVC piping be installed to provide more stable vacuum.</t>
  </si>
  <si>
    <r>
      <t xml:space="preserve">Annual Busbar </t>
    </r>
    <r>
      <rPr>
        <b/>
        <sz val="10"/>
        <color indexed="10"/>
        <rFont val="Arial"/>
        <family val="2"/>
      </rPr>
      <t>Energy Savings</t>
    </r>
    <r>
      <rPr>
        <b/>
        <sz val="10"/>
        <rFont val="Arial"/>
        <family val="2"/>
      </rPr>
      <t xml:space="preserve"> (kWh)</t>
    </r>
  </si>
  <si>
    <r>
      <t xml:space="preserve">Enter </t>
    </r>
    <r>
      <rPr>
        <b/>
        <sz val="10"/>
        <color indexed="10"/>
        <rFont val="Arial"/>
        <family val="2"/>
      </rPr>
      <t>Project Cost</t>
    </r>
  </si>
  <si>
    <r>
      <t xml:space="preserve">Enter </t>
    </r>
    <r>
      <rPr>
        <b/>
        <sz val="10"/>
        <color indexed="10"/>
        <rFont val="Arial"/>
        <family val="2"/>
      </rPr>
      <t>Change in Project/Measure O&amp;M Cost</t>
    </r>
    <r>
      <rPr>
        <b/>
        <sz val="10"/>
        <rFont val="Arial"/>
        <family val="2"/>
      </rPr>
      <t xml:space="preserve"> (Savings -$ or Increases +$)</t>
    </r>
  </si>
  <si>
    <t>Zip</t>
  </si>
  <si>
    <t xml:space="preserve">Contact </t>
  </si>
  <si>
    <t>Phone</t>
  </si>
  <si>
    <t>Customer/Project Name</t>
  </si>
  <si>
    <t>Present Value of Energy Cost Savings</t>
  </si>
  <si>
    <t>Present Value of Change in O&amp;M Cost</t>
  </si>
  <si>
    <r>
      <t xml:space="preserve">Enter </t>
    </r>
    <r>
      <rPr>
        <b/>
        <sz val="10"/>
        <color indexed="10"/>
        <rFont val="Arial"/>
        <family val="2"/>
      </rPr>
      <t>Customer Retail Rate</t>
    </r>
    <r>
      <rPr>
        <b/>
        <sz val="10"/>
        <rFont val="Arial"/>
        <family val="2"/>
      </rPr>
      <t xml:space="preserve"> (cents/kWh)</t>
    </r>
  </si>
  <si>
    <t>Simple Payback</t>
  </si>
  <si>
    <t>If Line 6 is "YES", a new positive displacement vacuum pump shall be installed to ensure the speed control operates properly.</t>
  </si>
  <si>
    <t>Enter metered Actual Run Time Average Electrical Power (kW) for existing Vacuum Pump. If metered data unavailable, leave blank. Default value on Line 13 will be used.</t>
  </si>
  <si>
    <t>Enter metered Actual Run Time Average Electrical Power (kW) for the new Vacuum Pump. If metered data unavailable, leave blank. Default value on Line 16 will be used.</t>
  </si>
  <si>
    <t>PV Energy Use</t>
  </si>
  <si>
    <r>
      <t xml:space="preserve">Annual </t>
    </r>
    <r>
      <rPr>
        <b/>
        <sz val="10"/>
        <color indexed="10"/>
        <rFont val="Arial"/>
        <family val="2"/>
      </rPr>
      <t>Energy Cost Savings</t>
    </r>
    <r>
      <rPr>
        <b/>
        <sz val="10"/>
        <rFont val="Arial"/>
        <family val="2"/>
      </rPr>
      <t xml:space="preserve"> ($/)</t>
    </r>
  </si>
  <si>
    <t>Note: All user supplied input assumptions must be documented through a measurement and verification plan that must be submitted to BPA for review. If the project results in savings of 200,000 kWh per year or a projected BPA credit/reimbursement of $30,000 or larger, then BPA must accept this measurement and verification plan prior to project implementation.</t>
  </si>
  <si>
    <t>AgrDairyVFD Loadshape</t>
  </si>
  <si>
    <t>Busbar/Site Savings Ratio</t>
  </si>
  <si>
    <t>PV Total Regional Benefit</t>
  </si>
  <si>
    <t>Calculator Last Revised: 01/13/2011</t>
  </si>
  <si>
    <r>
      <t xml:space="preserve">This worksheet calculates the annual energy savings and the amount of the Conservation Rate Credit or reimbursement under a Conservation Acquisition Agreement contract that is available for the installation of speed control of a milking machine vacuum pumps using a variable speed drive (VSD) to meet required vacuum pressure.  To calculate the annual energy savings and rate credit/reimbursement, enter the required values in the "Inputs" section below. These input assumptions must be documented through a measurement and verification plan. If the project results in an projected BPA credit/reimbursement of $30,000 or larger, then BPA must approve this measurement and verification plan prior to making any project expenditures. (Calculator Sunset Date: 1/1/2013)
</t>
    </r>
    <r>
      <rPr>
        <sz val="10"/>
        <color indexed="10"/>
        <rFont val="Arial"/>
        <family val="2"/>
      </rPr>
      <t>Items in red correlate to fields on the Project Template.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</si>
</sst>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#0.00\ \k\w"/>
    <numFmt numFmtId="166" formatCode="&quot;$&quot;#,##0.00"/>
    <numFmt numFmtId="167" formatCode="#\ ?/4"/>
    <numFmt numFmtId="168" formatCode="0.0"/>
    <numFmt numFmtId="169" formatCode="#\ ?/8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?_);_(@_)"/>
    <numFmt numFmtId="173" formatCode="_(* #,##0.000_);_(* \(#,##0.000\);_(* &quot;-&quot;?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#,##0\ &quot;hrs&quot;"/>
    <numFmt numFmtId="177" formatCode="#,##0\ &quot;HP&quot;"/>
    <numFmt numFmtId="178" formatCode="#,##0\ &quot;KW&quot;"/>
    <numFmt numFmtId="179" formatCode="#,##0\ &quot;kWh&quot;"/>
    <numFmt numFmtId="180" formatCode="&quot;$&quot;#,000"/>
    <numFmt numFmtId="181" formatCode="0.0\ &quot;years&quot;"/>
    <numFmt numFmtId="182" formatCode="0\ &quot;years&quot;"/>
    <numFmt numFmtId="183" formatCode="0.00\ &quot;  &quot;"/>
    <numFmt numFmtId="184" formatCode="0.0\ &quot;cents  &quot;"/>
    <numFmt numFmtId="185" formatCode="0.00&quot;  &quot;"/>
    <numFmt numFmtId="186" formatCode="_(&quot;$&quot;* #,##0.000_);_(&quot;$&quot;* \(#,##0.000\);_(&quot;$&quot;* &quot;-&quot;???_);_(@_)"/>
    <numFmt numFmtId="187" formatCode="#,##0.0\ &quot;KW&quot;"/>
  </numFmts>
  <fonts count="47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wrapText="1"/>
    </xf>
    <xf numFmtId="0" fontId="2" fillId="0" borderId="0" xfId="0" applyFont="1" applyBorder="1" applyAlignment="1">
      <alignment horizontal="left" wrapText="1"/>
    </xf>
    <xf numFmtId="176" fontId="4" fillId="33" borderId="12" xfId="42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right"/>
      <protection hidden="1"/>
    </xf>
    <xf numFmtId="0" fontId="0" fillId="34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5" borderId="18" xfId="0" applyFill="1" applyBorder="1" applyAlignment="1">
      <alignment horizontal="left" wrapText="1"/>
    </xf>
    <xf numFmtId="0" fontId="0" fillId="35" borderId="19" xfId="0" applyFill="1" applyBorder="1" applyAlignment="1">
      <alignment horizontal="left" wrapText="1"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175" fontId="0" fillId="0" borderId="22" xfId="44" applyNumberFormat="1" applyFont="1" applyBorder="1" applyAlignment="1">
      <alignment/>
    </xf>
    <xf numFmtId="175" fontId="0" fillId="0" borderId="23" xfId="44" applyNumberFormat="1" applyFont="1" applyBorder="1" applyAlignment="1">
      <alignment/>
    </xf>
    <xf numFmtId="0" fontId="0" fillId="0" borderId="24" xfId="0" applyBorder="1" applyAlignment="1">
      <alignment/>
    </xf>
    <xf numFmtId="175" fontId="0" fillId="0" borderId="11" xfId="44" applyNumberFormat="1" applyFont="1" applyBorder="1" applyAlignment="1">
      <alignment/>
    </xf>
    <xf numFmtId="175" fontId="0" fillId="0" borderId="25" xfId="44" applyNumberFormat="1" applyFont="1" applyBorder="1" applyAlignment="1">
      <alignment/>
    </xf>
    <xf numFmtId="0" fontId="0" fillId="0" borderId="26" xfId="0" applyBorder="1" applyAlignment="1">
      <alignment/>
    </xf>
    <xf numFmtId="171" fontId="0" fillId="0" borderId="27" xfId="0" applyNumberFormat="1" applyBorder="1" applyAlignment="1">
      <alignment/>
    </xf>
    <xf numFmtId="171" fontId="0" fillId="0" borderId="28" xfId="0" applyNumberFormat="1" applyBorder="1" applyAlignment="1">
      <alignment/>
    </xf>
    <xf numFmtId="171" fontId="0" fillId="0" borderId="0" xfId="0" applyNumberFormat="1" applyAlignment="1">
      <alignment/>
    </xf>
    <xf numFmtId="0" fontId="0" fillId="0" borderId="13" xfId="0" applyBorder="1" applyAlignment="1">
      <alignment/>
    </xf>
    <xf numFmtId="43" fontId="4" fillId="33" borderId="29" xfId="42" applyNumberFormat="1" applyFont="1" applyFill="1" applyBorder="1" applyAlignment="1">
      <alignment/>
    </xf>
    <xf numFmtId="179" fontId="4" fillId="36" borderId="29" xfId="42" applyNumberFormat="1" applyFont="1" applyFill="1" applyBorder="1" applyAlignment="1" applyProtection="1">
      <alignment horizontal="center"/>
      <protection hidden="1"/>
    </xf>
    <xf numFmtId="9" fontId="0" fillId="0" borderId="23" xfId="0" applyNumberFormat="1" applyBorder="1" applyAlignment="1">
      <alignment/>
    </xf>
    <xf numFmtId="0" fontId="6" fillId="0" borderId="0" xfId="0" applyFont="1" applyAlignment="1">
      <alignment vertical="top" wrapText="1"/>
    </xf>
    <xf numFmtId="0" fontId="0" fillId="0" borderId="25" xfId="0" applyBorder="1" applyAlignment="1">
      <alignment/>
    </xf>
    <xf numFmtId="0" fontId="7" fillId="0" borderId="0" xfId="0" applyFont="1" applyAlignment="1">
      <alignment horizontal="left" vertical="top" wrapText="1" indent="1"/>
    </xf>
    <xf numFmtId="0" fontId="0" fillId="0" borderId="30" xfId="0" applyFill="1" applyBorder="1" applyAlignment="1">
      <alignment/>
    </xf>
    <xf numFmtId="175" fontId="0" fillId="0" borderId="31" xfId="44" applyNumberFormat="1" applyFont="1" applyBorder="1" applyAlignment="1">
      <alignment/>
    </xf>
    <xf numFmtId="0" fontId="4" fillId="33" borderId="29" xfId="0" applyFont="1" applyFill="1" applyBorder="1" applyAlignment="1">
      <alignment horizontal="right" wrapText="1"/>
    </xf>
    <xf numFmtId="179" fontId="4" fillId="37" borderId="16" xfId="42" applyNumberFormat="1" applyFont="1" applyFill="1" applyBorder="1" applyAlignment="1" applyProtection="1">
      <alignment horizontal="right"/>
      <protection hidden="1"/>
    </xf>
    <xf numFmtId="175" fontId="4" fillId="37" borderId="16" xfId="44" applyNumberFormat="1" applyFont="1" applyFill="1" applyBorder="1" applyAlignment="1" applyProtection="1">
      <alignment horizontal="center"/>
      <protection hidden="1"/>
    </xf>
    <xf numFmtId="175" fontId="4" fillId="37" borderId="32" xfId="44" applyNumberFormat="1" applyFont="1" applyFill="1" applyBorder="1" applyAlignment="1">
      <alignment horizontal="center"/>
    </xf>
    <xf numFmtId="182" fontId="4" fillId="37" borderId="15" xfId="44" applyNumberFormat="1" applyFont="1" applyFill="1" applyBorder="1" applyAlignment="1">
      <alignment/>
    </xf>
    <xf numFmtId="175" fontId="0" fillId="38" borderId="29" xfId="44" applyNumberFormat="1" applyFont="1" applyFill="1" applyBorder="1" applyAlignment="1">
      <alignment/>
    </xf>
    <xf numFmtId="0" fontId="7" fillId="0" borderId="0" xfId="0" applyFont="1" applyAlignment="1">
      <alignment horizontal="left" wrapText="1" indent="1"/>
    </xf>
    <xf numFmtId="0" fontId="4" fillId="37" borderId="33" xfId="0" applyFont="1" applyFill="1" applyBorder="1" applyAlignment="1">
      <alignment horizontal="right"/>
    </xf>
    <xf numFmtId="0" fontId="5" fillId="37" borderId="13" xfId="0" applyFont="1" applyFill="1" applyBorder="1" applyAlignment="1">
      <alignment horizontal="right"/>
    </xf>
    <xf numFmtId="0" fontId="4" fillId="0" borderId="0" xfId="55" applyFont="1" applyBorder="1" applyProtection="1">
      <alignment/>
      <protection locked="0"/>
    </xf>
    <xf numFmtId="0" fontId="4" fillId="0" borderId="0" xfId="55" applyFont="1" applyBorder="1" applyAlignment="1" applyProtection="1">
      <alignment/>
      <protection locked="0"/>
    </xf>
    <xf numFmtId="181" fontId="4" fillId="37" borderId="16" xfId="44" applyNumberFormat="1" applyFont="1" applyFill="1" applyBorder="1" applyAlignment="1" applyProtection="1">
      <alignment horizontal="right"/>
      <protection hidden="1"/>
    </xf>
    <xf numFmtId="185" fontId="4" fillId="37" borderId="16" xfId="42" applyNumberFormat="1" applyFont="1" applyFill="1" applyBorder="1" applyAlignment="1" applyProtection="1">
      <alignment horizontal="right"/>
      <protection hidden="1"/>
    </xf>
    <xf numFmtId="0" fontId="4" fillId="0" borderId="29" xfId="55" applyFont="1" applyBorder="1" applyAlignment="1" applyProtection="1">
      <alignment/>
      <protection hidden="1"/>
    </xf>
    <xf numFmtId="0" fontId="4" fillId="33" borderId="32" xfId="0" applyFont="1" applyFill="1" applyBorder="1" applyAlignment="1">
      <alignment horizontal="right" wrapText="1"/>
    </xf>
    <xf numFmtId="0" fontId="4" fillId="33" borderId="29" xfId="0" applyFont="1" applyFill="1" applyBorder="1" applyAlignment="1" applyProtection="1">
      <alignment horizontal="right" wrapText="1"/>
      <protection locked="0"/>
    </xf>
    <xf numFmtId="175" fontId="4" fillId="33" borderId="20" xfId="44" applyNumberFormat="1" applyFont="1" applyFill="1" applyBorder="1" applyAlignment="1" applyProtection="1">
      <alignment horizontal="center"/>
      <protection hidden="1" locked="0"/>
    </xf>
    <xf numFmtId="44" fontId="4" fillId="33" borderId="34" xfId="44" applyFont="1" applyFill="1" applyBorder="1" applyAlignment="1" applyProtection="1">
      <alignment horizontal="center"/>
      <protection hidden="1" locked="0"/>
    </xf>
    <xf numFmtId="184" fontId="4" fillId="33" borderId="34" xfId="44" applyNumberFormat="1" applyFont="1" applyFill="1" applyBorder="1" applyAlignment="1" applyProtection="1">
      <alignment horizontal="right"/>
      <protection hidden="1" locked="0"/>
    </xf>
    <xf numFmtId="0" fontId="4" fillId="0" borderId="35" xfId="55" applyFont="1" applyBorder="1" applyProtection="1">
      <alignment/>
      <protection/>
    </xf>
    <xf numFmtId="0" fontId="0" fillId="0" borderId="11" xfId="0" applyBorder="1" applyAlignment="1">
      <alignment/>
    </xf>
    <xf numFmtId="44" fontId="0" fillId="0" borderId="10" xfId="44" applyFont="1" applyBorder="1" applyAlignment="1">
      <alignment/>
    </xf>
    <xf numFmtId="175" fontId="0" fillId="33" borderId="12" xfId="0" applyNumberFormat="1" applyFill="1" applyBorder="1" applyAlignment="1">
      <alignment/>
    </xf>
    <xf numFmtId="175" fontId="0" fillId="33" borderId="29" xfId="44" applyNumberFormat="1" applyFont="1" applyFill="1" applyBorder="1" applyAlignment="1">
      <alignment/>
    </xf>
    <xf numFmtId="187" fontId="4" fillId="33" borderId="12" xfId="42" applyNumberFormat="1" applyFont="1" applyFill="1" applyBorder="1" applyAlignment="1" applyProtection="1">
      <alignment horizontal="center"/>
      <protection locked="0"/>
    </xf>
    <xf numFmtId="0" fontId="0" fillId="0" borderId="29" xfId="55" applyFont="1" applyBorder="1" applyAlignment="1" applyProtection="1">
      <alignment horizontal="left"/>
      <protection locked="0"/>
    </xf>
    <xf numFmtId="0" fontId="0" fillId="0" borderId="20" xfId="55" applyFont="1" applyBorder="1" applyAlignment="1" applyProtection="1">
      <alignment horizontal="left"/>
      <protection locked="0"/>
    </xf>
    <xf numFmtId="187" fontId="4" fillId="33" borderId="29" xfId="42" applyNumberFormat="1" applyFont="1" applyFill="1" applyBorder="1" applyAlignment="1" applyProtection="1">
      <alignment horizontal="center"/>
      <protection locked="0"/>
    </xf>
    <xf numFmtId="187" fontId="4" fillId="36" borderId="29" xfId="42" applyNumberFormat="1" applyFont="1" applyFill="1" applyBorder="1" applyAlignment="1" applyProtection="1">
      <alignment horizontal="center"/>
      <protection hidden="1"/>
    </xf>
    <xf numFmtId="0" fontId="4" fillId="38" borderId="36" xfId="0" applyFont="1" applyFill="1" applyBorder="1" applyAlignment="1">
      <alignment/>
    </xf>
    <xf numFmtId="0" fontId="0" fillId="38" borderId="0" xfId="0" applyFill="1" applyAlignment="1">
      <alignment/>
    </xf>
    <xf numFmtId="0" fontId="0" fillId="0" borderId="11" xfId="0" applyFont="1" applyBorder="1" applyAlignment="1">
      <alignment/>
    </xf>
    <xf numFmtId="0" fontId="0" fillId="39" borderId="11" xfId="0" applyFont="1" applyFill="1" applyBorder="1" applyAlignment="1">
      <alignment/>
    </xf>
    <xf numFmtId="44" fontId="0" fillId="0" borderId="0" xfId="0" applyNumberFormat="1" applyAlignment="1">
      <alignment/>
    </xf>
    <xf numFmtId="0" fontId="4" fillId="33" borderId="13" xfId="0" applyFont="1" applyFill="1" applyBorder="1" applyAlignment="1">
      <alignment horizontal="right"/>
    </xf>
    <xf numFmtId="0" fontId="4" fillId="33" borderId="33" xfId="0" applyFont="1" applyFill="1" applyBorder="1" applyAlignment="1">
      <alignment horizontal="right"/>
    </xf>
    <xf numFmtId="0" fontId="4" fillId="33" borderId="20" xfId="0" applyFont="1" applyFill="1" applyBorder="1" applyAlignment="1">
      <alignment horizontal="right"/>
    </xf>
    <xf numFmtId="0" fontId="4" fillId="37" borderId="13" xfId="0" applyFont="1" applyFill="1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20" xfId="0" applyBorder="1" applyAlignment="1">
      <alignment horizontal="right"/>
    </xf>
    <xf numFmtId="0" fontId="4" fillId="33" borderId="30" xfId="0" applyFont="1" applyFill="1" applyBorder="1" applyAlignment="1">
      <alignment horizontal="right" wrapText="1"/>
    </xf>
    <xf numFmtId="0" fontId="4" fillId="33" borderId="37" xfId="0" applyFont="1" applyFill="1" applyBorder="1" applyAlignment="1">
      <alignment horizontal="right" wrapText="1"/>
    </xf>
    <xf numFmtId="0" fontId="4" fillId="33" borderId="38" xfId="0" applyFont="1" applyFill="1" applyBorder="1" applyAlignment="1">
      <alignment horizontal="right" wrapText="1"/>
    </xf>
    <xf numFmtId="0" fontId="4" fillId="0" borderId="13" xfId="55" applyFont="1" applyBorder="1" applyProtection="1">
      <alignment/>
      <protection hidden="1"/>
    </xf>
    <xf numFmtId="0" fontId="4" fillId="0" borderId="20" xfId="55" applyFont="1" applyBorder="1" applyProtection="1">
      <alignment/>
      <protection hidden="1"/>
    </xf>
    <xf numFmtId="0" fontId="4" fillId="36" borderId="18" xfId="0" applyFont="1" applyFill="1" applyBorder="1" applyAlignment="1">
      <alignment horizontal="right"/>
    </xf>
    <xf numFmtId="0" fontId="4" fillId="36" borderId="19" xfId="0" applyFont="1" applyFill="1" applyBorder="1" applyAlignment="1">
      <alignment horizontal="right"/>
    </xf>
    <xf numFmtId="0" fontId="4" fillId="36" borderId="39" xfId="0" applyFont="1" applyFill="1" applyBorder="1" applyAlignment="1">
      <alignment horizontal="right"/>
    </xf>
    <xf numFmtId="0" fontId="3" fillId="33" borderId="13" xfId="0" applyFont="1" applyFill="1" applyBorder="1" applyAlignment="1" applyProtection="1">
      <alignment horizontal="center" wrapText="1"/>
      <protection hidden="1"/>
    </xf>
    <xf numFmtId="0" fontId="3" fillId="33" borderId="33" xfId="0" applyFont="1" applyFill="1" applyBorder="1" applyAlignment="1" applyProtection="1">
      <alignment horizontal="center" wrapText="1"/>
      <protection hidden="1"/>
    </xf>
    <xf numFmtId="0" fontId="3" fillId="33" borderId="20" xfId="0" applyFont="1" applyFill="1" applyBorder="1" applyAlignment="1" applyProtection="1">
      <alignment horizontal="center" wrapText="1"/>
      <protection hidden="1"/>
    </xf>
    <xf numFmtId="0" fontId="0" fillId="0" borderId="40" xfId="0" applyFont="1" applyBorder="1" applyAlignment="1" applyProtection="1">
      <alignment horizontal="left" wrapText="1"/>
      <protection hidden="1"/>
    </xf>
    <xf numFmtId="0" fontId="0" fillId="0" borderId="41" xfId="0" applyFont="1" applyBorder="1" applyAlignment="1" applyProtection="1">
      <alignment horizontal="left" wrapText="1"/>
      <protection hidden="1"/>
    </xf>
    <xf numFmtId="0" fontId="0" fillId="0" borderId="42" xfId="0" applyFont="1" applyBorder="1" applyAlignment="1" applyProtection="1">
      <alignment horizontal="left" wrapText="1"/>
      <protection hidden="1"/>
    </xf>
    <xf numFmtId="0" fontId="4" fillId="34" borderId="43" xfId="0" applyFont="1" applyFill="1" applyBorder="1" applyAlignment="1" applyProtection="1">
      <alignment horizontal="center"/>
      <protection hidden="1"/>
    </xf>
    <xf numFmtId="0" fontId="4" fillId="34" borderId="19" xfId="0" applyFont="1" applyFill="1" applyBorder="1" applyAlignment="1" applyProtection="1">
      <alignment horizontal="center"/>
      <protection hidden="1"/>
    </xf>
    <xf numFmtId="0" fontId="4" fillId="34" borderId="35" xfId="0" applyFont="1" applyFill="1" applyBorder="1" applyAlignment="1" applyProtection="1">
      <alignment horizontal="center"/>
      <protection hidden="1"/>
    </xf>
    <xf numFmtId="14" fontId="4" fillId="0" borderId="18" xfId="0" applyNumberFormat="1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4" xfId="0" applyFont="1" applyFill="1" applyBorder="1" applyAlignment="1" applyProtection="1">
      <alignment horizontal="left"/>
      <protection hidden="1"/>
    </xf>
    <xf numFmtId="0" fontId="4" fillId="0" borderId="45" xfId="0" applyFont="1" applyFill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36" borderId="13" xfId="0" applyFont="1" applyFill="1" applyBorder="1" applyAlignment="1" applyProtection="1">
      <alignment horizontal="left" wrapText="1"/>
      <protection hidden="1"/>
    </xf>
    <xf numFmtId="0" fontId="0" fillId="36" borderId="33" xfId="0" applyFont="1" applyFill="1" applyBorder="1" applyAlignment="1" applyProtection="1">
      <alignment horizontal="left" wrapText="1"/>
      <protection hidden="1"/>
    </xf>
    <xf numFmtId="0" fontId="0" fillId="36" borderId="20" xfId="0" applyFont="1" applyFill="1" applyBorder="1" applyAlignment="1" applyProtection="1">
      <alignment horizontal="left" wrapText="1"/>
      <protection hidden="1"/>
    </xf>
    <xf numFmtId="0" fontId="4" fillId="0" borderId="18" xfId="55" applyFont="1" applyBorder="1" applyProtection="1">
      <alignment/>
      <protection hidden="1"/>
    </xf>
    <xf numFmtId="0" fontId="4" fillId="0" borderId="39" xfId="55" applyFont="1" applyBorder="1" applyProtection="1">
      <alignment/>
      <protection hidden="1"/>
    </xf>
    <xf numFmtId="0" fontId="0" fillId="0" borderId="13" xfId="55" applyFont="1" applyBorder="1" applyAlignment="1" applyProtection="1">
      <alignment horizontal="left"/>
      <protection locked="0"/>
    </xf>
    <xf numFmtId="0" fontId="0" fillId="0" borderId="43" xfId="0" applyFont="1" applyBorder="1" applyAlignment="1" applyProtection="1">
      <alignment horizontal="left"/>
      <protection locked="0"/>
    </xf>
    <xf numFmtId="0" fontId="5" fillId="37" borderId="13" xfId="0" applyFont="1" applyFill="1" applyBorder="1" applyAlignment="1">
      <alignment horizontal="right"/>
    </xf>
    <xf numFmtId="0" fontId="4" fillId="37" borderId="3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left" wrapText="1"/>
    </xf>
    <xf numFmtId="0" fontId="4" fillId="33" borderId="33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0" fontId="4" fillId="0" borderId="46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6" borderId="47" xfId="0" applyFont="1" applyFill="1" applyBorder="1" applyAlignment="1">
      <alignment horizontal="right"/>
    </xf>
    <xf numFmtId="0" fontId="4" fillId="36" borderId="48" xfId="0" applyFont="1" applyFill="1" applyBorder="1" applyAlignment="1">
      <alignment horizontal="right"/>
    </xf>
    <xf numFmtId="0" fontId="4" fillId="40" borderId="13" xfId="0" applyFont="1" applyFill="1" applyBorder="1" applyAlignment="1" applyProtection="1">
      <alignment horizontal="center"/>
      <protection hidden="1"/>
    </xf>
    <xf numFmtId="0" fontId="4" fillId="40" borderId="33" xfId="0" applyFont="1" applyFill="1" applyBorder="1" applyAlignment="1" applyProtection="1">
      <alignment horizontal="center"/>
      <protection hidden="1"/>
    </xf>
    <xf numFmtId="0" fontId="4" fillId="40" borderId="20" xfId="0" applyFont="1" applyFill="1" applyBorder="1" applyAlignment="1" applyProtection="1">
      <alignment horizontal="center"/>
      <protection hidden="1"/>
    </xf>
    <xf numFmtId="0" fontId="5" fillId="37" borderId="33" xfId="0" applyFont="1" applyFill="1" applyBorder="1" applyAlignment="1">
      <alignment horizontal="right"/>
    </xf>
    <xf numFmtId="0" fontId="4" fillId="37" borderId="20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 wrapText="1"/>
    </xf>
    <xf numFmtId="0" fontId="4" fillId="33" borderId="33" xfId="0" applyFont="1" applyFill="1" applyBorder="1" applyAlignment="1">
      <alignment horizontal="right" wrapText="1"/>
    </xf>
    <xf numFmtId="0" fontId="4" fillId="33" borderId="20" xfId="0" applyFont="1" applyFill="1" applyBorder="1" applyAlignment="1">
      <alignment horizontal="right" wrapText="1"/>
    </xf>
    <xf numFmtId="0" fontId="4" fillId="36" borderId="13" xfId="0" applyFont="1" applyFill="1" applyBorder="1" applyAlignment="1">
      <alignment horizontal="right" wrapText="1"/>
    </xf>
    <xf numFmtId="0" fontId="4" fillId="36" borderId="33" xfId="0" applyFont="1" applyFill="1" applyBorder="1" applyAlignment="1">
      <alignment horizontal="right" wrapText="1"/>
    </xf>
    <xf numFmtId="0" fontId="4" fillId="36" borderId="20" xfId="0" applyFont="1" applyFill="1" applyBorder="1" applyAlignment="1">
      <alignment horizontal="right" wrapText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33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5" fillId="0" borderId="46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0" fillId="35" borderId="18" xfId="0" applyFill="1" applyBorder="1" applyAlignment="1">
      <alignment horizontal="left" wrapText="1"/>
    </xf>
    <xf numFmtId="0" fontId="0" fillId="35" borderId="39" xfId="0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StarComFrigCalcv1_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5" zoomScaleNormal="85" zoomScalePageLayoutView="0" workbookViewId="0" topLeftCell="A1">
      <selection activeCell="B10" sqref="B10:H10"/>
    </sheetView>
  </sheetViews>
  <sheetFormatPr defaultColWidth="9.140625" defaultRowHeight="12.75"/>
  <cols>
    <col min="1" max="1" width="4.7109375" style="0" customWidth="1"/>
    <col min="2" max="2" width="20.421875" style="0" customWidth="1"/>
    <col min="3" max="3" width="3.421875" style="0" customWidth="1"/>
    <col min="5" max="5" width="5.7109375" style="0" customWidth="1"/>
    <col min="6" max="6" width="3.7109375" style="0" customWidth="1"/>
    <col min="7" max="7" width="14.7109375" style="0" customWidth="1"/>
    <col min="8" max="8" width="29.57421875" style="0" customWidth="1"/>
    <col min="9" max="9" width="20.57421875" style="0" customWidth="1"/>
  </cols>
  <sheetData>
    <row r="1" spans="1:9" ht="41.25" customHeight="1" thickBot="1">
      <c r="A1" s="84" t="s">
        <v>19</v>
      </c>
      <c r="B1" s="85"/>
      <c r="C1" s="85"/>
      <c r="D1" s="85"/>
      <c r="E1" s="85"/>
      <c r="F1" s="85"/>
      <c r="G1" s="85"/>
      <c r="H1" s="85"/>
      <c r="I1" s="86"/>
    </row>
    <row r="2" spans="1:9" ht="95.25" customHeight="1" thickBot="1">
      <c r="A2" s="87" t="s">
        <v>68</v>
      </c>
      <c r="B2" s="88"/>
      <c r="C2" s="88"/>
      <c r="D2" s="88"/>
      <c r="E2" s="88"/>
      <c r="F2" s="88"/>
      <c r="G2" s="88"/>
      <c r="H2" s="88"/>
      <c r="I2" s="89"/>
    </row>
    <row r="3" spans="1:9" ht="44.25" customHeight="1" thickBot="1">
      <c r="A3" s="100" t="s">
        <v>63</v>
      </c>
      <c r="B3" s="101"/>
      <c r="C3" s="101"/>
      <c r="D3" s="101"/>
      <c r="E3" s="101"/>
      <c r="F3" s="101"/>
      <c r="G3" s="101"/>
      <c r="H3" s="101"/>
      <c r="I3" s="102"/>
    </row>
    <row r="4" spans="1:9" ht="13.5" thickBot="1">
      <c r="A4" s="10" t="s">
        <v>9</v>
      </c>
      <c r="B4" s="127" t="s">
        <v>67</v>
      </c>
      <c r="C4" s="128"/>
      <c r="D4" s="128"/>
      <c r="E4" s="128"/>
      <c r="F4" s="129"/>
      <c r="G4" s="9" t="s">
        <v>20</v>
      </c>
      <c r="H4" s="93">
        <f ca="1">TODAY()</f>
        <v>44550</v>
      </c>
      <c r="I4" s="94"/>
    </row>
    <row r="5" spans="1:9" ht="13.5" thickBot="1">
      <c r="A5" s="11">
        <v>1</v>
      </c>
      <c r="B5" s="95" t="s">
        <v>53</v>
      </c>
      <c r="C5" s="96"/>
      <c r="D5" s="97"/>
      <c r="E5" s="98"/>
      <c r="F5" s="98"/>
      <c r="G5" s="98"/>
      <c r="H5" s="98"/>
      <c r="I5" s="99"/>
    </row>
    <row r="6" spans="1:12" ht="13.5" thickBot="1">
      <c r="A6" s="12">
        <v>2</v>
      </c>
      <c r="B6" s="103" t="s">
        <v>21</v>
      </c>
      <c r="C6" s="104"/>
      <c r="D6" s="105"/>
      <c r="E6" s="98"/>
      <c r="F6" s="98"/>
      <c r="G6" s="106"/>
      <c r="H6" s="55" t="s">
        <v>50</v>
      </c>
      <c r="I6" s="61"/>
      <c r="J6" s="1"/>
      <c r="K6" s="1"/>
      <c r="L6" s="45"/>
    </row>
    <row r="7" spans="1:12" ht="13.5" thickBot="1">
      <c r="A7" s="12">
        <v>3</v>
      </c>
      <c r="B7" s="103" t="s">
        <v>51</v>
      </c>
      <c r="C7" s="104"/>
      <c r="D7" s="105"/>
      <c r="E7" s="98"/>
      <c r="F7" s="98"/>
      <c r="G7" s="106"/>
      <c r="H7" s="55" t="s">
        <v>52</v>
      </c>
      <c r="I7" s="61"/>
      <c r="J7" s="1"/>
      <c r="K7" s="1"/>
      <c r="L7" s="45"/>
    </row>
    <row r="8" spans="1:12" ht="13.5" thickBot="1">
      <c r="A8" s="12">
        <v>4</v>
      </c>
      <c r="B8" s="79" t="s">
        <v>22</v>
      </c>
      <c r="C8" s="80"/>
      <c r="D8" s="105"/>
      <c r="E8" s="98"/>
      <c r="F8" s="98"/>
      <c r="G8" s="98"/>
      <c r="H8" s="49" t="s">
        <v>4</v>
      </c>
      <c r="I8" s="62"/>
      <c r="J8" s="46"/>
      <c r="K8" s="46"/>
      <c r="L8" s="46"/>
    </row>
    <row r="9" spans="1:12" ht="13.5" thickBot="1">
      <c r="A9" s="12"/>
      <c r="B9" s="90" t="s">
        <v>5</v>
      </c>
      <c r="C9" s="91"/>
      <c r="D9" s="91"/>
      <c r="E9" s="91"/>
      <c r="F9" s="91"/>
      <c r="G9" s="91"/>
      <c r="H9" s="91"/>
      <c r="I9" s="92"/>
      <c r="J9" s="1"/>
      <c r="K9" s="1"/>
      <c r="L9" s="1"/>
    </row>
    <row r="10" spans="1:13" ht="13.5" thickBot="1">
      <c r="A10" s="12">
        <v>5</v>
      </c>
      <c r="B10" s="76" t="s">
        <v>6</v>
      </c>
      <c r="C10" s="77"/>
      <c r="D10" s="77"/>
      <c r="E10" s="77"/>
      <c r="F10" s="77"/>
      <c r="G10" s="77"/>
      <c r="H10" s="78"/>
      <c r="I10" s="51">
        <v>15</v>
      </c>
      <c r="J10" s="1"/>
      <c r="K10" s="1"/>
      <c r="L10" s="1"/>
      <c r="M10" s="1"/>
    </row>
    <row r="11" spans="1:13" ht="18" customHeight="1" thickBot="1">
      <c r="A11" s="12">
        <v>6</v>
      </c>
      <c r="B11" s="76" t="str">
        <f>'Data and Calculations'!A3</f>
        <v>Is the existing Vacuum Pump a rotary vane or centrifugal type?</v>
      </c>
      <c r="C11" s="77"/>
      <c r="D11" s="77"/>
      <c r="E11" s="77"/>
      <c r="F11" s="77"/>
      <c r="G11" s="77"/>
      <c r="H11" s="78"/>
      <c r="I11" s="36"/>
      <c r="J11" s="1"/>
      <c r="K11" s="1"/>
      <c r="L11" s="1"/>
      <c r="M11" s="1"/>
    </row>
    <row r="12" spans="1:13" ht="28.5" customHeight="1" thickBot="1">
      <c r="A12" s="12">
        <v>7</v>
      </c>
      <c r="B12" s="130" t="str">
        <f>IF('Data and Calculations'!A2=1,'Data and Calculations'!A6,"")</f>
        <v>If Line 6 is "YES", a new positive displacement vacuum pump shall be installed to ensure the speed control operates properly.</v>
      </c>
      <c r="C12" s="131"/>
      <c r="D12" s="131"/>
      <c r="E12" s="131"/>
      <c r="F12" s="131"/>
      <c r="G12" s="131"/>
      <c r="H12" s="131"/>
      <c r="I12" s="132"/>
      <c r="J12" s="1"/>
      <c r="K12" s="1"/>
      <c r="L12" s="1"/>
      <c r="M12" s="1"/>
    </row>
    <row r="13" spans="1:13" ht="15.75" customHeight="1" thickBot="1">
      <c r="A13" s="12">
        <v>8</v>
      </c>
      <c r="B13" s="76" t="s">
        <v>0</v>
      </c>
      <c r="C13" s="77"/>
      <c r="D13" s="77"/>
      <c r="E13" s="77"/>
      <c r="F13" s="77"/>
      <c r="G13" s="77"/>
      <c r="H13" s="78" t="e">
        <f>#REF!</f>
        <v>#REF!</v>
      </c>
      <c r="I13" s="36"/>
      <c r="J13" s="1"/>
      <c r="K13" s="1"/>
      <c r="L13" s="1"/>
      <c r="M13" s="1"/>
    </row>
    <row r="14" spans="1:13" ht="17.25" customHeight="1" thickBot="1">
      <c r="A14" s="12">
        <v>9</v>
      </c>
      <c r="B14" s="76" t="s">
        <v>1</v>
      </c>
      <c r="C14" s="77"/>
      <c r="D14" s="77"/>
      <c r="E14" s="77"/>
      <c r="F14" s="77"/>
      <c r="G14" s="77"/>
      <c r="H14" s="78" t="e">
        <f>#REF!</f>
        <v>#REF!</v>
      </c>
      <c r="I14" s="36"/>
      <c r="J14" s="1"/>
      <c r="K14" s="1"/>
      <c r="M14" s="1"/>
    </row>
    <row r="15" spans="1:13" ht="17.25" customHeight="1" thickBot="1">
      <c r="A15" s="12">
        <v>10</v>
      </c>
      <c r="B15" s="76" t="s">
        <v>10</v>
      </c>
      <c r="C15" s="77"/>
      <c r="D15" s="77"/>
      <c r="E15" s="77"/>
      <c r="F15" s="77"/>
      <c r="G15" s="77"/>
      <c r="H15" s="78" t="e">
        <f>#REF!</f>
        <v>#REF!</v>
      </c>
      <c r="I15" s="50"/>
      <c r="J15" s="1"/>
      <c r="K15" s="1"/>
      <c r="M15" s="1"/>
    </row>
    <row r="16" spans="1:13" ht="27.75" customHeight="1">
      <c r="A16" s="12"/>
      <c r="B16" s="112" t="str">
        <f>IF('Data and Calculations'!A17=1,'Data and Calculations'!A21,"")</f>
        <v>If variable speed drive is installed, it is strongly recommended that new, larger diameter PVC piping be installed to provide more stable vacuum.</v>
      </c>
      <c r="C16" s="113"/>
      <c r="D16" s="113"/>
      <c r="E16" s="113"/>
      <c r="F16" s="113"/>
      <c r="G16" s="113"/>
      <c r="H16" s="113"/>
      <c r="I16" s="113"/>
      <c r="J16" s="1"/>
      <c r="K16" s="1"/>
      <c r="M16" s="1"/>
    </row>
    <row r="17" spans="1:13" ht="14.25" customHeight="1" thickBot="1">
      <c r="A17" s="12">
        <v>11</v>
      </c>
      <c r="B17" s="76" t="s">
        <v>18</v>
      </c>
      <c r="C17" s="77"/>
      <c r="D17" s="77"/>
      <c r="E17" s="77"/>
      <c r="F17" s="77"/>
      <c r="G17" s="77"/>
      <c r="H17" s="78" t="e">
        <f>#REF!</f>
        <v>#REF!</v>
      </c>
      <c r="I17" s="8">
        <v>12</v>
      </c>
      <c r="J17" s="1"/>
      <c r="K17" s="1"/>
      <c r="L17" s="1"/>
      <c r="M17" s="1"/>
    </row>
    <row r="18" spans="1:13" ht="30.75" customHeight="1" thickBot="1">
      <c r="A18" s="12">
        <v>12</v>
      </c>
      <c r="B18" s="109" t="s">
        <v>59</v>
      </c>
      <c r="C18" s="110"/>
      <c r="D18" s="110"/>
      <c r="E18" s="110"/>
      <c r="F18" s="110"/>
      <c r="G18" s="110"/>
      <c r="H18" s="111" t="e">
        <f>#REF!</f>
        <v>#REF!</v>
      </c>
      <c r="I18" s="63"/>
      <c r="J18" s="7"/>
      <c r="K18" s="7"/>
      <c r="L18" s="7"/>
      <c r="M18" s="7"/>
    </row>
    <row r="19" spans="1:13" ht="13.5" thickBot="1">
      <c r="A19" s="12">
        <v>13</v>
      </c>
      <c r="B19" s="81" t="s">
        <v>16</v>
      </c>
      <c r="C19" s="82"/>
      <c r="D19" s="82"/>
      <c r="E19" s="82"/>
      <c r="F19" s="82"/>
      <c r="G19" s="82"/>
      <c r="H19" s="83"/>
      <c r="I19" s="64">
        <f>IF(I18&gt;0,"",(0.75*I$10*0.746))</f>
        <v>8.3925</v>
      </c>
      <c r="J19" s="2"/>
      <c r="K19" s="1"/>
      <c r="L19" s="1"/>
      <c r="M19" s="1"/>
    </row>
    <row r="20" spans="1:13" ht="15.75" customHeight="1" thickBot="1">
      <c r="A20" s="12">
        <v>14</v>
      </c>
      <c r="B20" s="114" t="s">
        <v>11</v>
      </c>
      <c r="C20" s="115"/>
      <c r="D20" s="115"/>
      <c r="E20" s="115"/>
      <c r="F20" s="115"/>
      <c r="G20" s="115"/>
      <c r="H20" s="115"/>
      <c r="I20" s="29">
        <f>IF(I19="",I$17*I18*365,I$17*I19*365)</f>
        <v>36759.15</v>
      </c>
      <c r="J20" s="3"/>
      <c r="K20" s="1"/>
      <c r="L20" s="1"/>
      <c r="M20" s="1"/>
    </row>
    <row r="21" spans="1:13" ht="29.25" customHeight="1" thickBot="1">
      <c r="A21" s="12">
        <v>15</v>
      </c>
      <c r="B21" s="109" t="s">
        <v>60</v>
      </c>
      <c r="C21" s="110"/>
      <c r="D21" s="110"/>
      <c r="E21" s="110"/>
      <c r="F21" s="110"/>
      <c r="G21" s="110"/>
      <c r="H21" s="111"/>
      <c r="I21" s="60"/>
      <c r="J21" s="1"/>
      <c r="K21" s="1"/>
      <c r="L21" s="1"/>
      <c r="M21" s="1"/>
    </row>
    <row r="22" spans="1:13" ht="13.5" thickBot="1">
      <c r="A22" s="12">
        <v>16</v>
      </c>
      <c r="B22" s="124" t="s">
        <v>17</v>
      </c>
      <c r="C22" s="125"/>
      <c r="D22" s="125"/>
      <c r="E22" s="125"/>
      <c r="F22" s="125"/>
      <c r="G22" s="125"/>
      <c r="H22" s="126"/>
      <c r="I22" s="64">
        <f>IF(I21&gt;0,"",(0.75*I$10*0.746*0.5))</f>
        <v>4.19625</v>
      </c>
      <c r="J22" s="1"/>
      <c r="K22" s="1"/>
      <c r="L22" s="1"/>
      <c r="M22" s="1"/>
    </row>
    <row r="23" spans="1:13" ht="14.25" customHeight="1" thickBot="1">
      <c r="A23" s="12">
        <v>17</v>
      </c>
      <c r="B23" s="121" t="s">
        <v>48</v>
      </c>
      <c r="C23" s="122"/>
      <c r="D23" s="122"/>
      <c r="E23" s="122"/>
      <c r="F23" s="122"/>
      <c r="G23" s="122"/>
      <c r="H23" s="123"/>
      <c r="I23" s="52">
        <v>15000</v>
      </c>
      <c r="J23" s="1"/>
      <c r="K23" s="1"/>
      <c r="L23" s="1"/>
      <c r="M23" s="1"/>
    </row>
    <row r="24" spans="1:13" ht="14.25" customHeight="1" thickBot="1">
      <c r="A24" s="12">
        <v>18</v>
      </c>
      <c r="B24" s="70" t="s">
        <v>49</v>
      </c>
      <c r="C24" s="71"/>
      <c r="D24" s="71"/>
      <c r="E24" s="71"/>
      <c r="F24" s="71"/>
      <c r="G24" s="71"/>
      <c r="H24" s="72"/>
      <c r="I24" s="53">
        <v>-45</v>
      </c>
      <c r="J24" s="1"/>
      <c r="K24" s="1"/>
      <c r="L24" s="1"/>
      <c r="M24" s="1"/>
    </row>
    <row r="25" spans="1:13" ht="13.5" thickBot="1">
      <c r="A25" s="12">
        <v>19</v>
      </c>
      <c r="B25" s="70" t="s">
        <v>56</v>
      </c>
      <c r="C25" s="71"/>
      <c r="D25" s="71"/>
      <c r="E25" s="71"/>
      <c r="F25" s="71"/>
      <c r="G25" s="71"/>
      <c r="H25" s="72"/>
      <c r="I25" s="54">
        <v>5</v>
      </c>
      <c r="J25" s="1"/>
      <c r="K25" s="1"/>
      <c r="L25" s="1"/>
      <c r="M25" s="1"/>
    </row>
    <row r="26" spans="1:13" ht="13.5" thickBot="1">
      <c r="A26" s="12"/>
      <c r="B26" s="116" t="s">
        <v>13</v>
      </c>
      <c r="C26" s="117"/>
      <c r="D26" s="117"/>
      <c r="E26" s="117"/>
      <c r="F26" s="117"/>
      <c r="G26" s="117"/>
      <c r="H26" s="117"/>
      <c r="I26" s="118"/>
      <c r="J26" s="1"/>
      <c r="K26" s="1"/>
      <c r="L26" s="1"/>
      <c r="M26" s="1"/>
    </row>
    <row r="27" spans="1:13" ht="13.5" thickBot="1">
      <c r="A27" s="12">
        <v>20</v>
      </c>
      <c r="B27" s="107" t="s">
        <v>42</v>
      </c>
      <c r="C27" s="108"/>
      <c r="D27" s="108"/>
      <c r="E27" s="108"/>
      <c r="F27" s="108"/>
      <c r="G27" s="108"/>
      <c r="H27" s="108"/>
      <c r="I27" s="40">
        <v>10</v>
      </c>
      <c r="J27" s="1"/>
      <c r="K27" s="1"/>
      <c r="L27" s="1"/>
      <c r="M27" s="1"/>
    </row>
    <row r="28" spans="1:13" ht="13.5" customHeight="1" thickBot="1">
      <c r="A28" s="13">
        <v>21</v>
      </c>
      <c r="B28" s="73" t="s">
        <v>14</v>
      </c>
      <c r="C28" s="108"/>
      <c r="D28" s="108"/>
      <c r="E28" s="108"/>
      <c r="F28" s="108"/>
      <c r="G28" s="108"/>
      <c r="H28" s="108"/>
      <c r="I28" s="37">
        <f>IF('Data and Calculations'!A17=1,(IF(I22="",I$17*I21*365,I$17*I22*365)),"No Credit")</f>
        <v>18379.575</v>
      </c>
      <c r="J28" s="1"/>
      <c r="K28" s="1"/>
      <c r="L28" s="1"/>
      <c r="M28" s="1"/>
    </row>
    <row r="29" spans="1:13" ht="13.5" customHeight="1" thickBot="1">
      <c r="A29" s="13">
        <v>22</v>
      </c>
      <c r="B29" s="73" t="s">
        <v>15</v>
      </c>
      <c r="C29" s="108"/>
      <c r="D29" s="108"/>
      <c r="E29" s="108"/>
      <c r="F29" s="108"/>
      <c r="G29" s="108"/>
      <c r="H29" s="108"/>
      <c r="I29" s="37">
        <f>IF('Data and Calculations'!A17=1,(I20-I28),"No Credit")</f>
        <v>18379.575</v>
      </c>
      <c r="J29" s="1"/>
      <c r="K29" s="1"/>
      <c r="L29" s="1"/>
      <c r="M29" s="1"/>
    </row>
    <row r="30" spans="1:13" ht="13.5" customHeight="1" thickBot="1">
      <c r="A30" s="12">
        <v>23</v>
      </c>
      <c r="B30" s="73" t="s">
        <v>47</v>
      </c>
      <c r="C30" s="108"/>
      <c r="D30" s="108"/>
      <c r="E30" s="108"/>
      <c r="F30" s="108"/>
      <c r="G30" s="108"/>
      <c r="H30" s="108"/>
      <c r="I30" s="37">
        <f>IF('Data and Calculations'!A17=1,(I29*'Data and Calculations'!D23),"No Credit")</f>
        <v>20043.837947604057</v>
      </c>
      <c r="J30" s="1"/>
      <c r="K30" s="1"/>
      <c r="L30" s="1"/>
      <c r="M30" s="1"/>
    </row>
    <row r="31" spans="1:13" ht="13.5" customHeight="1" thickBot="1">
      <c r="A31" s="13">
        <v>24</v>
      </c>
      <c r="B31" s="73" t="s">
        <v>62</v>
      </c>
      <c r="C31" s="74"/>
      <c r="D31" s="74"/>
      <c r="E31" s="74"/>
      <c r="F31" s="74"/>
      <c r="G31" s="74"/>
      <c r="H31" s="75"/>
      <c r="I31" s="38">
        <f>IF('Data and Calculations'!A17=1,Savings_Busbar*(I25/100)," ")</f>
        <v>1002.1918973802029</v>
      </c>
      <c r="J31" s="1"/>
      <c r="K31" s="1"/>
      <c r="L31" s="1"/>
      <c r="M31" s="1"/>
    </row>
    <row r="32" spans="1:13" ht="13.5" customHeight="1" thickBot="1">
      <c r="A32" s="13">
        <v>25</v>
      </c>
      <c r="B32" s="107" t="s">
        <v>54</v>
      </c>
      <c r="C32" s="108"/>
      <c r="D32" s="108"/>
      <c r="E32" s="108"/>
      <c r="F32" s="108"/>
      <c r="G32" s="108"/>
      <c r="H32" s="108"/>
      <c r="I32" s="38">
        <f>IF('Data and Calculations'!A17=1,PV_Energy_Savings," ")</f>
        <v>16181.325282423182</v>
      </c>
      <c r="J32" s="1"/>
      <c r="K32" s="1"/>
      <c r="L32" s="1"/>
      <c r="M32" s="1"/>
    </row>
    <row r="33" spans="1:13" ht="13.5" customHeight="1" thickBot="1">
      <c r="A33" s="12">
        <v>26</v>
      </c>
      <c r="B33" s="44"/>
      <c r="C33" s="43"/>
      <c r="D33" s="43"/>
      <c r="E33" s="43"/>
      <c r="F33" s="43"/>
      <c r="G33" s="119" t="s">
        <v>57</v>
      </c>
      <c r="H33" s="120"/>
      <c r="I33" s="47">
        <f>IF('Data and Calculations'!A17=1,Project_Cost/(I29*I25/100)," ")</f>
        <v>16.322466651160322</v>
      </c>
      <c r="J33" s="1"/>
      <c r="K33" s="1"/>
      <c r="L33" s="1"/>
      <c r="M33" s="1"/>
    </row>
    <row r="34" spans="1:13" ht="12.75" customHeight="1" thickBot="1">
      <c r="A34" s="13">
        <v>27</v>
      </c>
      <c r="B34" s="107" t="s">
        <v>55</v>
      </c>
      <c r="C34" s="108"/>
      <c r="D34" s="108"/>
      <c r="E34" s="108"/>
      <c r="F34" s="108"/>
      <c r="G34" s="108"/>
      <c r="H34" s="108"/>
      <c r="I34" s="38">
        <f>IF('Data and Calculations'!A17=1,PV_OandM,"")</f>
        <v>-347.4780718133168</v>
      </c>
      <c r="J34" s="1"/>
      <c r="K34" s="1"/>
      <c r="L34" s="1"/>
      <c r="M34" s="1"/>
    </row>
    <row r="35" spans="1:13" ht="13.5" thickBot="1">
      <c r="A35" s="13">
        <v>28</v>
      </c>
      <c r="B35" s="107" t="s">
        <v>43</v>
      </c>
      <c r="C35" s="108"/>
      <c r="D35" s="108"/>
      <c r="E35" s="108"/>
      <c r="F35" s="108"/>
      <c r="G35" s="108"/>
      <c r="H35" s="108"/>
      <c r="I35" s="38">
        <f>IF('Data and Calculations'!A17=1,(Project_Cost+PV_OandM+PV_Energy_Use),"")</f>
        <v>30833.847210609863</v>
      </c>
      <c r="J35" s="1"/>
      <c r="K35" s="1"/>
      <c r="L35" s="1"/>
      <c r="M35" s="1"/>
    </row>
    <row r="36" spans="1:13" ht="13.5" thickBot="1">
      <c r="A36" s="12">
        <v>29</v>
      </c>
      <c r="B36" s="107" t="s">
        <v>44</v>
      </c>
      <c r="C36" s="108"/>
      <c r="D36" s="108"/>
      <c r="E36" s="108"/>
      <c r="F36" s="108"/>
      <c r="G36" s="108"/>
      <c r="H36" s="108"/>
      <c r="I36" s="48">
        <f>IF('Data and Calculations'!A17=1,BC_Ratio,"")</f>
        <v>1.1019202236157666</v>
      </c>
      <c r="J36" s="1"/>
      <c r="K36" s="1"/>
      <c r="L36" s="1"/>
      <c r="M36" s="1"/>
    </row>
    <row r="37" spans="1:13" ht="13.5" thickBot="1">
      <c r="A37" s="13">
        <v>30</v>
      </c>
      <c r="B37" s="107" t="s">
        <v>23</v>
      </c>
      <c r="C37" s="108"/>
      <c r="D37" s="108"/>
      <c r="E37" s="108"/>
      <c r="F37" s="108"/>
      <c r="G37" s="108"/>
      <c r="H37" s="108"/>
      <c r="I37" s="39">
        <f>IF((AND('Data and Calculations'!A17=1,I36&gt;=1)),(IF((I30*0.15)&lt;=(I23*0.7),(I30*0.15),(I23*0.7))),"None")</f>
        <v>3006.5756921406087</v>
      </c>
      <c r="J37" s="1"/>
      <c r="K37" s="1"/>
      <c r="L37" s="1"/>
      <c r="M37" s="1"/>
    </row>
    <row r="38" ht="12.75">
      <c r="A38" s="13"/>
    </row>
  </sheetData>
  <sheetProtection/>
  <mergeCells count="42">
    <mergeCell ref="B36:H36"/>
    <mergeCell ref="B27:H27"/>
    <mergeCell ref="B34:H34"/>
    <mergeCell ref="B35:H35"/>
    <mergeCell ref="B28:H28"/>
    <mergeCell ref="B29:H29"/>
    <mergeCell ref="B30:H30"/>
    <mergeCell ref="B32:H32"/>
    <mergeCell ref="D6:G6"/>
    <mergeCell ref="B4:F4"/>
    <mergeCell ref="B6:C6"/>
    <mergeCell ref="B13:H13"/>
    <mergeCell ref="B14:H14"/>
    <mergeCell ref="B12:I12"/>
    <mergeCell ref="B37:H37"/>
    <mergeCell ref="B18:H18"/>
    <mergeCell ref="B16:I16"/>
    <mergeCell ref="B20:H20"/>
    <mergeCell ref="B21:H21"/>
    <mergeCell ref="B26:I26"/>
    <mergeCell ref="B17:H17"/>
    <mergeCell ref="G33:H33"/>
    <mergeCell ref="B23:H23"/>
    <mergeCell ref="B22:H22"/>
    <mergeCell ref="A1:I1"/>
    <mergeCell ref="A2:I2"/>
    <mergeCell ref="B9:I9"/>
    <mergeCell ref="H4:I4"/>
    <mergeCell ref="B5:C5"/>
    <mergeCell ref="D5:I5"/>
    <mergeCell ref="A3:I3"/>
    <mergeCell ref="B7:C7"/>
    <mergeCell ref="D7:G7"/>
    <mergeCell ref="D8:G8"/>
    <mergeCell ref="B25:H25"/>
    <mergeCell ref="B31:H31"/>
    <mergeCell ref="B10:H10"/>
    <mergeCell ref="B8:C8"/>
    <mergeCell ref="B24:H24"/>
    <mergeCell ref="B11:H11"/>
    <mergeCell ref="B19:H19"/>
    <mergeCell ref="B15:H15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4.00390625" style="0" customWidth="1"/>
    <col min="3" max="3" width="23.00390625" style="0" bestFit="1" customWidth="1"/>
    <col min="5" max="5" width="11.421875" style="0" bestFit="1" customWidth="1"/>
    <col min="7" max="7" width="20.8515625" style="0" customWidth="1"/>
    <col min="11" max="11" width="46.57421875" style="0" customWidth="1"/>
  </cols>
  <sheetData>
    <row r="2" ht="12.75">
      <c r="A2">
        <v>1</v>
      </c>
    </row>
    <row r="3" ht="12.75">
      <c r="A3" s="4" t="s">
        <v>3</v>
      </c>
    </row>
    <row r="4" ht="12.75">
      <c r="A4" s="5" t="s">
        <v>7</v>
      </c>
    </row>
    <row r="5" ht="13.5" thickBot="1">
      <c r="A5" s="5" t="s">
        <v>8</v>
      </c>
    </row>
    <row r="6" spans="1:11" ht="39" thickBot="1">
      <c r="A6" s="6" t="s">
        <v>58</v>
      </c>
      <c r="C6" s="14" t="s">
        <v>24</v>
      </c>
      <c r="D6" s="15" t="s">
        <v>25</v>
      </c>
      <c r="E6" s="16" t="s">
        <v>26</v>
      </c>
      <c r="G6" s="133" t="s">
        <v>32</v>
      </c>
      <c r="H6" s="134"/>
      <c r="K6" s="42" t="s">
        <v>45</v>
      </c>
    </row>
    <row r="7" spans="3:11" ht="12.75">
      <c r="C7" s="17" t="s">
        <v>27</v>
      </c>
      <c r="D7" s="18">
        <f>IF(Project_Cost&gt;0,Project_Cost,0)</f>
        <v>15000</v>
      </c>
      <c r="E7" s="19">
        <f>(IF(Project_Cost&lt;0,Project_Cost,0))*-1</f>
        <v>0</v>
      </c>
      <c r="G7" s="20" t="s">
        <v>33</v>
      </c>
      <c r="H7" s="30">
        <v>0.05</v>
      </c>
      <c r="K7" s="31" t="s">
        <v>34</v>
      </c>
    </row>
    <row r="8" spans="1:11" ht="12.75">
      <c r="A8">
        <v>1</v>
      </c>
      <c r="C8" s="20" t="s">
        <v>28</v>
      </c>
      <c r="D8" s="21">
        <f>IF(PV_OandM&gt;0,PV_OandM,0)</f>
        <v>0</v>
      </c>
      <c r="E8" s="22">
        <f>(IF(PV_OandM&lt;0,PV_OandM,0))*-1</f>
        <v>347.4780718133168</v>
      </c>
      <c r="G8" s="20" t="s">
        <v>35</v>
      </c>
      <c r="H8" s="32">
        <f>MeasureLife</f>
        <v>10</v>
      </c>
      <c r="K8" s="33" t="s">
        <v>36</v>
      </c>
    </row>
    <row r="9" spans="1:11" ht="13.5" thickBot="1">
      <c r="A9" s="4" t="s">
        <v>0</v>
      </c>
      <c r="C9" s="20" t="s">
        <v>29</v>
      </c>
      <c r="D9" s="21">
        <f>IF(PV_Energy_Savings&lt;0,(-1*PV_Energy_Savings),0)</f>
        <v>0</v>
      </c>
      <c r="E9" s="22">
        <f>IF(PV_Energy_Savings&gt;0,PV_Energy_Savings,0)</f>
        <v>16181.325282423182</v>
      </c>
      <c r="G9" s="20" t="s">
        <v>37</v>
      </c>
      <c r="H9" s="35">
        <f>OandM</f>
        <v>-45</v>
      </c>
      <c r="K9" s="33" t="s">
        <v>38</v>
      </c>
    </row>
    <row r="10" spans="1:11" ht="13.5" thickBot="1">
      <c r="A10" s="5" t="s">
        <v>7</v>
      </c>
      <c r="C10" s="23" t="s">
        <v>30</v>
      </c>
      <c r="D10" s="24">
        <f>SUM(D7:D9)</f>
        <v>15000</v>
      </c>
      <c r="E10" s="25">
        <f>SUM(E7:E9)</f>
        <v>16528.803354236497</v>
      </c>
      <c r="G10" s="34" t="s">
        <v>39</v>
      </c>
      <c r="H10" s="41">
        <f>OandM*(1-((1/(1+DiscountRate))^MeasureLife))/DiscountRate</f>
        <v>-347.4780718133168</v>
      </c>
      <c r="K10" s="33" t="s">
        <v>40</v>
      </c>
    </row>
    <row r="11" spans="1:11" ht="13.5" thickBot="1">
      <c r="A11" s="5" t="s">
        <v>8</v>
      </c>
      <c r="D11" s="26"/>
      <c r="K11" s="33" t="s">
        <v>41</v>
      </c>
    </row>
    <row r="12" spans="1:4" ht="13.5" thickBot="1">
      <c r="A12" s="5">
        <v>1</v>
      </c>
      <c r="C12" s="27" t="s">
        <v>31</v>
      </c>
      <c r="D12" s="28">
        <f>IF(AND(D10&gt;0,E10&gt;0),(E10/D10),"Infinite")</f>
        <v>1.1019202236157666</v>
      </c>
    </row>
    <row r="13" ht="12.75">
      <c r="A13" s="4" t="s">
        <v>1</v>
      </c>
    </row>
    <row r="14" spans="1:5" ht="13.5" thickBot="1">
      <c r="A14" s="5" t="s">
        <v>7</v>
      </c>
      <c r="E14" s="69"/>
    </row>
    <row r="15" spans="1:5" ht="13.5" thickBot="1">
      <c r="A15" s="5" t="s">
        <v>8</v>
      </c>
      <c r="C15" s="67" t="s">
        <v>66</v>
      </c>
      <c r="D15" s="57">
        <v>0.880397140979766</v>
      </c>
      <c r="E15" s="59">
        <f>D15*Savings_Site</f>
        <v>16181.325282423182</v>
      </c>
    </row>
    <row r="16" spans="1:5" ht="13.5" thickBot="1">
      <c r="A16" s="4" t="s">
        <v>12</v>
      </c>
      <c r="C16" s="56" t="s">
        <v>61</v>
      </c>
      <c r="D16" s="57">
        <f>D15</f>
        <v>0.880397140979766</v>
      </c>
      <c r="E16" s="58">
        <f>D16*Post_Use</f>
        <v>16181.325282423182</v>
      </c>
    </row>
    <row r="17" ht="12.75">
      <c r="A17">
        <v>1</v>
      </c>
    </row>
    <row r="18" spans="1:5" ht="12.75">
      <c r="A18" s="4" t="s">
        <v>2</v>
      </c>
      <c r="D18" s="65" t="s">
        <v>64</v>
      </c>
      <c r="E18" s="66"/>
    </row>
    <row r="19" ht="12.75">
      <c r="A19" s="5" t="s">
        <v>7</v>
      </c>
    </row>
    <row r="20" ht="12.75">
      <c r="A20" s="5" t="s">
        <v>8</v>
      </c>
    </row>
    <row r="21" ht="39">
      <c r="A21" s="6" t="s">
        <v>46</v>
      </c>
    </row>
    <row r="23" spans="3:4" ht="12.75">
      <c r="C23" s="68" t="s">
        <v>65</v>
      </c>
      <c r="D23" s="56">
        <v>1.09054958820343</v>
      </c>
    </row>
  </sheetData>
  <sheetProtection/>
  <mergeCells count="1">
    <mergeCell ref="G6:H6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Business Line</dc:creator>
  <cp:keywords/>
  <dc:description/>
  <cp:lastModifiedBy>Gross,Michael C (CONTR) - PEJB-6</cp:lastModifiedBy>
  <cp:lastPrinted>2001-10-31T19:19:33Z</cp:lastPrinted>
  <dcterms:created xsi:type="dcterms:W3CDTF">2001-10-25T22:32:16Z</dcterms:created>
  <dcterms:modified xsi:type="dcterms:W3CDTF">2021-12-20T23:20:08Z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Coverage">
    <vt:lpwstr/>
  </property>
  <property fmtid="{D5CDD505-2E9C-101B-9397-08002B2CF9AE}" pid="4" name="_Format">
    <vt:lpwstr/>
  </property>
  <property fmtid="{D5CDD505-2E9C-101B-9397-08002B2CF9AE}" pid="5" name="_Publisher">
    <vt:lpwstr/>
  </property>
  <property fmtid="{D5CDD505-2E9C-101B-9397-08002B2CF9AE}" pid="6" name="_Relation">
    <vt:lpwstr/>
  </property>
  <property fmtid="{D5CDD505-2E9C-101B-9397-08002B2CF9AE}" pid="7" name="_Contributor">
    <vt:lpwstr/>
  </property>
  <property fmtid="{D5CDD505-2E9C-101B-9397-08002B2CF9AE}" pid="8" name="_Source">
    <vt:lpwstr/>
  </property>
  <property fmtid="{D5CDD505-2E9C-101B-9397-08002B2CF9AE}" pid="9" name="Tags">
    <vt:lpwstr>16;#Energy Efficiency|7d88f299-fa2d-4d2a-99d9-9b08652f27c4</vt:lpwstr>
  </property>
  <property fmtid="{D5CDD505-2E9C-101B-9397-08002B2CF9AE}" pid="10" name="Language">
    <vt:lpwstr>English</vt:lpwstr>
  </property>
  <property fmtid="{D5CDD505-2E9C-101B-9397-08002B2CF9AE}" pid="11" name="_Identifier">
    <vt:lpwstr/>
  </property>
  <property fmtid="{D5CDD505-2E9C-101B-9397-08002B2CF9AE}" pid="12" name="_ResourceType">
    <vt:lpwstr>Energy Efficiency</vt:lpwstr>
  </property>
  <property fmtid="{D5CDD505-2E9C-101B-9397-08002B2CF9AE}" pid="13" name="pb95b497b12c48a38c5a5dfead4fe67f">
    <vt:lpwstr>Energy Efficiency|7d88f299-fa2d-4d2a-99d9-9b08652f27c4</vt:lpwstr>
  </property>
  <property fmtid="{D5CDD505-2E9C-101B-9397-08002B2CF9AE}" pid="14" name="TaxCatchAll">
    <vt:lpwstr>16;#Energy Efficiency|7d88f299-fa2d-4d2a-99d9-9b08652f27c4</vt:lpwstr>
  </property>
  <property fmtid="{D5CDD505-2E9C-101B-9397-08002B2CF9AE}" pid="15" name="PublishingContact">
    <vt:lpwstr/>
  </property>
  <property fmtid="{D5CDD505-2E9C-101B-9397-08002B2CF9AE}" pid="16" name="Order">
    <vt:lpwstr>11400.0000000000</vt:lpwstr>
  </property>
  <property fmtid="{D5CDD505-2E9C-101B-9397-08002B2CF9AE}" pid="17" name="PublishingRollupImage">
    <vt:lpwstr/>
  </property>
  <property fmtid="{D5CDD505-2E9C-101B-9397-08002B2CF9AE}" pid="18" name="xd_ProgID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_DCDateCreated">
    <vt:lpwstr/>
  </property>
  <property fmtid="{D5CDD505-2E9C-101B-9397-08002B2CF9AE}" pid="22" name="PublishingContactPicture">
    <vt:lpwstr/>
  </property>
  <property fmtid="{D5CDD505-2E9C-101B-9397-08002B2CF9AE}" pid="23" name="PublishingVariationGroupID">
    <vt:lpwstr/>
  </property>
  <property fmtid="{D5CDD505-2E9C-101B-9397-08002B2CF9AE}" pid="24" name="TemplateUrl">
    <vt:lpwstr/>
  </property>
  <property fmtid="{D5CDD505-2E9C-101B-9397-08002B2CF9AE}" pid="25" name="Audience">
    <vt:lpwstr/>
  </property>
  <property fmtid="{D5CDD505-2E9C-101B-9397-08002B2CF9AE}" pid="26" name="ContentTypeId">
    <vt:lpwstr>0x0101000931BBB4D5528049B792EFC280C0D167</vt:lpwstr>
  </property>
  <property fmtid="{D5CDD505-2E9C-101B-9397-08002B2CF9AE}" pid="27" name="PublishingVariationRelationshipLinkFieldID">
    <vt:lpwstr/>
  </property>
  <property fmtid="{D5CDD505-2E9C-101B-9397-08002B2CF9AE}" pid="28" name="PublishingContactName">
    <vt:lpwstr/>
  </property>
  <property fmtid="{D5CDD505-2E9C-101B-9397-08002B2CF9AE}" pid="29" name="_DCDateModified">
    <vt:lpwstr/>
  </property>
  <property fmtid="{D5CDD505-2E9C-101B-9397-08002B2CF9AE}" pid="30" name="PublishingContactEmail">
    <vt:lpwstr/>
  </property>
  <property fmtid="{D5CDD505-2E9C-101B-9397-08002B2CF9AE}" pid="31" name="_SourceUrl">
    <vt:lpwstr/>
  </property>
  <property fmtid="{D5CDD505-2E9C-101B-9397-08002B2CF9AE}" pid="32" name="_SharedFileIndex">
    <vt:lpwstr/>
  </property>
  <property fmtid="{D5CDD505-2E9C-101B-9397-08002B2CF9AE}" pid="33" name="Comments">
    <vt:lpwstr/>
  </property>
  <property fmtid="{D5CDD505-2E9C-101B-9397-08002B2CF9AE}" pid="34" name="PublishingPageLayout">
    <vt:lpwstr/>
  </property>
  <property fmtid="{D5CDD505-2E9C-101B-9397-08002B2CF9AE}" pid="35" name="xd_Signature">
    <vt:lpwstr/>
  </property>
</Properties>
</file>