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57480" yWindow="65416" windowWidth="29040" windowHeight="15720" activeTab="0"/>
  </bookViews>
  <sheets>
    <sheet name="1. Site Data " sheetId="6" r:id="rId1"/>
    <sheet name="2. Operational Data" sheetId="4" r:id="rId2"/>
    <sheet name="Estimation Guidelines" sheetId="3" r:id="rId3"/>
    <sheet name="Lists" sheetId="7" state="hidden" r:id="rId4"/>
  </sheets>
  <externalReferences>
    <externalReference r:id="rId7"/>
  </externalReferences>
  <definedNames>
    <definedName name="allhours">'2. Operational Data'!$C$9</definedName>
    <definedName name="arcon">'2. Operational Data'!$C$6</definedName>
    <definedName name="BPA_Credit">'2. Operational Data'!$C$39</definedName>
    <definedName name="Busbar_multiplier">'Lists'!$G$159</definedName>
    <definedName name="BusbarElectricitySavedkWh">'Lists'!$B$47</definedName>
    <definedName name="CompanyName">'Lists'!$B$7</definedName>
    <definedName name="EstUtilEligibleCost">'2. Operational Data'!$C$16</definedName>
    <definedName name="hours">'2. Operational Data'!$E$9</definedName>
    <definedName name="MeasureLife_Default">'Lists'!$E$157</definedName>
    <definedName name="no_chargers">'[1]INPUTS'!$B$11</definedName>
    <definedName name="PV_Energy_Savings">'Lists'!$G$162</definedName>
    <definedName name="PV_kWh">'Lists'!$G$161</definedName>
    <definedName name="Sector">'1. Site Data '!$C$24</definedName>
    <definedName name="SiteCity">'1. Site Data '!$C$19</definedName>
    <definedName name="SiteState">'1. Site Data '!$C$20</definedName>
    <definedName name="SiteStreet">'1. Site Data '!$C$18</definedName>
    <definedName name="SiteZip">'1. Site Data '!$C$21</definedName>
    <definedName name="standby">'2. Operational Data'!$C$7</definedName>
    <definedName name="ToolName">'Lists'!$F$155</definedName>
    <definedName name="ToolVersion">'Lists'!$E$156</definedName>
    <definedName name="TRCBenefit_Cost_Ratio">'Lists'!$E$161</definedName>
    <definedName name="UtilAccountNumber">'Lists'!$B$25</definedName>
    <definedName name="UtilityIncentivePercent">'Lists'!$B$36</definedName>
    <definedName name="UtilityIncentiveRate">'Lists'!$B$35</definedName>
    <definedName name="yesno">'Lists'!$A$1:$A$2</definedName>
  </definedNames>
  <calcPr calcId="191029"/>
  <extLst/>
</workbook>
</file>

<file path=xl/sharedStrings.xml><?xml version="1.0" encoding="utf-8"?>
<sst xmlns="http://schemas.openxmlformats.org/spreadsheetml/2006/main" count="481" uniqueCount="433">
  <si>
    <t>Estimated Equipment Cost:</t>
  </si>
  <si>
    <t>Estimated Freight:</t>
  </si>
  <si>
    <t>Estimated Installation Cost:</t>
  </si>
  <si>
    <t>Estimated Tax, if applicable:</t>
  </si>
  <si>
    <t>Total Project Cost</t>
  </si>
  <si>
    <t>Working days per year:</t>
  </si>
  <si>
    <t>Hours per day welder is on standby:</t>
  </si>
  <si>
    <t>hours/day</t>
  </si>
  <si>
    <t>days/year</t>
  </si>
  <si>
    <t>Hours per day arc is on:</t>
  </si>
  <si>
    <t>Hours per day welder is switched off:</t>
  </si>
  <si>
    <t>hours/year</t>
  </si>
  <si>
    <t>1)</t>
  </si>
  <si>
    <t>2)</t>
  </si>
  <si>
    <t>3)</t>
  </si>
  <si>
    <t>4)</t>
  </si>
  <si>
    <t>5)</t>
  </si>
  <si>
    <t>6)</t>
  </si>
  <si>
    <t>7)</t>
  </si>
  <si>
    <t>8)</t>
  </si>
  <si>
    <t>9)</t>
  </si>
  <si>
    <t>Annual standby energy, kWh</t>
  </si>
  <si>
    <t>Annual welding energy, kWh</t>
  </si>
  <si>
    <t>Average welding input power, kW</t>
  </si>
  <si>
    <t>Installation Address (Street):</t>
  </si>
  <si>
    <t>Vendor:</t>
  </si>
  <si>
    <t>CUSTOMER DATA</t>
  </si>
  <si>
    <t>WELDER ENERGY SAVINGS CALCULATOR</t>
  </si>
  <si>
    <t>OPERATIONAL  DATA</t>
  </si>
  <si>
    <t>Business operating hours:</t>
  </si>
  <si>
    <t>COST DATA</t>
  </si>
  <si>
    <t>WELDER DATA</t>
  </si>
  <si>
    <t>INCENTIVE CALCULATIONS</t>
  </si>
  <si>
    <t>Based on kWh savings</t>
  </si>
  <si>
    <t xml:space="preserve">EXISTING </t>
  </si>
  <si>
    <t>Welder Make &amp; Model</t>
  </si>
  <si>
    <t>NEW</t>
  </si>
  <si>
    <t>Average standby power, W</t>
  </si>
  <si>
    <r>
      <rPr>
        <b/>
        <sz val="11"/>
        <color theme="1"/>
        <rFont val="Calibri"/>
        <family val="2"/>
        <scheme val="minor"/>
      </rPr>
      <t>Green cells</t>
    </r>
    <r>
      <rPr>
        <sz val="11"/>
        <color theme="1"/>
        <rFont val="Calibri"/>
        <family val="2"/>
        <scheme val="minor"/>
      </rPr>
      <t xml:space="preserve"> are to be filled out by user</t>
    </r>
  </si>
  <si>
    <r>
      <rPr>
        <b/>
        <sz val="11"/>
        <color theme="1"/>
        <rFont val="Calibri"/>
        <family val="2"/>
        <scheme val="minor"/>
      </rPr>
      <t>Grey cells</t>
    </r>
    <r>
      <rPr>
        <sz val="11"/>
        <color theme="1"/>
        <rFont val="Calibri"/>
        <family val="2"/>
        <scheme val="minor"/>
      </rPr>
      <t xml:space="preserve"> are calculated</t>
    </r>
  </si>
  <si>
    <r>
      <t xml:space="preserve">Example: </t>
    </r>
    <r>
      <rPr>
        <i/>
        <sz val="11"/>
        <color theme="1"/>
        <rFont val="Calibri"/>
        <family val="2"/>
        <scheme val="minor"/>
      </rPr>
      <t>Millermatic 252</t>
    </r>
  </si>
  <si>
    <r>
      <t xml:space="preserve">Example: </t>
    </r>
    <r>
      <rPr>
        <i/>
        <sz val="11"/>
        <color theme="1"/>
        <rFont val="Calibri"/>
        <family val="2"/>
        <scheme val="minor"/>
      </rPr>
      <t>Miller Dynasty</t>
    </r>
  </si>
  <si>
    <t>Eligible incentive:</t>
  </si>
  <si>
    <t>Estimated incentive ($0.25*kWH):</t>
  </si>
  <si>
    <t>Lesser of Estimated Incentive or Project Cost</t>
  </si>
  <si>
    <t>Please include invoice with this project form on the INVOICE UPLOAD sheet.</t>
  </si>
  <si>
    <t>ELIGIBILITY QUESTIONS</t>
  </si>
  <si>
    <t>Utility Cap</t>
  </si>
  <si>
    <t>(optional)</t>
  </si>
  <si>
    <t>nckelly@bpa.gov</t>
  </si>
  <si>
    <t xml:space="preserve">Technical contact: </t>
  </si>
  <si>
    <t>Nathan Kelly</t>
  </si>
  <si>
    <t>Fill out "Site Data" tab</t>
  </si>
  <si>
    <t>INSTRUCTIONS</t>
  </si>
  <si>
    <t>NO</t>
  </si>
  <si>
    <t>YES</t>
  </si>
  <si>
    <t>If you have issues, please contact your EER</t>
  </si>
  <si>
    <t>OPERATIONAL DATA</t>
  </si>
  <si>
    <t>Fill out "Operational Data" tab (see "Estimation Guidelines" for assistance)</t>
  </si>
  <si>
    <t>This tab to be hidden in live version!</t>
  </si>
  <si>
    <t>Are the new welders inverter-based?</t>
  </si>
  <si>
    <t>Do the new welders have a rated current greater than 200 Amps?</t>
  </si>
  <si>
    <t>Customer Utility:</t>
  </si>
  <si>
    <t>Site Contact Name:</t>
  </si>
  <si>
    <t>Site Contact Email:</t>
  </si>
  <si>
    <t>Customer Phone Number:</t>
  </si>
  <si>
    <t>Customer Business Name:</t>
  </si>
  <si>
    <t>70% of Project Cost:</t>
  </si>
  <si>
    <t>Installation Date:</t>
  </si>
  <si>
    <t>Are these welders replacing existing equipment?</t>
  </si>
  <si>
    <t>Account_Name</t>
  </si>
  <si>
    <t>Description</t>
  </si>
  <si>
    <t>BES_Number</t>
  </si>
  <si>
    <t>--Select--</t>
  </si>
  <si>
    <t>ALBION</t>
  </si>
  <si>
    <t>City of Albion</t>
  </si>
  <si>
    <t>ASHLAND</t>
  </si>
  <si>
    <t>City of Ashland</t>
  </si>
  <si>
    <t>ASOTIN PUD</t>
  </si>
  <si>
    <t>Public Utility District No. 1 of Asotin County</t>
  </si>
  <si>
    <t>BANDON</t>
  </si>
  <si>
    <t>City of Bandon</t>
  </si>
  <si>
    <t>BANGOR</t>
  </si>
  <si>
    <t>USN Bangor</t>
  </si>
  <si>
    <t>BENTON CO. PUD #1</t>
  </si>
  <si>
    <t>Public Utility District No. 1 of Benton County</t>
  </si>
  <si>
    <t>BENTON REA</t>
  </si>
  <si>
    <t>Benton Rural Electric Association</t>
  </si>
  <si>
    <t>BIG BEND ELECTRIC COOP.</t>
  </si>
  <si>
    <t>Big Bend Electric Cooperative</t>
  </si>
  <si>
    <t>BLACHLY-LANE ELECTRIC COOP</t>
  </si>
  <si>
    <t>Blachly-Lane Electric Cooperative</t>
  </si>
  <si>
    <t>BLAINE</t>
  </si>
  <si>
    <t>City of Blaine</t>
  </si>
  <si>
    <t>BONNERS FERRY</t>
  </si>
  <si>
    <t>City of Bonners Ferry</t>
  </si>
  <si>
    <t>BREMERTON</t>
  </si>
  <si>
    <t>USN Bremerton</t>
  </si>
  <si>
    <t>BURLEY</t>
  </si>
  <si>
    <t>City of Burley</t>
  </si>
  <si>
    <t>CANBY</t>
  </si>
  <si>
    <t>Canby Utility Board</t>
  </si>
  <si>
    <t>CASCADE LOCKS</t>
  </si>
  <si>
    <t>City of Cascade Locks</t>
  </si>
  <si>
    <t>CENTRAL ELECTRIC COOP.</t>
  </si>
  <si>
    <t>Central Electric Cooperative, Inc.</t>
  </si>
  <si>
    <t>CENTRAL LINCOLN PUD</t>
  </si>
  <si>
    <t>Central Lincoln People's Utility District</t>
  </si>
  <si>
    <t>CENTRALIA</t>
  </si>
  <si>
    <t>City of Centralia</t>
  </si>
  <si>
    <t>CHELAN CO. PUD #1</t>
  </si>
  <si>
    <t>Chelan Co. PUD #1</t>
  </si>
  <si>
    <t>CHENEY</t>
  </si>
  <si>
    <t>City of Cheney</t>
  </si>
  <si>
    <t>CHEWELAH</t>
  </si>
  <si>
    <t>City of Chewelah</t>
  </si>
  <si>
    <t>CLALLAM CO. PUD #1</t>
  </si>
  <si>
    <t>Public Utility District No. 1 of Clallam County</t>
  </si>
  <si>
    <t>CLARK CO. PUD #1</t>
  </si>
  <si>
    <t>Clark Public Utilities</t>
  </si>
  <si>
    <t>CLATSKANIE PUD</t>
  </si>
  <si>
    <t>Clatskanie People's Utility District</t>
  </si>
  <si>
    <t>CLEARWATER POWER CO.</t>
  </si>
  <si>
    <t>Clearwater Power Company</t>
  </si>
  <si>
    <t>COLUMBIA BASIN COOP.</t>
  </si>
  <si>
    <t>Columbia Basin Electric Cooperative, Inc.</t>
  </si>
  <si>
    <t>COLUMBIA POWER COOP.</t>
  </si>
  <si>
    <t>Columbia Power Cooperative Association</t>
  </si>
  <si>
    <t>COLUMBIA REA</t>
  </si>
  <si>
    <t>Columbia Rural Electric Association</t>
  </si>
  <si>
    <t>COLUMBIA RIVER PUD</t>
  </si>
  <si>
    <t>Columbia River People's Utility District</t>
  </si>
  <si>
    <t>CONSOLIDATED IRRIGATION DISTRICT #19</t>
  </si>
  <si>
    <t>Consolidated Irrigation District No. 19</t>
  </si>
  <si>
    <t>CONSUMERS POWER, INC.</t>
  </si>
  <si>
    <t>Consumers Power, Inc.</t>
  </si>
  <si>
    <t>COOS-CURRY ELECTRIC COOP.</t>
  </si>
  <si>
    <t>Coos-Curry Electric Cooperative, Inc.</t>
  </si>
  <si>
    <t>COULEE DAM</t>
  </si>
  <si>
    <t>Town of Coulee Dam</t>
  </si>
  <si>
    <t>COWLITZ CO. PUD #1</t>
  </si>
  <si>
    <t>Public Utility District No. 1 of Cowlitz County</t>
  </si>
  <si>
    <t>DECLO</t>
  </si>
  <si>
    <t>City of Declo</t>
  </si>
  <si>
    <t>DOUGLAS CO. PUD #1</t>
  </si>
  <si>
    <t>DOUGLAS ELECTRIC COOP.</t>
  </si>
  <si>
    <t>Douglas Electric Cooperative, Inc.</t>
  </si>
  <si>
    <t>DRAIN</t>
  </si>
  <si>
    <t>City of Drain</t>
  </si>
  <si>
    <t>EAST END</t>
  </si>
  <si>
    <t>East End Mutual Electric Company, LTD</t>
  </si>
  <si>
    <t>EATONVILLE</t>
  </si>
  <si>
    <t>Town of Eatonville</t>
  </si>
  <si>
    <t>ELLENSBURG</t>
  </si>
  <si>
    <t>City of Ellensburg</t>
  </si>
  <si>
    <t>ELMHURST</t>
  </si>
  <si>
    <t>Elmhurst Mutual Power &amp; Light Company</t>
  </si>
  <si>
    <t>EMERALD PUD</t>
  </si>
  <si>
    <t>Emerald People's Utility District</t>
  </si>
  <si>
    <t>ENERGY NORTHWEST</t>
  </si>
  <si>
    <t>Energy Northwest</t>
  </si>
  <si>
    <t>Eugene Water &amp; Electric Board</t>
  </si>
  <si>
    <t>EVERETT</t>
  </si>
  <si>
    <t>USN Everett-Jim Creek</t>
  </si>
  <si>
    <t>FAIRCHILD AIRFORCE BASE</t>
  </si>
  <si>
    <t>Fairchild Air Force Base</t>
  </si>
  <si>
    <t>FALL RIVER RURAL ELECTRIC COOP.</t>
  </si>
  <si>
    <t>Fall River Rural Electric Cooperative, Inc.</t>
  </si>
  <si>
    <t>FARMERS</t>
  </si>
  <si>
    <t>Farmers Electric Company, LTD</t>
  </si>
  <si>
    <t>FERRY CO. PUD #1</t>
  </si>
  <si>
    <t>Public Utility District No. 1 of Ferry County</t>
  </si>
  <si>
    <t>FIRCREST</t>
  </si>
  <si>
    <t>FLATHEAD ELECTRIC COOP.</t>
  </si>
  <si>
    <t>Flathead Electric Cooperative, Inc.</t>
  </si>
  <si>
    <t>FOREST GROVE</t>
  </si>
  <si>
    <t>City of Forest Grove</t>
  </si>
  <si>
    <t>FRANKLIN CO. PUD #1</t>
  </si>
  <si>
    <t>Public Utility District No. 1 of Franklin County</t>
  </si>
  <si>
    <t>GLACIER ELECTRIC COOP.</t>
  </si>
  <si>
    <t>Glacier Electric Cooperative, Inc.</t>
  </si>
  <si>
    <t>GRANT CO. PUD #2</t>
  </si>
  <si>
    <t>Public Utility District No. 2 of Grant County, Washington</t>
  </si>
  <si>
    <t>GRAYS HARBOR CO. PUD #1</t>
  </si>
  <si>
    <t>Public Utility District No. 1 of Grays Harbor County Washington</t>
  </si>
  <si>
    <t>HARNEY ELECTRIC COOP.</t>
  </si>
  <si>
    <t>Harney Electric Cooperative, Inc.</t>
  </si>
  <si>
    <t>HERMISTON ENERGY SERVICES</t>
  </si>
  <si>
    <t>City of Hermiston</t>
  </si>
  <si>
    <t>HEYBURN</t>
  </si>
  <si>
    <t>City of Heyburn</t>
  </si>
  <si>
    <t>HOOD RIVER ELECTRIC COOP.</t>
  </si>
  <si>
    <t>Hood River Electric Cooperative</t>
  </si>
  <si>
    <t>IDAHO CO. L &amp; P COOP.</t>
  </si>
  <si>
    <t>Idaho County Light &amp; Power Cooperative Association, Inc.</t>
  </si>
  <si>
    <t>IDAHO FALLS</t>
  </si>
  <si>
    <t>City of Idaho Falls</t>
  </si>
  <si>
    <t xml:space="preserve">INLAND POWER &amp; LIGHT </t>
  </si>
  <si>
    <t>Inland Power &amp; Light Company</t>
  </si>
  <si>
    <t>JEFFERSON</t>
  </si>
  <si>
    <t>Public Utility District No.1 of Jefferson County</t>
  </si>
  <si>
    <t>KITTITAS CO. PUD #1</t>
  </si>
  <si>
    <t>Public Utility District No. 1 of Kittitas County</t>
  </si>
  <si>
    <t>KLICKITAT CO. PUD #1</t>
  </si>
  <si>
    <t>Public Utility District No. 1 of Klickitat County</t>
  </si>
  <si>
    <t>KOOTENAI ELECTRIC COOP.</t>
  </si>
  <si>
    <t>Kootenai Electric Cooperative, Inc.</t>
  </si>
  <si>
    <t>KALISPEL</t>
  </si>
  <si>
    <t>Kalispel Indian Community of the Kalispel Reservation</t>
  </si>
  <si>
    <t>LAKEVIEW L &amp; P CO.</t>
  </si>
  <si>
    <t>Lakeview Light &amp; Power Company</t>
  </si>
  <si>
    <t>LANE ELECTRIC COOP.</t>
  </si>
  <si>
    <t>Lane Electric Cooperative, Inc.</t>
  </si>
  <si>
    <t>LEWIS CO. PUD #1</t>
  </si>
  <si>
    <t>Public Utility District No. 1 of Lewis County</t>
  </si>
  <si>
    <t>LINCOLN ELECTRIC COOP. MONT</t>
  </si>
  <si>
    <t>Lincoln Electric Cooperative, Inc.</t>
  </si>
  <si>
    <t>LOST RIVER ELECTRIC COOP.</t>
  </si>
  <si>
    <t>Lost River Electric Cooperative, Inc.</t>
  </si>
  <si>
    <t>LOWER VALLEY ENERGY</t>
  </si>
  <si>
    <t>Lower Valley Energy, Inc.</t>
  </si>
  <si>
    <t>MASON CO. PUD #1</t>
  </si>
  <si>
    <t>Public Utility District No. 1 of Mason County</t>
  </si>
  <si>
    <t>MASON CO. PUD #3</t>
  </si>
  <si>
    <t>Public Utility District No. 3 of Mason County</t>
  </si>
  <si>
    <t>MCCLEARY</t>
  </si>
  <si>
    <t>City of McCleary</t>
  </si>
  <si>
    <t>MCMINNVILLE</t>
  </si>
  <si>
    <t>The City of McMinnville</t>
  </si>
  <si>
    <t>MIDSTATE ELECTRIC COOP.</t>
  </si>
  <si>
    <t>Midstate Electric Cooperative, Inc.</t>
  </si>
  <si>
    <t>MILTON</t>
  </si>
  <si>
    <t>City of Milton</t>
  </si>
  <si>
    <t>MILTON-FREEWATER</t>
  </si>
  <si>
    <t>City of Milton-Freewater</t>
  </si>
  <si>
    <t>MINIDOKA</t>
  </si>
  <si>
    <t>City of Minidoka</t>
  </si>
  <si>
    <t>MISSION VALLEY POWER</t>
  </si>
  <si>
    <t>Mission Valley Power</t>
  </si>
  <si>
    <t>MISSOULA ELECTRIC COOP.</t>
  </si>
  <si>
    <t>Missoula Electric Cooperative, Inc.</t>
  </si>
  <si>
    <t>MODERN ELECTRIC WATER</t>
  </si>
  <si>
    <t>Modern Electric Water Company</t>
  </si>
  <si>
    <t>MONMOUTH</t>
  </si>
  <si>
    <t>City of Monmouth</t>
  </si>
  <si>
    <t>NESPELEM VALLEY ELECTRIC</t>
  </si>
  <si>
    <t>Nespelem Valley Electric Cooperative, Inc.</t>
  </si>
  <si>
    <t>NORTHERN LIGHTS, INC.</t>
  </si>
  <si>
    <t>Northern Lights, Inc.</t>
  </si>
  <si>
    <t>NORTHERN WASCO PUD</t>
  </si>
  <si>
    <t>Northern Wasco County People's Utility District</t>
  </si>
  <si>
    <t>OHOP MUTUAL</t>
  </si>
  <si>
    <t>Ohop Mutual Light Company</t>
  </si>
  <si>
    <t>OKANOGAN CO. ELECTRIC COOP.</t>
  </si>
  <si>
    <t>Okanogan County Electric Cooperative, Inc.</t>
  </si>
  <si>
    <t>OKANOGAN CO. PUD #1</t>
  </si>
  <si>
    <t>Okanogan County Public Utility District No. 1</t>
  </si>
  <si>
    <t>ORCAS POWER &amp; LIGHT COOP.</t>
  </si>
  <si>
    <t>Orcas Power &amp; Light Cooperative</t>
  </si>
  <si>
    <t>OREGON TRAIL ELECTRIC COOP.</t>
  </si>
  <si>
    <t>Oregon Trail Electric Consumers Cooperative, Inc.</t>
  </si>
  <si>
    <t>PACIFIC CO. PUD #2</t>
  </si>
  <si>
    <t>Public Utility District No. 2 of Pacific County</t>
  </si>
  <si>
    <t>PARKLAND P &amp; L</t>
  </si>
  <si>
    <t>Parkland Light &amp; Water Company</t>
  </si>
  <si>
    <t>PEND OREILLE CO. PUD #1</t>
  </si>
  <si>
    <t>Pend Oreille County PUD No. 1</t>
  </si>
  <si>
    <t>PENINSULA POWER &amp; LIGHT INC.</t>
  </si>
  <si>
    <t>Peninsula Light Company</t>
  </si>
  <si>
    <t>PLUMMER</t>
  </si>
  <si>
    <t>City of Plummer</t>
  </si>
  <si>
    <t>PNGC</t>
  </si>
  <si>
    <t>Pacific Northwest Generating Cooperative</t>
  </si>
  <si>
    <t>PORT ANGELES</t>
  </si>
  <si>
    <t>City of Port Angeles</t>
  </si>
  <si>
    <t>PORT OF SEATTLE</t>
  </si>
  <si>
    <t>Port of Seattle - Seattle-Tacoma International Airport</t>
  </si>
  <si>
    <t>RAFT RIVER ELECTRIC COOP.</t>
  </si>
  <si>
    <t>Raft River Rural Electric Cooperative, Inc.</t>
  </si>
  <si>
    <t>RAVALLI ELECTRIC COOP.</t>
  </si>
  <si>
    <t>Ravalli County Electric Cooperative, Inc.</t>
  </si>
  <si>
    <t>RICHLAND</t>
  </si>
  <si>
    <t>City of Richland, Washington</t>
  </si>
  <si>
    <t>RIVERSIDE</t>
  </si>
  <si>
    <t>Riverside Electric Company, LTD</t>
  </si>
  <si>
    <t>RUPERT</t>
  </si>
  <si>
    <t>City of Rupert</t>
  </si>
  <si>
    <t>SALEM ELECTRIC</t>
  </si>
  <si>
    <t>Salem Electric</t>
  </si>
  <si>
    <t>SALMON RIVER ELECTRIC COOP.</t>
  </si>
  <si>
    <t>Salmon River Electric Cooperative, Inc.</t>
  </si>
  <si>
    <t>SEATTLE</t>
  </si>
  <si>
    <t>City of Seattle, City Light Dept</t>
  </si>
  <si>
    <t>SKAMANIA CO. PUD #1</t>
  </si>
  <si>
    <t>Public Utility District #1 of Skamania County</t>
  </si>
  <si>
    <t>SNOHOMISH CO. PUD #1</t>
  </si>
  <si>
    <t>Public Utility District No. 1 Of Snohomish County</t>
  </si>
  <si>
    <t>SODA SPRINGS</t>
  </si>
  <si>
    <t>City of Soda Springs</t>
  </si>
  <si>
    <t>SOUTH SIDE ELECTRIC</t>
  </si>
  <si>
    <t>South Side Electric, Inc.</t>
  </si>
  <si>
    <t>SPRINGFIELD</t>
  </si>
  <si>
    <t>Springfield Utility Board</t>
  </si>
  <si>
    <t>STEILACOOM</t>
  </si>
  <si>
    <t>Town of Steilacoom</t>
  </si>
  <si>
    <t>SUMAS</t>
  </si>
  <si>
    <t>City of Sumas</t>
  </si>
  <si>
    <t>SURPRISE VALLEY ELECTRIC CORP.</t>
  </si>
  <si>
    <t>Surprise Valley Electrification Corporation</t>
  </si>
  <si>
    <t>TACOMA POWER</t>
  </si>
  <si>
    <t>Tacoma Power</t>
  </si>
  <si>
    <t>TANNER ELECTRIC</t>
  </si>
  <si>
    <t>Tanner Electric Cooperative</t>
  </si>
  <si>
    <t>TILLAMOOK PUD</t>
  </si>
  <si>
    <t>Tillamook People's Utility District</t>
  </si>
  <si>
    <t>TROY</t>
  </si>
  <si>
    <t>City of Troy</t>
  </si>
  <si>
    <t>UMATILLA ELECTRIC COOP.</t>
  </si>
  <si>
    <t>Umatilla Electric Cooperative</t>
  </si>
  <si>
    <t>UMPQUA INDIAN UTILITY COOP</t>
  </si>
  <si>
    <t>Umpqua Indian Utility Cooperative</t>
  </si>
  <si>
    <t>UNITED ELECTRIC COOPERATIVE, INC.</t>
  </si>
  <si>
    <t>United Electric Co-op, Inc.</t>
  </si>
  <si>
    <t>US BIA WAPATO</t>
  </si>
  <si>
    <t>US BIA - Wapato</t>
  </si>
  <si>
    <t>US DOE NATIONAL TECHNOLOGY LAB</t>
  </si>
  <si>
    <t>US DOE Natl Energy Technology Lab</t>
  </si>
  <si>
    <t>US DOE RICHLAND</t>
  </si>
  <si>
    <t>US Department of Energy - Richland Operations Office</t>
  </si>
  <si>
    <t>VERA WATER &amp; POWER</t>
  </si>
  <si>
    <t>Vera Water &amp; Power</t>
  </si>
  <si>
    <t>VIGILANTE ELECTRIC COOP.</t>
  </si>
  <si>
    <t>Vigilante Electric Cooperative, Inc.</t>
  </si>
  <si>
    <t>WAHKIAKUM CO. PUD #1</t>
  </si>
  <si>
    <t>Public Utility District No. 1 of Wahkiakum County</t>
  </si>
  <si>
    <t>WASCO ELECTRIC COOP.</t>
  </si>
  <si>
    <t>Wasco Electric Cooperative, Inc.</t>
  </si>
  <si>
    <t>WEISER</t>
  </si>
  <si>
    <t>City of Weiser</t>
  </si>
  <si>
    <t>WELLS RURAL ELECTRIC</t>
  </si>
  <si>
    <t>Wells Rural Electric Company</t>
  </si>
  <si>
    <t>WEST OREGON ELECTRIC COOP.</t>
  </si>
  <si>
    <t>West Oregon Electric Cooperative, Inc.</t>
  </si>
  <si>
    <t>WHATCOM</t>
  </si>
  <si>
    <t>Public Utility District No 1 of Whatcom County</t>
  </si>
  <si>
    <t>YAKAMA POWER</t>
  </si>
  <si>
    <t>Yakama Power</t>
  </si>
  <si>
    <t>Tool Name</t>
  </si>
  <si>
    <t>ASSEMBLY AREA FOR FIELDS TO BE COPIED TO EE CENTRAL UPLOAD FILE</t>
  </si>
  <si>
    <t>BPA per kWh incentive</t>
  </si>
  <si>
    <t>BPA Cost Cap Percentage</t>
  </si>
  <si>
    <t>CalculatorType</t>
  </si>
  <si>
    <t>Sector</t>
  </si>
  <si>
    <t>Version</t>
  </si>
  <si>
    <t>ML</t>
  </si>
  <si>
    <t>projcost</t>
  </si>
  <si>
    <t>busbr sav</t>
  </si>
  <si>
    <t>totcred</t>
  </si>
  <si>
    <t>bc ratio</t>
  </si>
  <si>
    <t>bldgtype</t>
  </si>
  <si>
    <t>bldg</t>
  </si>
  <si>
    <t>acctno</t>
  </si>
  <si>
    <t>zip</t>
  </si>
  <si>
    <t>facility</t>
  </si>
  <si>
    <t>state</t>
  </si>
  <si>
    <t>projname</t>
  </si>
  <si>
    <t>street</t>
  </si>
  <si>
    <t>city</t>
  </si>
  <si>
    <t>Technical Review</t>
  </si>
  <si>
    <t>Technical Review Date</t>
  </si>
  <si>
    <t>List of Fields used for uploading calculator to EE Central</t>
  </si>
  <si>
    <t>Retrofit</t>
  </si>
  <si>
    <t>Industrial</t>
  </si>
  <si>
    <t>Commercial</t>
  </si>
  <si>
    <t>Ag</t>
  </si>
  <si>
    <t xml:space="preserve">Fields as in </t>
  </si>
  <si>
    <t>Explanation</t>
  </si>
  <si>
    <t>the Excel upload tab</t>
  </si>
  <si>
    <t>-------------------------</t>
  </si>
  <si>
    <t>Calculator Type</t>
  </si>
  <si>
    <t>Current Version of the calculator</t>
  </si>
  <si>
    <t>Measure Life</t>
  </si>
  <si>
    <t>Project Cost</t>
  </si>
  <si>
    <t>Annual Busbar Energy Savings (kWh)</t>
  </si>
  <si>
    <t>Total BPA Credit/ Reimbursement ($)</t>
  </si>
  <si>
    <t>9</t>
  </si>
  <si>
    <t>Project Benefit/Cost Ratio</t>
  </si>
  <si>
    <t>10</t>
  </si>
  <si>
    <t>-----Can leave blank</t>
  </si>
  <si>
    <t>11</t>
  </si>
  <si>
    <t>-----can leave blank</t>
  </si>
  <si>
    <t>12</t>
  </si>
  <si>
    <t>Account No (Electric Utility Account Number)</t>
  </si>
  <si>
    <t>13</t>
  </si>
  <si>
    <t>Site Zip</t>
  </si>
  <si>
    <t>14</t>
  </si>
  <si>
    <t>Company Name</t>
  </si>
  <si>
    <t>15</t>
  </si>
  <si>
    <t>Site State</t>
  </si>
  <si>
    <t>17</t>
  </si>
  <si>
    <t>Project name</t>
  </si>
  <si>
    <t>Site Address</t>
  </si>
  <si>
    <t>Site City</t>
  </si>
  <si>
    <t>Name of technical reviewer (hard-coded)</t>
  </si>
  <si>
    <t>Technical review date</t>
  </si>
  <si>
    <t>Date of technical review (hard-coded)</t>
  </si>
  <si>
    <t>Busbar factor</t>
  </si>
  <si>
    <t>PV_kWh</t>
  </si>
  <si>
    <t>PV_Energy_Savings</t>
  </si>
  <si>
    <t>City:</t>
  </si>
  <si>
    <t>State:</t>
  </si>
  <si>
    <t>Zip:</t>
  </si>
  <si>
    <t>Battery Charger Calculator</t>
  </si>
  <si>
    <t>Total Annual Site Energy Savings:</t>
  </si>
  <si>
    <t>Total Annual Busbar Energy Savings:</t>
  </si>
  <si>
    <t>kWh/yr</t>
  </si>
  <si>
    <t>Rated Output, A</t>
  </si>
  <si>
    <t>Busbar Factor</t>
  </si>
  <si>
    <t>Sector:</t>
  </si>
  <si>
    <t>IPLPL30142</t>
  </si>
  <si>
    <t>EWEB</t>
  </si>
  <si>
    <t>Total hours per day (must match line 3):</t>
  </si>
  <si>
    <t>v 1.1</t>
  </si>
  <si>
    <r>
      <rPr>
        <b/>
        <sz val="11"/>
        <color theme="1"/>
        <rFont val="Calibri"/>
        <family val="2"/>
        <scheme val="minor"/>
      </rPr>
      <t xml:space="preserve">Notice: </t>
    </r>
    <r>
      <rPr>
        <sz val="11"/>
        <color theme="1"/>
        <rFont val="Calibri"/>
        <family val="2"/>
        <scheme val="minor"/>
      </rPr>
      <t xml:space="preserve">BPA expired this measure on September 30, 2023.
Any projects submitted for invoicing and reporting must have a </t>
    </r>
    <r>
      <rPr>
        <b/>
        <sz val="11"/>
        <color theme="1"/>
        <rFont val="Calibri"/>
        <family val="2"/>
        <scheme val="minor"/>
      </rPr>
      <t>Completion Date</t>
    </r>
    <r>
      <rPr>
        <sz val="11"/>
        <color theme="1"/>
        <rFont val="Calibri"/>
        <family val="2"/>
        <scheme val="minor"/>
      </rPr>
      <t xml:space="preserve"> on or before September 30, 2023.</t>
    </r>
  </si>
  <si>
    <t>Upload calculator and invoice(s) to BEETS</t>
  </si>
  <si>
    <t>Enter results into UES Measure Upload Template and upload template to BEETS.</t>
  </si>
  <si>
    <t>ENTER THE FOLLOWING VALUES IN THE UES MEASURE UPLOAD TEMPLATE:</t>
  </si>
  <si>
    <t>Reference Number (Column D):</t>
  </si>
  <si>
    <t>Calculator Savings per Unit (Column V):</t>
  </si>
  <si>
    <t>Calculator Reimbursement (Column W):</t>
  </si>
  <si>
    <t>Calculator Project Cost (Column X):</t>
  </si>
  <si>
    <t>Calculator BC Ratio (Column Y):</t>
  </si>
  <si>
    <t>Quantity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</si>
</sst>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Red]\-#,##0"/>
    <numFmt numFmtId="165" formatCode="#,##0.0;[Red]\-#,##0.0"/>
    <numFmt numFmtId="166" formatCode="_(&quot;$&quot;* #,##0.00;[Red]_(&quot;$&quot;* \-#,##0.00"/>
    <numFmt numFmtId="167" formatCode="_(* #,##0_);_(* \(#,##0\);_(* &quot;-&quot;??_);_(@_)"/>
  </numFmts>
  <fonts count="25">
    <font>
      <sz val="11"/>
      <color theme="1"/>
      <name val="Calibri"/>
      <family val="2"/>
      <scheme val="minor"/>
    </font>
    <font>
      <sz val="10"/>
      <name val="Arial"/>
      <family val="2"/>
    </font>
    <font>
      <b/>
      <sz val="11"/>
      <color theme="1"/>
      <name val="Calibri"/>
      <family val="2"/>
      <scheme val="minor"/>
    </font>
    <font>
      <sz val="10"/>
      <color theme="1"/>
      <name val="Arial"/>
      <family val="2"/>
    </font>
    <font>
      <b/>
      <sz val="11"/>
      <color theme="0"/>
      <name val="Calibri"/>
      <family val="2"/>
      <scheme val="minor"/>
    </font>
    <font>
      <b/>
      <sz val="18"/>
      <color theme="1"/>
      <name val="Calibri"/>
      <family val="2"/>
      <scheme val="minor"/>
    </font>
    <font>
      <b/>
      <sz val="12"/>
      <color theme="1"/>
      <name val="Calibri"/>
      <family val="2"/>
      <scheme val="minor"/>
    </font>
    <font>
      <i/>
      <sz val="11"/>
      <color theme="1"/>
      <name val="Calibri"/>
      <family val="2"/>
      <scheme val="minor"/>
    </font>
    <font>
      <sz val="11"/>
      <color rgb="FF000000"/>
      <name val="Arial"/>
      <family val="2"/>
    </font>
    <font>
      <b/>
      <sz val="10"/>
      <color theme="1"/>
      <name val="Arial"/>
      <family val="2"/>
    </font>
    <font>
      <u val="single"/>
      <sz val="11"/>
      <color theme="10"/>
      <name val="Calibri"/>
      <family val="2"/>
      <scheme val="minor"/>
    </font>
    <font>
      <b/>
      <i/>
      <sz val="11"/>
      <color theme="1"/>
      <name val="Calibri"/>
      <family val="2"/>
      <scheme val="minor"/>
    </font>
    <font>
      <b/>
      <sz val="12"/>
      <color indexed="9"/>
      <name val="Arial"/>
      <family val="2"/>
    </font>
    <font>
      <sz val="10"/>
      <color indexed="8"/>
      <name val="Arial"/>
      <family val="2"/>
    </font>
    <font>
      <b/>
      <sz val="14"/>
      <name val="Arial"/>
      <family val="2"/>
    </font>
    <font>
      <b/>
      <sz val="10"/>
      <name val="Arial"/>
      <family val="2"/>
    </font>
    <font>
      <sz val="12"/>
      <name val="Times New Roman"/>
      <family val="1"/>
    </font>
    <font>
      <b/>
      <sz val="10"/>
      <name val="Times New Roman"/>
      <family val="1"/>
    </font>
    <font>
      <sz val="10"/>
      <name val="Times New Roman"/>
      <family val="1"/>
    </font>
    <font>
      <b/>
      <sz val="11"/>
      <color indexed="12"/>
      <name val="Arial"/>
      <family val="2"/>
    </font>
    <font>
      <b/>
      <sz val="12"/>
      <color indexed="12"/>
      <name val="Arial"/>
      <family val="2"/>
    </font>
    <font>
      <b/>
      <sz val="14"/>
      <color theme="0"/>
      <name val="Calibri"/>
      <family val="2"/>
      <scheme val="minor"/>
    </font>
    <font>
      <b/>
      <sz val="11"/>
      <color theme="1"/>
      <name val="+mn-cs"/>
      <family val="2"/>
    </font>
    <font>
      <sz val="11"/>
      <color theme="1"/>
      <name val="+mn-cs"/>
      <family val="2"/>
    </font>
    <font>
      <b/>
      <sz val="11"/>
      <color theme="1"/>
      <name val="Calibri"/>
      <family val="2"/>
    </font>
  </fonts>
  <fills count="12">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rgb="FF99FF99"/>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3"/>
        <bgColor indexed="64"/>
      </patternFill>
    </fill>
    <fill>
      <patternFill patternType="solid">
        <fgColor indexed="42"/>
        <bgColor indexed="64"/>
      </patternFill>
    </fill>
    <fill>
      <patternFill patternType="solid">
        <fgColor indexed="13"/>
        <bgColor indexed="64"/>
      </patternFill>
    </fill>
    <fill>
      <patternFill patternType="solid">
        <fgColor theme="4" tint="0.7999799847602844"/>
        <bgColor indexed="64"/>
      </patternFill>
    </fill>
  </fills>
  <borders count="21">
    <border>
      <left/>
      <right/>
      <top/>
      <bottom/>
      <diagonal/>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thin"/>
      <top/>
      <bottom style="medium"/>
    </border>
    <border>
      <left/>
      <right style="medium"/>
      <top/>
      <bottom style="medium"/>
    </border>
    <border>
      <left style="medium"/>
      <right style="medium"/>
      <top style="medium"/>
      <bottom style="medium"/>
    </border>
    <border>
      <left/>
      <right style="thin"/>
      <top/>
      <botto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0" fontId="1" fillId="0" borderId="0">
      <alignment/>
      <protection/>
    </xf>
    <xf numFmtId="0" fontId="10" fillId="0" borderId="0" applyNumberFormat="0" applyFill="0" applyBorder="0" applyAlignment="0" applyProtection="0"/>
    <xf numFmtId="0" fontId="16" fillId="0" borderId="0">
      <alignment/>
      <protection/>
    </xf>
  </cellStyleXfs>
  <cellXfs count="93">
    <xf numFmtId="0" fontId="0" fillId="0" borderId="0" xfId="0"/>
    <xf numFmtId="0" fontId="3" fillId="0" borderId="0" xfId="20">
      <alignment/>
      <protection/>
    </xf>
    <xf numFmtId="164" fontId="3" fillId="0" borderId="0" xfId="20" applyNumberFormat="1">
      <alignment/>
      <protection/>
    </xf>
    <xf numFmtId="0" fontId="0" fillId="0" borderId="0" xfId="0" applyAlignment="1">
      <alignment horizontal="right"/>
    </xf>
    <xf numFmtId="0" fontId="0" fillId="4" borderId="0" xfId="0" applyFill="1"/>
    <xf numFmtId="0" fontId="2" fillId="0" borderId="0" xfId="0" applyFont="1" applyAlignment="1">
      <alignment horizontal="right"/>
    </xf>
    <xf numFmtId="0" fontId="4" fillId="5" borderId="0" xfId="0" applyFont="1" applyFill="1" applyAlignment="1">
      <alignment horizontal="left"/>
    </xf>
    <xf numFmtId="0" fontId="0" fillId="5" borderId="0" xfId="0" applyFill="1"/>
    <xf numFmtId="0" fontId="0" fillId="5" borderId="0" xfId="0" applyFill="1" applyAlignment="1">
      <alignment horizontal="center"/>
    </xf>
    <xf numFmtId="0" fontId="5" fillId="0" borderId="0" xfId="0" applyFont="1"/>
    <xf numFmtId="0" fontId="6" fillId="0" borderId="0" xfId="0" applyFont="1"/>
    <xf numFmtId="0" fontId="2" fillId="0" borderId="0" xfId="0" applyFont="1"/>
    <xf numFmtId="165" fontId="0" fillId="6" borderId="0" xfId="0" applyNumberFormat="1" applyFill="1"/>
    <xf numFmtId="0" fontId="2" fillId="0" borderId="0" xfId="0" applyFont="1" applyAlignment="1">
      <alignment horizontal="left"/>
    </xf>
    <xf numFmtId="164" fontId="0" fillId="6" borderId="1" xfId="0" applyNumberFormat="1" applyFill="1" applyBorder="1"/>
    <xf numFmtId="165" fontId="0" fillId="6" borderId="1" xfId="0" applyNumberFormat="1" applyFill="1" applyBorder="1"/>
    <xf numFmtId="0" fontId="2" fillId="0" borderId="1" xfId="0" applyFont="1" applyBorder="1" applyAlignment="1">
      <alignment vertical="top"/>
    </xf>
    <xf numFmtId="0" fontId="2" fillId="0" borderId="1" xfId="0" applyFont="1" applyBorder="1" applyAlignment="1">
      <alignment horizontal="center" vertical="top" wrapText="1"/>
    </xf>
    <xf numFmtId="0" fontId="6" fillId="0" borderId="1" xfId="0" applyFont="1" applyBorder="1"/>
    <xf numFmtId="0" fontId="8" fillId="0" borderId="0" xfId="0" applyFont="1" applyAlignment="1">
      <alignment vertical="center"/>
    </xf>
    <xf numFmtId="164" fontId="2" fillId="6" borderId="1" xfId="0" applyNumberFormat="1" applyFont="1" applyFill="1" applyBorder="1"/>
    <xf numFmtId="165" fontId="2" fillId="6" borderId="1" xfId="0" applyNumberFormat="1" applyFont="1" applyFill="1" applyBorder="1"/>
    <xf numFmtId="0" fontId="2" fillId="6" borderId="1" xfId="0" applyFont="1" applyFill="1" applyBorder="1"/>
    <xf numFmtId="164" fontId="2" fillId="6" borderId="1" xfId="20" applyNumberFormat="1" applyFont="1" applyFill="1" applyBorder="1">
      <alignment/>
      <protection/>
    </xf>
    <xf numFmtId="166" fontId="2" fillId="6" borderId="1" xfId="0" applyNumberFormat="1" applyFont="1" applyFill="1" applyBorder="1"/>
    <xf numFmtId="164" fontId="9" fillId="6" borderId="1" xfId="20" applyNumberFormat="1" applyFont="1" applyFill="1" applyBorder="1">
      <alignment/>
      <protection/>
    </xf>
    <xf numFmtId="166" fontId="2" fillId="7" borderId="2" xfId="0" applyNumberFormat="1" applyFont="1" applyFill="1" applyBorder="1"/>
    <xf numFmtId="0" fontId="10" fillId="0" borderId="0" xfId="49"/>
    <xf numFmtId="0" fontId="0" fillId="7" borderId="0" xfId="0" applyFill="1"/>
    <xf numFmtId="0" fontId="2" fillId="0" borderId="0" xfId="0" applyFont="1" applyAlignment="1">
      <alignment wrapText="1"/>
    </xf>
    <xf numFmtId="0" fontId="11" fillId="0" borderId="0" xfId="0" applyFont="1"/>
    <xf numFmtId="0" fontId="12" fillId="8" borderId="0" xfId="0" applyFont="1" applyFill="1" applyAlignment="1">
      <alignment horizontal="center" wrapText="1"/>
    </xf>
    <xf numFmtId="0" fontId="0" fillId="0" borderId="0" xfId="0" quotePrefix="1"/>
    <xf numFmtId="0" fontId="13" fillId="0" borderId="3" xfId="0" applyFont="1" applyBorder="1" applyAlignment="1">
      <alignment horizontal="right" wrapText="1"/>
    </xf>
    <xf numFmtId="0" fontId="0" fillId="0" borderId="3" xfId="0" applyBorder="1"/>
    <xf numFmtId="0" fontId="13" fillId="0" borderId="0" xfId="0" applyFont="1" applyAlignment="1">
      <alignment horizontal="right" wrapText="1"/>
    </xf>
    <xf numFmtId="1" fontId="1" fillId="0" borderId="0" xfId="0" applyNumberFormat="1" applyFont="1" applyAlignment="1">
      <alignment horizontal="left"/>
    </xf>
    <xf numFmtId="0" fontId="14" fillId="0" borderId="4" xfId="0" applyFont="1" applyBorder="1" applyProtection="1">
      <protection locked="0"/>
    </xf>
    <xf numFmtId="0" fontId="0" fillId="0" borderId="0" xfId="0" applyProtection="1">
      <protection locked="0"/>
    </xf>
    <xf numFmtId="0" fontId="15" fillId="0" borderId="0" xfId="0" applyFont="1" applyProtection="1">
      <protection locked="0"/>
    </xf>
    <xf numFmtId="8" fontId="1" fillId="0" borderId="0" xfId="0" applyNumberFormat="1" applyFont="1" applyProtection="1">
      <protection locked="0"/>
    </xf>
    <xf numFmtId="0" fontId="1" fillId="0" borderId="0" xfId="0" applyFont="1" applyProtection="1">
      <protection locked="0"/>
    </xf>
    <xf numFmtId="9" fontId="1" fillId="0" borderId="0" xfId="0" applyNumberFormat="1" applyFont="1" applyProtection="1">
      <protection locked="0"/>
    </xf>
    <xf numFmtId="0" fontId="17" fillId="9" borderId="5" xfId="50" applyFont="1" applyFill="1" applyBorder="1">
      <alignment/>
      <protection/>
    </xf>
    <xf numFmtId="0" fontId="17" fillId="9" borderId="6" xfId="50" applyFont="1" applyFill="1" applyBorder="1">
      <alignment/>
      <protection/>
    </xf>
    <xf numFmtId="4" fontId="17" fillId="9" borderId="6" xfId="50" applyNumberFormat="1" applyFont="1" applyFill="1" applyBorder="1">
      <alignment/>
      <protection/>
    </xf>
    <xf numFmtId="0" fontId="17" fillId="9" borderId="7" xfId="50" applyFont="1" applyFill="1" applyBorder="1">
      <alignment/>
      <protection/>
    </xf>
    <xf numFmtId="0" fontId="18" fillId="0" borderId="0" xfId="0" applyFont="1"/>
    <xf numFmtId="0" fontId="1" fillId="9" borderId="8" xfId="0" applyFont="1" applyFill="1" applyBorder="1" applyProtection="1">
      <protection locked="0"/>
    </xf>
    <xf numFmtId="0" fontId="1" fillId="9" borderId="9" xfId="0" applyFont="1" applyFill="1" applyBorder="1" applyProtection="1">
      <protection locked="0"/>
    </xf>
    <xf numFmtId="167" fontId="1" fillId="9" borderId="9" xfId="18" applyNumberFormat="1" applyFont="1" applyFill="1" applyBorder="1" applyProtection="1">
      <protection locked="0"/>
    </xf>
    <xf numFmtId="14" fontId="1" fillId="9" borderId="9" xfId="0" applyNumberFormat="1" applyFont="1" applyFill="1" applyBorder="1" applyProtection="1">
      <protection locked="0"/>
    </xf>
    <xf numFmtId="0" fontId="19" fillId="10" borderId="10" xfId="0" applyFont="1" applyFill="1" applyBorder="1" applyProtection="1">
      <protection locked="0"/>
    </xf>
    <xf numFmtId="14" fontId="20" fillId="10" borderId="11" xfId="0" applyNumberFormat="1" applyFont="1" applyFill="1" applyBorder="1" applyProtection="1">
      <protection locked="0"/>
    </xf>
    <xf numFmtId="0" fontId="16" fillId="0" borderId="0" xfId="0" applyFont="1"/>
    <xf numFmtId="0" fontId="17" fillId="0" borderId="0" xfId="0" applyFont="1"/>
    <xf numFmtId="0" fontId="1" fillId="0" borderId="0" xfId="0" applyFont="1"/>
    <xf numFmtId="0" fontId="18" fillId="0" borderId="0" xfId="0" applyFont="1" applyAlignment="1">
      <alignment horizontal="right"/>
    </xf>
    <xf numFmtId="43" fontId="1" fillId="10" borderId="12" xfId="18" applyFont="1" applyFill="1" applyBorder="1"/>
    <xf numFmtId="43" fontId="0" fillId="0" borderId="0" xfId="0" applyNumberFormat="1"/>
    <xf numFmtId="0" fontId="2" fillId="0" borderId="1" xfId="0" applyFont="1" applyBorder="1" applyAlignment="1">
      <alignment horizontal="center" vertical="top"/>
    </xf>
    <xf numFmtId="164" fontId="2" fillId="6" borderId="12" xfId="0" applyNumberFormat="1" applyFont="1" applyFill="1" applyBorder="1"/>
    <xf numFmtId="166" fontId="2" fillId="6" borderId="12" xfId="0" applyNumberFormat="1" applyFont="1" applyFill="1" applyBorder="1"/>
    <xf numFmtId="0" fontId="0" fillId="5" borderId="1" xfId="0" applyFill="1" applyBorder="1"/>
    <xf numFmtId="0" fontId="7" fillId="5" borderId="1" xfId="0" applyFont="1" applyFill="1" applyBorder="1"/>
    <xf numFmtId="165" fontId="7" fillId="5" borderId="1" xfId="0" applyNumberFormat="1" applyFont="1" applyFill="1" applyBorder="1"/>
    <xf numFmtId="164" fontId="7" fillId="5" borderId="1" xfId="0" applyNumberFormat="1" applyFont="1" applyFill="1" applyBorder="1"/>
    <xf numFmtId="0" fontId="21" fillId="5" borderId="0" xfId="0" applyFont="1" applyFill="1" applyAlignment="1">
      <alignment horizontal="left"/>
    </xf>
    <xf numFmtId="0" fontId="6" fillId="11" borderId="1" xfId="0" applyFont="1" applyFill="1" applyBorder="1" applyAlignment="1">
      <alignment horizontal="right"/>
    </xf>
    <xf numFmtId="0" fontId="6" fillId="11" borderId="1" xfId="0" applyFont="1" applyFill="1" applyBorder="1" applyAlignment="1">
      <alignment horizontal="center"/>
    </xf>
    <xf numFmtId="3" fontId="6" fillId="11" borderId="1" xfId="0" applyNumberFormat="1" applyFont="1" applyFill="1" applyBorder="1" applyAlignment="1">
      <alignment horizontal="right"/>
    </xf>
    <xf numFmtId="44" fontId="6" fillId="11" borderId="1" xfId="0" applyNumberFormat="1" applyFont="1" applyFill="1" applyBorder="1"/>
    <xf numFmtId="0" fontId="0" fillId="4" borderId="1" xfId="0" applyFill="1" applyBorder="1" applyProtection="1">
      <protection locked="0"/>
    </xf>
    <xf numFmtId="166" fontId="0" fillId="4" borderId="1" xfId="0" applyNumberFormat="1" applyFill="1" applyBorder="1" applyProtection="1">
      <protection locked="0"/>
    </xf>
    <xf numFmtId="166" fontId="2" fillId="4" borderId="12" xfId="0" applyNumberFormat="1" applyFont="1" applyFill="1" applyBorder="1" applyProtection="1">
      <protection locked="0"/>
    </xf>
    <xf numFmtId="165" fontId="0" fillId="4" borderId="1" xfId="0" applyNumberFormat="1" applyFill="1" applyBorder="1" applyProtection="1">
      <protection locked="0"/>
    </xf>
    <xf numFmtId="0" fontId="6" fillId="11" borderId="1" xfId="0" applyFont="1" applyFill="1" applyBorder="1"/>
    <xf numFmtId="0" fontId="0" fillId="0" borderId="0" xfId="0" applyAlignment="1">
      <alignment vertical="center"/>
    </xf>
    <xf numFmtId="0" fontId="0" fillId="4" borderId="1" xfId="0" applyFill="1" applyBorder="1" applyAlignment="1" applyProtection="1">
      <alignment horizontal="center"/>
      <protection locked="0"/>
    </xf>
    <xf numFmtId="0" fontId="2" fillId="0" borderId="0" xfId="0" applyFont="1" applyAlignment="1">
      <alignment wrapText="1"/>
    </xf>
    <xf numFmtId="0" fontId="2" fillId="0" borderId="13" xfId="0" applyFont="1" applyBorder="1" applyAlignment="1">
      <alignment wrapText="1"/>
    </xf>
    <xf numFmtId="0" fontId="2" fillId="0" borderId="0" xfId="0" applyFont="1"/>
    <xf numFmtId="0" fontId="2" fillId="0" borderId="13" xfId="0" applyFont="1" applyBorder="1"/>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 xfId="0" applyBorder="1" applyAlignment="1">
      <alignment horizontal="left"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left" wrapText="1"/>
    </xf>
    <xf numFmtId="0" fontId="0" fillId="4" borderId="1"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0" fillId="4" borderId="20" xfId="0" applyFill="1" applyBorder="1" applyAlignment="1" applyProtection="1">
      <alignment horizontal="left"/>
      <protection locked="0"/>
    </xf>
  </cellXfs>
  <cellStyles count="37">
    <cellStyle name="Normal" xfId="0"/>
    <cellStyle name="Percent" xfId="15"/>
    <cellStyle name="Currency" xfId="16"/>
    <cellStyle name="Currency [0]" xfId="17"/>
    <cellStyle name="Comma" xfId="18"/>
    <cellStyle name="Comma [0]" xfId="19"/>
    <cellStyle name="Normal 9" xfId="20"/>
    <cellStyle name="Normal 8" xfId="21"/>
    <cellStyle name="Normal 2 2" xfId="22"/>
    <cellStyle name="Comma 2" xfId="23"/>
    <cellStyle name="Comma 2 2" xfId="24"/>
    <cellStyle name="Comma 3" xfId="25"/>
    <cellStyle name="Comma 3 2" xfId="26"/>
    <cellStyle name="Currency 2" xfId="27"/>
    <cellStyle name="Currency 2 2" xfId="28"/>
    <cellStyle name="Currency 3" xfId="29"/>
    <cellStyle name="Currency 3 2" xfId="30"/>
    <cellStyle name="Currency 4" xfId="31"/>
    <cellStyle name="Data Field" xfId="32"/>
    <cellStyle name="Data Name" xfId="33"/>
    <cellStyle name="Normal 2" xfId="34"/>
    <cellStyle name="Normal 2 2 2" xfId="35"/>
    <cellStyle name="Normal 2 2 3" xfId="36"/>
    <cellStyle name="Normal 2 3" xfId="37"/>
    <cellStyle name="Normal 2 3 2" xfId="38"/>
    <cellStyle name="Normal 2 4" xfId="39"/>
    <cellStyle name="Normal 2 5" xfId="40"/>
    <cellStyle name="Normal 3" xfId="41"/>
    <cellStyle name="Normal 3 2" xfId="42"/>
    <cellStyle name="Normal 3 3" xfId="43"/>
    <cellStyle name="Normal 4" xfId="44"/>
    <cellStyle name="Normal 5" xfId="45"/>
    <cellStyle name="Normal 6" xfId="46"/>
    <cellStyle name="Percent 2" xfId="47"/>
    <cellStyle name="Normal 7" xfId="48"/>
    <cellStyle name="Hyperlink" xfId="49"/>
    <cellStyle name="Normal_Sheet1"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19</xdr:row>
      <xdr:rowOff>114300</xdr:rowOff>
    </xdr:to>
    <xdr:sp macro="" textlink="">
      <xdr:nvSpPr>
        <xdr:cNvPr id="2" name="TextBox 1"/>
        <xdr:cNvSpPr txBox="1"/>
      </xdr:nvSpPr>
      <xdr:spPr>
        <a:xfrm>
          <a:off x="0" y="0"/>
          <a:ext cx="6096000" cy="3733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i="0" u="none" strike="noStrike">
              <a:solidFill>
                <a:schemeClr val="dk1"/>
              </a:solidFill>
              <a:effectLst/>
              <a:latin typeface="+mn-lt"/>
              <a:ea typeface="+mn-ea"/>
              <a:cs typeface="+mn-cs"/>
            </a:rPr>
            <a:t>GUIDELINES FOR ESTIMATING</a:t>
          </a:r>
          <a:r>
            <a:rPr lang="en-US" sz="1100" b="1" i="0" u="none" strike="noStrike" baseline="0">
              <a:solidFill>
                <a:schemeClr val="dk1"/>
              </a:solidFill>
              <a:effectLst/>
              <a:latin typeface="+mn-lt"/>
              <a:ea typeface="+mn-ea"/>
              <a:cs typeface="+mn-cs"/>
            </a:rPr>
            <a:t> STANDBY POWER</a:t>
          </a:r>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Standby power for baseline welder power supplies is higher for</a:t>
          </a:r>
          <a:r>
            <a:rPr lang="en-US" sz="1100" b="0" i="0" u="none" strike="noStrike" baseline="0">
              <a:solidFill>
                <a:schemeClr val="dk1"/>
              </a:solidFill>
              <a:effectLst/>
              <a:latin typeface="+mn-lt"/>
              <a:ea typeface="+mn-ea"/>
              <a:cs typeface="+mn-cs"/>
            </a:rPr>
            <a:t> the larger capacity machines </a:t>
          </a:r>
          <a:r>
            <a:rPr lang="en-US" sz="1100" b="0" i="0" u="none" strike="noStrike">
              <a:solidFill>
                <a:schemeClr val="dk1"/>
              </a:solidFill>
              <a:effectLst/>
              <a:latin typeface="+mn-lt"/>
              <a:ea typeface="+mn-ea"/>
              <a:cs typeface="+mn-cs"/>
            </a:rPr>
            <a:t>because transformers and cooling fans are larger.</a:t>
          </a:r>
          <a:r>
            <a:rPr lang="en-US"/>
            <a:t>   Standby power also varies with</a:t>
          </a:r>
          <a:r>
            <a:rPr lang="en-US" baseline="0"/>
            <a:t> the vintage of the machine within the same model number.</a:t>
          </a:r>
        </a:p>
        <a:p>
          <a:endParaRPr lang="en-US" baseline="0"/>
        </a:p>
        <a:p>
          <a:r>
            <a:rPr lang="en-US" b="1" baseline="0"/>
            <a:t>Small  200 to 299 amps</a:t>
          </a:r>
          <a:endParaRPr lang="en-US" b="1"/>
        </a:p>
        <a:p>
          <a:r>
            <a:rPr lang="en-US"/>
            <a:t>Standby power commonly ranges</a:t>
          </a:r>
          <a:r>
            <a:rPr lang="en-US" baseline="0"/>
            <a:t> from 100 watts to 150 watts for single phase machines, with some older 3-phase power supplies exceeding 500 watts.  125 watts is a reasonable average value to use.</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Medium  300 to 399 amps</a:t>
          </a:r>
          <a:endParaRPr lang="en-US" b="1">
            <a:effectLst/>
          </a:endParaRPr>
        </a:p>
        <a:p>
          <a:r>
            <a:rPr lang="en-US" sz="1100">
              <a:solidFill>
                <a:schemeClr val="dk1"/>
              </a:solidFill>
              <a:effectLst/>
              <a:latin typeface="+mn-lt"/>
              <a:ea typeface="+mn-ea"/>
              <a:cs typeface="+mn-cs"/>
            </a:rPr>
            <a:t>Standby power commonly ranges</a:t>
          </a:r>
          <a:r>
            <a:rPr lang="en-US" sz="1100" baseline="0">
              <a:solidFill>
                <a:schemeClr val="dk1"/>
              </a:solidFill>
              <a:effectLst/>
              <a:latin typeface="+mn-lt"/>
              <a:ea typeface="+mn-ea"/>
              <a:cs typeface="+mn-cs"/>
            </a:rPr>
            <a:t> from 280 watts to as much as 1,300 watts.  500 watts is a reasonable average estimate.</a:t>
          </a:r>
          <a:endParaRPr lang="en-US">
            <a:effectLst/>
          </a:endParaRPr>
        </a:p>
        <a:p>
          <a:endParaRPr lang="en-US" baseline="0"/>
        </a:p>
        <a:p>
          <a:r>
            <a:rPr lang="en-US" sz="1100" b="1" baseline="0">
              <a:solidFill>
                <a:schemeClr val="dk1"/>
              </a:solidFill>
              <a:effectLst/>
              <a:latin typeface="+mn-lt"/>
              <a:ea typeface="+mn-ea"/>
              <a:cs typeface="+mn-cs"/>
            </a:rPr>
            <a:t>Large  400 to over 700 amps</a:t>
          </a:r>
          <a:endParaRPr lang="en-US" b="1">
            <a:effectLst/>
          </a:endParaRPr>
        </a:p>
        <a:p>
          <a:r>
            <a:rPr lang="en-US" sz="1100">
              <a:solidFill>
                <a:schemeClr val="dk1"/>
              </a:solidFill>
              <a:effectLst/>
              <a:latin typeface="+mn-lt"/>
              <a:ea typeface="+mn-ea"/>
              <a:cs typeface="+mn-cs"/>
            </a:rPr>
            <a:t>Standby power commonly ranges</a:t>
          </a:r>
          <a:r>
            <a:rPr lang="en-US" sz="1100" baseline="0">
              <a:solidFill>
                <a:schemeClr val="dk1"/>
              </a:solidFill>
              <a:effectLst/>
              <a:latin typeface="+mn-lt"/>
              <a:ea typeface="+mn-ea"/>
              <a:cs typeface="+mn-cs"/>
            </a:rPr>
            <a:t> from 600 watts to over 2,500 watts.  900 watts is a reasonable average value to use</a:t>
          </a:r>
        </a:p>
        <a:p>
          <a:endParaRPr lang="en-US" baseline="0"/>
        </a:p>
        <a:p>
          <a:r>
            <a:rPr lang="en-US" baseline="0"/>
            <a:t>Inverter machines typically show very low standby power because the power the fan is automatically shut off shortly after welding, and the power supply draws negligible current.  Average standby wattage for inverter machines is estimated at: Small = 20 W, Medium = 50W, and Large = 100W.</a:t>
          </a:r>
        </a:p>
        <a:p>
          <a:r>
            <a:rPr lang="en-US" baseline="0"/>
            <a:t>  </a:t>
          </a:r>
          <a:endParaRPr lang="en-US" sz="1100"/>
        </a:p>
      </xdr:txBody>
    </xdr:sp>
    <xdr:clientData/>
  </xdr:twoCellAnchor>
  <xdr:twoCellAnchor>
    <xdr:from>
      <xdr:col>0</xdr:col>
      <xdr:colOff>0</xdr:colOff>
      <xdr:row>19</xdr:row>
      <xdr:rowOff>133350</xdr:rowOff>
    </xdr:from>
    <xdr:to>
      <xdr:col>10</xdr:col>
      <xdr:colOff>0</xdr:colOff>
      <xdr:row>45</xdr:row>
      <xdr:rowOff>47625</xdr:rowOff>
    </xdr:to>
    <xdr:sp macro="" textlink="">
      <xdr:nvSpPr>
        <xdr:cNvPr id="3" name="TextBox 2"/>
        <xdr:cNvSpPr txBox="1"/>
      </xdr:nvSpPr>
      <xdr:spPr>
        <a:xfrm>
          <a:off x="0" y="3752850"/>
          <a:ext cx="6096000" cy="4867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i="0">
              <a:solidFill>
                <a:schemeClr val="dk1"/>
              </a:solidFill>
              <a:effectLst/>
              <a:latin typeface="+mn-lt"/>
              <a:ea typeface="+mn-ea"/>
              <a:cs typeface="+mn-cs"/>
            </a:rPr>
            <a:t>GUIDELINES FOR ESTIMATING</a:t>
          </a:r>
          <a:r>
            <a:rPr lang="en-US" sz="1100" b="1" i="0" baseline="0">
              <a:solidFill>
                <a:schemeClr val="dk1"/>
              </a:solidFill>
              <a:effectLst/>
              <a:latin typeface="+mn-lt"/>
              <a:ea typeface="+mn-ea"/>
              <a:cs typeface="+mn-cs"/>
            </a:rPr>
            <a:t> WELDING POWER</a:t>
          </a:r>
          <a:endParaRPr lang="en-US">
            <a:effectLst/>
          </a:endParaRPr>
        </a:p>
        <a:p>
          <a:r>
            <a:rPr lang="en-US" sz="1100" b="0" i="0" u="none" strike="noStrike">
              <a:solidFill>
                <a:schemeClr val="dk1"/>
              </a:solidFill>
              <a:effectLst/>
              <a:latin typeface="+mn-lt"/>
              <a:ea typeface="+mn-ea"/>
              <a:cs typeface="+mn-cs"/>
            </a:rPr>
            <a:t>Input</a:t>
          </a:r>
          <a:r>
            <a:rPr lang="en-US" sz="1100" b="0" i="0" u="none" strike="noStrike" baseline="0">
              <a:solidFill>
                <a:schemeClr val="dk1"/>
              </a:solidFill>
              <a:effectLst/>
              <a:latin typeface="+mn-lt"/>
              <a:ea typeface="+mn-ea"/>
              <a:cs typeface="+mn-cs"/>
            </a:rPr>
            <a:t> power while the arc is active depends on the current and voltage selections made by the user, the type of waveform used, and the efficiency of the power supply and its controls, which varies with make, model, and vintage.  In addition, three phase power supplies are rated at higher power delivery than single phase.  Actual power is usually significantly less than full rated power, depending on the type and thickness of the work being welded.</a:t>
          </a:r>
          <a:endParaRPr lang="en-US" baseline="0"/>
        </a:p>
        <a:p>
          <a:endParaRPr lang="en-US" baseline="0"/>
        </a:p>
        <a:p>
          <a:r>
            <a:rPr lang="en-US" b="1" baseline="0"/>
            <a:t>Small  200 to 299 amps</a:t>
          </a:r>
          <a:endParaRPr lang="en-US" b="1"/>
        </a:p>
        <a:p>
          <a:r>
            <a:rPr lang="en-US"/>
            <a:t>Rated input power</a:t>
          </a:r>
          <a:r>
            <a:rPr lang="en-US" baseline="0"/>
            <a:t> typically ranges from 2 to 3.5 kW for single phase and 3.5 to 6 kW for three phase.  Since maximum power is usually not used, a reasonable average load estimate would be 2.5 kW for smaller transformer-type welders.</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Medium  300 to 399 amps</a:t>
          </a:r>
          <a:endParaRPr lang="en-US" b="1">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Rated input power</a:t>
          </a:r>
          <a:r>
            <a:rPr lang="en-US" sz="1100" baseline="0">
              <a:solidFill>
                <a:schemeClr val="dk1"/>
              </a:solidFill>
              <a:effectLst/>
              <a:latin typeface="+mn-lt"/>
              <a:ea typeface="+mn-ea"/>
              <a:cs typeface="+mn-cs"/>
            </a:rPr>
            <a:t> typically ranges from 3 to 9 kW for single phase and 3 to 12 kW for three phase.  Again,since maximum power is usually not used, a reasonable average load estimate would be 6.0 kW for mid-size transformer-type welders.   For heavier work, and higher estimate is appropriate. </a:t>
          </a:r>
          <a:endParaRPr lang="en-US">
            <a:effectLst/>
          </a:endParaRPr>
        </a:p>
        <a:p>
          <a:endParaRPr lang="en-US" baseline="0"/>
        </a:p>
        <a:p>
          <a:r>
            <a:rPr lang="en-US" sz="1100" b="1" baseline="0">
              <a:solidFill>
                <a:schemeClr val="dk1"/>
              </a:solidFill>
              <a:effectLst/>
              <a:latin typeface="+mn-lt"/>
              <a:ea typeface="+mn-ea"/>
              <a:cs typeface="+mn-cs"/>
            </a:rPr>
            <a:t>Large  400 to over 700 amps</a:t>
          </a:r>
          <a:endParaRPr lang="en-US" b="1">
            <a:effectLst/>
          </a:endParaRPr>
        </a:p>
        <a:p>
          <a:pPr eaLnBrk="1" fontAlgn="auto" latinLnBrk="0" hangingPunct="1"/>
          <a:r>
            <a:rPr lang="en-US" sz="1100">
              <a:solidFill>
                <a:schemeClr val="dk1"/>
              </a:solidFill>
              <a:effectLst/>
              <a:latin typeface="+mn-lt"/>
              <a:ea typeface="+mn-ea"/>
              <a:cs typeface="+mn-cs"/>
            </a:rPr>
            <a:t>Rated power</a:t>
          </a:r>
          <a:r>
            <a:rPr lang="en-US" sz="1100" baseline="0">
              <a:solidFill>
                <a:schemeClr val="dk1"/>
              </a:solidFill>
              <a:effectLst/>
              <a:latin typeface="+mn-lt"/>
              <a:ea typeface="+mn-ea"/>
              <a:cs typeface="+mn-cs"/>
            </a:rPr>
            <a:t> for larger models typically goes up to 16 to 22 kW for single phase and 26 to 34 kW for three phase.  Again, since maximum power is usually not used, a reasonable average load estimate would be 16 kW for larger transformer-type welders.   For heavier work, a higher estimate is appropriate. </a:t>
          </a:r>
          <a:endParaRPr lang="en-US">
            <a:effectLst/>
          </a:endParaRPr>
        </a:p>
        <a:p>
          <a:endParaRPr lang="en-US" baseline="0"/>
        </a:p>
        <a:p>
          <a:r>
            <a:rPr lang="en-US" baseline="0"/>
            <a:t>Welding power for the new welders is not entered by the user.  It is calculated, assuming 72% efficiency for the baseline power supply, 87% efficiency for the new inverter power supply, and the same output arc power settings by the user.</a:t>
          </a:r>
        </a:p>
        <a:p>
          <a:r>
            <a:rPr lang="en-US" baseline="0"/>
            <a:t>  </a:t>
          </a:r>
          <a:endParaRPr 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ascadeenergyinc-my.sharepoint.com\personal\eva_urbatsch_energysmartindustrial_com\Documents\User%20Profile\Documents\ESI%20QC\BPAQ\Battery%20Calculator%20Draft-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INVOICE UPLOAD"/>
    </sheetNames>
    <sheetDataSet>
      <sheetData sheetId="0">
        <row r="11">
          <cell r="B11">
            <v>2</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ckelly@bp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workbookViewId="0" topLeftCell="A1">
      <selection activeCell="C14" sqref="C14:F14"/>
    </sheetView>
  </sheetViews>
  <sheetFormatPr defaultColWidth="9.140625" defaultRowHeight="15"/>
  <cols>
    <col min="1" max="1" width="3.421875" style="0" customWidth="1"/>
    <col min="2" max="2" width="38.8515625" style="0" customWidth="1"/>
    <col min="3" max="3" width="18.00390625" style="0" customWidth="1"/>
    <col min="4" max="4" width="11.00390625" style="0" bestFit="1" customWidth="1"/>
    <col min="5" max="5" width="7.57421875" style="0" bestFit="1" customWidth="1"/>
    <col min="6" max="6" width="10.421875" style="0" bestFit="1" customWidth="1"/>
    <col min="7" max="7" width="3.421875" style="0" customWidth="1"/>
    <col min="8" max="8" width="38.8515625" style="0" customWidth="1"/>
    <col min="9" max="9" width="18.00390625" style="0" customWidth="1"/>
    <col min="10" max="10" width="11.00390625" style="0" bestFit="1" customWidth="1"/>
    <col min="11" max="11" width="7.57421875" style="0" bestFit="1" customWidth="1"/>
    <col min="12" max="12" width="10.421875" style="0" bestFit="1" customWidth="1"/>
  </cols>
  <sheetData>
    <row r="1" spans="2:8" ht="23.25">
      <c r="B1" s="9" t="s">
        <v>27</v>
      </c>
      <c r="C1" s="9"/>
      <c r="D1" s="9"/>
      <c r="E1" s="9"/>
      <c r="F1" s="9" t="s">
        <v>422</v>
      </c>
      <c r="G1" s="9"/>
      <c r="H1" s="83" t="s">
        <v>423</v>
      </c>
    </row>
    <row r="2" spans="1:8" ht="15">
      <c r="A2" s="7"/>
      <c r="B2" s="6" t="s">
        <v>53</v>
      </c>
      <c r="C2" s="8"/>
      <c r="D2" s="7"/>
      <c r="E2" s="7"/>
      <c r="F2" s="7"/>
      <c r="H2" s="84"/>
    </row>
    <row r="3" spans="1:8" ht="15">
      <c r="A3" s="11">
        <v>1</v>
      </c>
      <c r="B3" s="79" t="s">
        <v>52</v>
      </c>
      <c r="C3" s="79"/>
      <c r="D3" s="79"/>
      <c r="H3" s="84"/>
    </row>
    <row r="4" spans="1:8" ht="15">
      <c r="A4" s="11">
        <v>2</v>
      </c>
      <c r="B4" s="79" t="s">
        <v>58</v>
      </c>
      <c r="C4" s="79"/>
      <c r="D4" s="79"/>
      <c r="H4" s="84"/>
    </row>
    <row r="5" spans="1:8" ht="15" customHeight="1">
      <c r="A5" s="11">
        <v>3</v>
      </c>
      <c r="B5" s="88" t="s">
        <v>425</v>
      </c>
      <c r="C5" s="88"/>
      <c r="D5" s="88"/>
      <c r="E5" s="88"/>
      <c r="F5" s="88"/>
      <c r="H5" s="84"/>
    </row>
    <row r="6" spans="1:8" ht="15">
      <c r="A6" s="11">
        <v>4</v>
      </c>
      <c r="B6" s="79" t="s">
        <v>424</v>
      </c>
      <c r="C6" s="79"/>
      <c r="D6" s="79"/>
      <c r="H6" s="84"/>
    </row>
    <row r="7" spans="1:8" ht="15.75" thickBot="1">
      <c r="A7" s="11"/>
      <c r="C7" s="29"/>
      <c r="D7" s="29"/>
      <c r="H7" s="85"/>
    </row>
    <row r="8" spans="1:4" ht="15">
      <c r="A8" s="11"/>
      <c r="B8" s="11" t="s">
        <v>56</v>
      </c>
      <c r="C8" s="29"/>
      <c r="D8" s="29"/>
    </row>
    <row r="10" ht="15">
      <c r="B10" s="4" t="s">
        <v>38</v>
      </c>
    </row>
    <row r="11" ht="15">
      <c r="B11" s="12" t="s">
        <v>39</v>
      </c>
    </row>
    <row r="12" ht="15">
      <c r="H12" s="77"/>
    </row>
    <row r="13" spans="1:6" ht="15">
      <c r="A13" s="7"/>
      <c r="B13" s="6" t="s">
        <v>26</v>
      </c>
      <c r="C13" s="8"/>
      <c r="D13" s="7"/>
      <c r="E13" s="7"/>
      <c r="F13" s="7"/>
    </row>
    <row r="14" spans="2:6" ht="15">
      <c r="B14" s="5" t="s">
        <v>66</v>
      </c>
      <c r="C14" s="89"/>
      <c r="D14" s="89"/>
      <c r="E14" s="89"/>
      <c r="F14" s="89"/>
    </row>
    <row r="15" spans="2:6" ht="15">
      <c r="B15" s="5" t="s">
        <v>62</v>
      </c>
      <c r="C15" s="78" t="s">
        <v>73</v>
      </c>
      <c r="D15" s="78"/>
      <c r="E15" s="78"/>
      <c r="F15" s="78"/>
    </row>
    <row r="16" spans="2:6" ht="15">
      <c r="B16" s="5" t="s">
        <v>63</v>
      </c>
      <c r="C16" s="90"/>
      <c r="D16" s="91"/>
      <c r="E16" s="91"/>
      <c r="F16" s="92"/>
    </row>
    <row r="17" spans="2:6" ht="15">
      <c r="B17" s="5" t="s">
        <v>64</v>
      </c>
      <c r="C17" s="90"/>
      <c r="D17" s="91"/>
      <c r="E17" s="91"/>
      <c r="F17" s="92"/>
    </row>
    <row r="18" spans="2:12" ht="15">
      <c r="B18" s="5" t="s">
        <v>24</v>
      </c>
      <c r="C18" s="89"/>
      <c r="D18" s="89"/>
      <c r="E18" s="89"/>
      <c r="F18" s="89"/>
      <c r="L18" s="19"/>
    </row>
    <row r="19" spans="2:12" ht="15">
      <c r="B19" s="5" t="s">
        <v>409</v>
      </c>
      <c r="C19" s="89"/>
      <c r="D19" s="89"/>
      <c r="E19" s="89"/>
      <c r="F19" s="89"/>
      <c r="L19" s="19"/>
    </row>
    <row r="20" spans="2:12" ht="15">
      <c r="B20" s="5" t="s">
        <v>410</v>
      </c>
      <c r="C20" s="89"/>
      <c r="D20" s="89"/>
      <c r="E20" s="89"/>
      <c r="F20" s="89"/>
      <c r="L20" s="19"/>
    </row>
    <row r="21" spans="2:12" ht="15">
      <c r="B21" s="5" t="s">
        <v>411</v>
      </c>
      <c r="C21" s="89"/>
      <c r="D21" s="89"/>
      <c r="E21" s="89"/>
      <c r="F21" s="89"/>
      <c r="L21" s="19"/>
    </row>
    <row r="22" spans="2:12" ht="15">
      <c r="B22" s="5" t="s">
        <v>65</v>
      </c>
      <c r="C22" s="89"/>
      <c r="D22" s="89"/>
      <c r="E22" s="89"/>
      <c r="F22" s="89"/>
      <c r="L22" s="19"/>
    </row>
    <row r="23" spans="2:7" ht="15">
      <c r="B23" s="5" t="s">
        <v>25</v>
      </c>
      <c r="C23" s="89"/>
      <c r="D23" s="89"/>
      <c r="E23" s="89"/>
      <c r="F23" s="89"/>
      <c r="G23" s="1"/>
    </row>
    <row r="24" spans="2:6" ht="15">
      <c r="B24" s="5" t="s">
        <v>68</v>
      </c>
      <c r="C24" s="89"/>
      <c r="D24" s="89"/>
      <c r="E24" s="89"/>
      <c r="F24" s="89"/>
    </row>
    <row r="25" spans="2:8" ht="15">
      <c r="B25" s="5" t="s">
        <v>418</v>
      </c>
      <c r="C25" s="78" t="s">
        <v>73</v>
      </c>
      <c r="D25" s="78"/>
      <c r="E25" s="78"/>
      <c r="F25" s="78"/>
      <c r="G25" s="1"/>
      <c r="H25" t="str">
        <f>IF(OR(C25="--Select--",C25="Industrial",C25="Commercial",C25="Ag"),"","Please enter an appropriate sector (Industrial, Commercial, or Ag)")</f>
        <v/>
      </c>
    </row>
    <row r="27" spans="1:6" ht="15">
      <c r="A27" s="7"/>
      <c r="B27" s="6" t="s">
        <v>46</v>
      </c>
      <c r="C27" s="8"/>
      <c r="D27" s="7"/>
      <c r="E27" s="7"/>
      <c r="F27" s="7"/>
    </row>
    <row r="28" spans="2:5" ht="15">
      <c r="B28" s="81" t="s">
        <v>69</v>
      </c>
      <c r="C28" s="81"/>
      <c r="D28" s="82"/>
      <c r="E28" s="72"/>
    </row>
    <row r="29" spans="2:5" ht="15">
      <c r="B29" s="79" t="s">
        <v>60</v>
      </c>
      <c r="C29" s="79"/>
      <c r="D29" s="80"/>
      <c r="E29" s="72"/>
    </row>
    <row r="30" spans="2:5" ht="15">
      <c r="B30" s="79" t="s">
        <v>61</v>
      </c>
      <c r="C30" s="79"/>
      <c r="D30" s="80"/>
      <c r="E30" s="72"/>
    </row>
    <row r="32" ht="15">
      <c r="C32" s="30" t="str">
        <f>IF(OR(E28="No",E29="No",E30="No"),"Project does not meet IM requirements","")</f>
        <v/>
      </c>
    </row>
    <row r="34" spans="1:6" ht="15">
      <c r="A34" s="7"/>
      <c r="B34" s="6"/>
      <c r="C34" s="8"/>
      <c r="D34" s="7"/>
      <c r="E34" s="7"/>
      <c r="F34" s="7"/>
    </row>
    <row r="36" spans="2:3" ht="15">
      <c r="B36" s="11" t="s">
        <v>50</v>
      </c>
      <c r="C36" s="11" t="s">
        <v>51</v>
      </c>
    </row>
    <row r="37" ht="15">
      <c r="C37" s="27" t="s">
        <v>49</v>
      </c>
    </row>
    <row r="38" ht="15">
      <c r="C38" s="27"/>
    </row>
    <row r="39" spans="1:6" ht="15">
      <c r="A39" s="7"/>
      <c r="B39" s="6"/>
      <c r="C39" s="8"/>
      <c r="D39" s="7"/>
      <c r="E39" s="7"/>
      <c r="F39" s="7"/>
    </row>
  </sheetData>
  <sheetProtection algorithmName="SHA-512" hashValue="xbMZp2qXr40BSvyeaRIM3sgUVLSGB0b5T0P4nvpLvSNrpxQ/Gwq9aqfdrqRnjN4jg+RmNtK/zHkJxeNWuqQ0cQ==" saltValue="Pl+CC6YvHi0EPyANyexRyQ==" spinCount="100000" sheet="1" objects="1" scenarios="1"/>
  <mergeCells count="20">
    <mergeCell ref="H1:H7"/>
    <mergeCell ref="B3:D3"/>
    <mergeCell ref="B4:D4"/>
    <mergeCell ref="B6:D6"/>
    <mergeCell ref="B5:F5"/>
    <mergeCell ref="C14:F14"/>
    <mergeCell ref="C15:F15"/>
    <mergeCell ref="C18:F18"/>
    <mergeCell ref="C21:F21"/>
    <mergeCell ref="C22:F22"/>
    <mergeCell ref="C17:F17"/>
    <mergeCell ref="C16:F16"/>
    <mergeCell ref="C25:F25"/>
    <mergeCell ref="C19:F19"/>
    <mergeCell ref="C20:F20"/>
    <mergeCell ref="B29:D29"/>
    <mergeCell ref="B30:D30"/>
    <mergeCell ref="B28:D28"/>
    <mergeCell ref="C24:F24"/>
    <mergeCell ref="C23:F23"/>
  </mergeCells>
  <dataValidations count="3">
    <dataValidation type="list" allowBlank="1" showInputMessage="1" showErrorMessage="1" prompt="Please Select YES or NO" errorTitle="Value must be YES or NO!" sqref="E28:E30">
      <formula1>yesno</formula1>
    </dataValidation>
    <dataValidation type="list" allowBlank="1" showInputMessage="1" showErrorMessage="1" sqref="C25:F25">
      <formula1>Lists!$A$4:$A$7</formula1>
    </dataValidation>
    <dataValidation type="list" allowBlank="1" showInputMessage="1" showErrorMessage="1" sqref="C15:F15">
      <formula1>Lists!$C$2:$C$140</formula1>
    </dataValidation>
  </dataValidations>
  <hyperlinks>
    <hyperlink ref="C37" r:id="rId1" display="mailto:nckelly@bpa.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workbookViewId="0" topLeftCell="A1">
      <selection activeCell="C3" sqref="C3"/>
    </sheetView>
  </sheetViews>
  <sheetFormatPr defaultColWidth="9.140625" defaultRowHeight="15"/>
  <cols>
    <col min="1" max="1" width="3.421875" style="0" customWidth="1"/>
    <col min="2" max="2" width="38.8515625" style="0" customWidth="1"/>
    <col min="3" max="3" width="17.140625" style="0" customWidth="1"/>
    <col min="4" max="4" width="18.00390625" style="0" customWidth="1"/>
    <col min="5" max="5" width="11.00390625" style="0" bestFit="1" customWidth="1"/>
    <col min="6" max="6" width="7.57421875" style="0" bestFit="1" customWidth="1"/>
    <col min="7" max="7" width="10.421875" style="0" bestFit="1" customWidth="1"/>
    <col min="8" max="8" width="3.421875" style="0" customWidth="1"/>
    <col min="9" max="9" width="38.8515625" style="0" customWidth="1"/>
    <col min="10" max="10" width="17.140625" style="0" customWidth="1"/>
    <col min="11" max="11" width="18.00390625" style="0" customWidth="1"/>
    <col min="12" max="12" width="11.00390625" style="0" bestFit="1" customWidth="1"/>
    <col min="13" max="13" width="7.57421875" style="0" bestFit="1" customWidth="1"/>
    <col min="14" max="14" width="10.421875" style="0" bestFit="1" customWidth="1"/>
  </cols>
  <sheetData>
    <row r="1" spans="2:6" ht="23.25">
      <c r="B1" s="9" t="s">
        <v>57</v>
      </c>
      <c r="C1" s="9"/>
      <c r="D1" s="9"/>
      <c r="E1" s="9"/>
      <c r="F1" s="9"/>
    </row>
    <row r="2" spans="1:7" ht="15">
      <c r="A2" s="7"/>
      <c r="B2" s="6" t="s">
        <v>28</v>
      </c>
      <c r="C2" s="6"/>
      <c r="D2" s="8"/>
      <c r="E2" s="7"/>
      <c r="F2" s="7"/>
      <c r="G2" s="7"/>
    </row>
    <row r="3" spans="2:10" ht="15">
      <c r="B3" t="s">
        <v>29</v>
      </c>
      <c r="C3" s="72"/>
      <c r="D3" t="s">
        <v>7</v>
      </c>
      <c r="E3" s="1"/>
      <c r="F3" s="1"/>
      <c r="I3" s="4" t="s">
        <v>38</v>
      </c>
      <c r="J3" s="4"/>
    </row>
    <row r="4" spans="2:10" ht="15">
      <c r="B4" t="s">
        <v>5</v>
      </c>
      <c r="C4" s="72"/>
      <c r="D4" t="s">
        <v>8</v>
      </c>
      <c r="I4" s="12" t="s">
        <v>39</v>
      </c>
      <c r="J4" s="12"/>
    </row>
    <row r="5" ht="9.6" customHeight="1"/>
    <row r="6" spans="2:6" ht="15">
      <c r="B6" t="s">
        <v>9</v>
      </c>
      <c r="C6" s="72"/>
      <c r="D6" t="s">
        <v>7</v>
      </c>
      <c r="E6" s="14">
        <f>C6*$C$4</f>
        <v>0</v>
      </c>
      <c r="F6" t="s">
        <v>11</v>
      </c>
    </row>
    <row r="7" spans="2:6" ht="15">
      <c r="B7" t="s">
        <v>6</v>
      </c>
      <c r="C7" s="72"/>
      <c r="D7" t="s">
        <v>7</v>
      </c>
      <c r="E7" s="14">
        <f>C7*$C$4</f>
        <v>0</v>
      </c>
      <c r="F7" t="s">
        <v>11</v>
      </c>
    </row>
    <row r="8" spans="2:6" ht="15">
      <c r="B8" t="s">
        <v>10</v>
      </c>
      <c r="C8" s="72"/>
      <c r="D8" t="s">
        <v>7</v>
      </c>
      <c r="E8" s="14">
        <f>C8*$C$4</f>
        <v>0</v>
      </c>
      <c r="F8" t="s">
        <v>11</v>
      </c>
    </row>
    <row r="9" spans="2:6" ht="15">
      <c r="B9" t="s">
        <v>421</v>
      </c>
      <c r="C9" s="25">
        <f>IF(SUM(C6:C8)=C3,SUM(C6:C8),"Sum Must Match C3")</f>
        <v>0</v>
      </c>
      <c r="D9" t="s">
        <v>7</v>
      </c>
      <c r="E9" s="23">
        <f>SUM(E6:E8)</f>
        <v>0</v>
      </c>
      <c r="F9" t="s">
        <v>11</v>
      </c>
    </row>
    <row r="10" ht="9.6" customHeight="1">
      <c r="F10" s="2"/>
    </row>
    <row r="11" spans="1:7" ht="15">
      <c r="A11" s="7"/>
      <c r="B11" s="6" t="s">
        <v>30</v>
      </c>
      <c r="C11" s="6"/>
      <c r="D11" s="8"/>
      <c r="E11" s="7"/>
      <c r="F11" s="7"/>
      <c r="G11" s="7"/>
    </row>
    <row r="12" spans="2:3" ht="15">
      <c r="B12" t="s">
        <v>0</v>
      </c>
      <c r="C12" s="73"/>
    </row>
    <row r="13" spans="2:3" ht="15">
      <c r="B13" t="s">
        <v>1</v>
      </c>
      <c r="C13" s="73"/>
    </row>
    <row r="14" spans="2:3" ht="15">
      <c r="B14" t="s">
        <v>2</v>
      </c>
      <c r="C14" s="73"/>
    </row>
    <row r="15" spans="2:3" ht="15">
      <c r="B15" t="s">
        <v>3</v>
      </c>
      <c r="C15" s="73"/>
    </row>
    <row r="16" spans="2:3" ht="15">
      <c r="B16" t="s">
        <v>4</v>
      </c>
      <c r="C16" s="24">
        <f>SUM(C12:C15)</f>
        <v>0</v>
      </c>
    </row>
    <row r="17" spans="2:3" ht="15">
      <c r="B17" s="13" t="s">
        <v>45</v>
      </c>
      <c r="C17" s="13"/>
    </row>
    <row r="18" ht="9.6" customHeight="1"/>
    <row r="19" spans="1:14" ht="15">
      <c r="A19" s="7"/>
      <c r="B19" s="6" t="s">
        <v>31</v>
      </c>
      <c r="C19" s="6"/>
      <c r="D19" s="7"/>
      <c r="E19" s="8"/>
      <c r="F19" s="7"/>
      <c r="G19" s="7"/>
      <c r="H19" s="7"/>
      <c r="I19" s="7"/>
      <c r="J19" s="7"/>
      <c r="K19" s="7"/>
      <c r="L19" s="7"/>
      <c r="M19" s="7"/>
      <c r="N19" s="7"/>
    </row>
    <row r="20" spans="2:14" ht="15.75">
      <c r="B20" s="18" t="s">
        <v>34</v>
      </c>
      <c r="C20" s="10"/>
      <c r="D20" s="10"/>
      <c r="E20" s="10"/>
      <c r="F20" s="10"/>
      <c r="G20" s="10"/>
      <c r="I20" s="18" t="s">
        <v>36</v>
      </c>
      <c r="J20" s="10"/>
      <c r="K20" s="10"/>
      <c r="L20" s="10"/>
      <c r="M20" s="10"/>
      <c r="N20" s="10"/>
    </row>
    <row r="21" spans="2:14" ht="58.35" customHeight="1">
      <c r="B21" s="16" t="s">
        <v>35</v>
      </c>
      <c r="C21" s="60" t="s">
        <v>416</v>
      </c>
      <c r="D21" s="17" t="s">
        <v>37</v>
      </c>
      <c r="E21" s="17" t="s">
        <v>23</v>
      </c>
      <c r="F21" s="17" t="s">
        <v>21</v>
      </c>
      <c r="G21" s="17" t="s">
        <v>22</v>
      </c>
      <c r="I21" s="16" t="s">
        <v>35</v>
      </c>
      <c r="J21" s="60" t="s">
        <v>416</v>
      </c>
      <c r="K21" s="17" t="s">
        <v>37</v>
      </c>
      <c r="L21" s="17" t="s">
        <v>23</v>
      </c>
      <c r="M21" s="17" t="s">
        <v>21</v>
      </c>
      <c r="N21" s="17" t="s">
        <v>22</v>
      </c>
    </row>
    <row r="22" spans="1:14" ht="15">
      <c r="A22" s="3"/>
      <c r="B22" s="63" t="s">
        <v>40</v>
      </c>
      <c r="C22" s="63">
        <v>250</v>
      </c>
      <c r="D22" s="64">
        <v>125</v>
      </c>
      <c r="E22" s="65">
        <v>2.5</v>
      </c>
      <c r="F22" s="66">
        <f aca="true" t="shared" si="0" ref="F22:F31">_xlfn.IFERROR((D22/1000)*hours*standby/allhours,0)</f>
        <v>0</v>
      </c>
      <c r="G22" s="66">
        <f aca="true" t="shared" si="1" ref="G22:G31">_xlfn.IFERROR(ROUND((E22)*hours*arcon/allhours,0),0)</f>
        <v>0</v>
      </c>
      <c r="H22" s="3"/>
      <c r="I22" s="63" t="s">
        <v>41</v>
      </c>
      <c r="J22" s="63">
        <v>210</v>
      </c>
      <c r="K22" s="64">
        <v>20</v>
      </c>
      <c r="L22" s="65">
        <f aca="true" t="shared" si="2" ref="L22:L31">E22*0.72/0.87</f>
        <v>2.068965517241379</v>
      </c>
      <c r="M22" s="66">
        <f aca="true" t="shared" si="3" ref="M22:M31">_xlfn.IFERROR((K22/1000)*hours*standby/allhours,0)</f>
        <v>0</v>
      </c>
      <c r="N22" s="66">
        <f aca="true" t="shared" si="4" ref="N22:N31">_xlfn.IFERROR(ROUND((L22)*hours*arcon/allhours,0),0)</f>
        <v>0</v>
      </c>
    </row>
    <row r="23" spans="1:14" ht="15">
      <c r="A23" s="3" t="s">
        <v>12</v>
      </c>
      <c r="B23" s="72"/>
      <c r="C23" s="72"/>
      <c r="D23" s="72"/>
      <c r="E23" s="75"/>
      <c r="F23" s="14">
        <f t="shared" si="0"/>
        <v>0</v>
      </c>
      <c r="G23" s="14">
        <f t="shared" si="1"/>
        <v>0</v>
      </c>
      <c r="H23" s="3" t="s">
        <v>12</v>
      </c>
      <c r="I23" s="72"/>
      <c r="J23" s="72"/>
      <c r="K23" s="72"/>
      <c r="L23" s="15">
        <f t="shared" si="2"/>
        <v>0</v>
      </c>
      <c r="M23" s="14">
        <f t="shared" si="3"/>
        <v>0</v>
      </c>
      <c r="N23" s="14">
        <f t="shared" si="4"/>
        <v>0</v>
      </c>
    </row>
    <row r="24" spans="1:14" ht="15">
      <c r="A24" s="3" t="s">
        <v>13</v>
      </c>
      <c r="B24" s="72"/>
      <c r="C24" s="72"/>
      <c r="D24" s="72"/>
      <c r="E24" s="75"/>
      <c r="F24" s="14">
        <f t="shared" si="0"/>
        <v>0</v>
      </c>
      <c r="G24" s="14">
        <f t="shared" si="1"/>
        <v>0</v>
      </c>
      <c r="H24" s="3" t="s">
        <v>13</v>
      </c>
      <c r="I24" s="72"/>
      <c r="J24" s="72"/>
      <c r="K24" s="72"/>
      <c r="L24" s="15">
        <f t="shared" si="2"/>
        <v>0</v>
      </c>
      <c r="M24" s="14">
        <f t="shared" si="3"/>
        <v>0</v>
      </c>
      <c r="N24" s="14">
        <f t="shared" si="4"/>
        <v>0</v>
      </c>
    </row>
    <row r="25" spans="1:14" ht="15">
      <c r="A25" s="3" t="s">
        <v>14</v>
      </c>
      <c r="B25" s="72"/>
      <c r="C25" s="72"/>
      <c r="D25" s="72"/>
      <c r="E25" s="75"/>
      <c r="F25" s="14">
        <f t="shared" si="0"/>
        <v>0</v>
      </c>
      <c r="G25" s="14">
        <f t="shared" si="1"/>
        <v>0</v>
      </c>
      <c r="H25" s="3" t="s">
        <v>14</v>
      </c>
      <c r="I25" s="72"/>
      <c r="J25" s="72"/>
      <c r="K25" s="72"/>
      <c r="L25" s="15">
        <f t="shared" si="2"/>
        <v>0</v>
      </c>
      <c r="M25" s="14">
        <f t="shared" si="3"/>
        <v>0</v>
      </c>
      <c r="N25" s="14">
        <f t="shared" si="4"/>
        <v>0</v>
      </c>
    </row>
    <row r="26" spans="1:14" ht="15">
      <c r="A26" s="3" t="s">
        <v>15</v>
      </c>
      <c r="B26" s="72"/>
      <c r="C26" s="72"/>
      <c r="D26" s="72"/>
      <c r="E26" s="75"/>
      <c r="F26" s="14">
        <f t="shared" si="0"/>
        <v>0</v>
      </c>
      <c r="G26" s="14">
        <f t="shared" si="1"/>
        <v>0</v>
      </c>
      <c r="H26" s="3" t="s">
        <v>15</v>
      </c>
      <c r="I26" s="72"/>
      <c r="J26" s="72"/>
      <c r="K26" s="72"/>
      <c r="L26" s="15">
        <f t="shared" si="2"/>
        <v>0</v>
      </c>
      <c r="M26" s="14">
        <f t="shared" si="3"/>
        <v>0</v>
      </c>
      <c r="N26" s="14">
        <f t="shared" si="4"/>
        <v>0</v>
      </c>
    </row>
    <row r="27" spans="1:14" ht="15">
      <c r="A27" s="3" t="s">
        <v>16</v>
      </c>
      <c r="B27" s="72"/>
      <c r="C27" s="72"/>
      <c r="D27" s="72"/>
      <c r="E27" s="75"/>
      <c r="F27" s="14">
        <f t="shared" si="0"/>
        <v>0</v>
      </c>
      <c r="G27" s="14">
        <f t="shared" si="1"/>
        <v>0</v>
      </c>
      <c r="H27" s="3" t="s">
        <v>16</v>
      </c>
      <c r="I27" s="72"/>
      <c r="J27" s="72"/>
      <c r="K27" s="72"/>
      <c r="L27" s="15">
        <f t="shared" si="2"/>
        <v>0</v>
      </c>
      <c r="M27" s="14">
        <f t="shared" si="3"/>
        <v>0</v>
      </c>
      <c r="N27" s="14">
        <f t="shared" si="4"/>
        <v>0</v>
      </c>
    </row>
    <row r="28" spans="1:14" ht="15">
      <c r="A28" s="3" t="s">
        <v>17</v>
      </c>
      <c r="B28" s="72"/>
      <c r="C28" s="72"/>
      <c r="D28" s="72"/>
      <c r="E28" s="75"/>
      <c r="F28" s="14">
        <f t="shared" si="0"/>
        <v>0</v>
      </c>
      <c r="G28" s="14">
        <f t="shared" si="1"/>
        <v>0</v>
      </c>
      <c r="H28" s="3" t="s">
        <v>17</v>
      </c>
      <c r="I28" s="72"/>
      <c r="J28" s="72"/>
      <c r="K28" s="72"/>
      <c r="L28" s="15">
        <f t="shared" si="2"/>
        <v>0</v>
      </c>
      <c r="M28" s="14">
        <f t="shared" si="3"/>
        <v>0</v>
      </c>
      <c r="N28" s="14">
        <f t="shared" si="4"/>
        <v>0</v>
      </c>
    </row>
    <row r="29" spans="1:14" ht="15">
      <c r="A29" s="3" t="s">
        <v>18</v>
      </c>
      <c r="B29" s="72"/>
      <c r="C29" s="72"/>
      <c r="D29" s="72"/>
      <c r="E29" s="75"/>
      <c r="F29" s="14">
        <f t="shared" si="0"/>
        <v>0</v>
      </c>
      <c r="G29" s="14">
        <f t="shared" si="1"/>
        <v>0</v>
      </c>
      <c r="H29" s="3" t="s">
        <v>18</v>
      </c>
      <c r="I29" s="72"/>
      <c r="J29" s="72"/>
      <c r="K29" s="72"/>
      <c r="L29" s="15">
        <f t="shared" si="2"/>
        <v>0</v>
      </c>
      <c r="M29" s="14">
        <f t="shared" si="3"/>
        <v>0</v>
      </c>
      <c r="N29" s="14">
        <f t="shared" si="4"/>
        <v>0</v>
      </c>
    </row>
    <row r="30" spans="1:14" ht="15">
      <c r="A30" s="3" t="s">
        <v>19</v>
      </c>
      <c r="B30" s="72"/>
      <c r="C30" s="72"/>
      <c r="D30" s="72"/>
      <c r="E30" s="75"/>
      <c r="F30" s="14">
        <f t="shared" si="0"/>
        <v>0</v>
      </c>
      <c r="G30" s="14">
        <f t="shared" si="1"/>
        <v>0</v>
      </c>
      <c r="H30" s="3" t="s">
        <v>19</v>
      </c>
      <c r="I30" s="72"/>
      <c r="J30" s="72"/>
      <c r="K30" s="72"/>
      <c r="L30" s="15">
        <f t="shared" si="2"/>
        <v>0</v>
      </c>
      <c r="M30" s="14">
        <f t="shared" si="3"/>
        <v>0</v>
      </c>
      <c r="N30" s="14">
        <f t="shared" si="4"/>
        <v>0</v>
      </c>
    </row>
    <row r="31" spans="1:14" ht="15">
      <c r="A31" s="3" t="s">
        <v>20</v>
      </c>
      <c r="B31" s="72"/>
      <c r="C31" s="72"/>
      <c r="D31" s="72"/>
      <c r="E31" s="75"/>
      <c r="F31" s="14">
        <f t="shared" si="0"/>
        <v>0</v>
      </c>
      <c r="G31" s="14">
        <f t="shared" si="1"/>
        <v>0</v>
      </c>
      <c r="H31" s="3" t="s">
        <v>20</v>
      </c>
      <c r="I31" s="72"/>
      <c r="J31" s="72"/>
      <c r="K31" s="72"/>
      <c r="L31" s="15">
        <f t="shared" si="2"/>
        <v>0</v>
      </c>
      <c r="M31" s="14">
        <f t="shared" si="3"/>
        <v>0</v>
      </c>
      <c r="N31" s="14">
        <f t="shared" si="4"/>
        <v>0</v>
      </c>
    </row>
    <row r="32" spans="1:14" ht="15">
      <c r="A32" s="3"/>
      <c r="D32" s="20">
        <f>SUM(D23:D31)</f>
        <v>0</v>
      </c>
      <c r="E32" s="21">
        <f aca="true" t="shared" si="5" ref="E32:G32">SUM(E23:E31)</f>
        <v>0</v>
      </c>
      <c r="F32" s="20">
        <f t="shared" si="5"/>
        <v>0</v>
      </c>
      <c r="G32" s="20">
        <f t="shared" si="5"/>
        <v>0</v>
      </c>
      <c r="K32" s="22">
        <f>SUM(K23:K31)</f>
        <v>0</v>
      </c>
      <c r="L32" s="21">
        <f aca="true" t="shared" si="6" ref="L32">SUM(L23:L31)</f>
        <v>0</v>
      </c>
      <c r="M32" s="20">
        <f aca="true" t="shared" si="7" ref="M32">SUM(M23:M31)</f>
        <v>0</v>
      </c>
      <c r="N32" s="20">
        <f aca="true" t="shared" si="8" ref="N32">SUM(N23:N31)</f>
        <v>0</v>
      </c>
    </row>
    <row r="33" spans="1:14" ht="15.75" thickBot="1">
      <c r="A33" s="7"/>
      <c r="B33" s="6" t="s">
        <v>32</v>
      </c>
      <c r="C33" s="6"/>
      <c r="D33" s="8"/>
      <c r="E33" s="7"/>
      <c r="F33" s="7"/>
      <c r="G33" s="7"/>
      <c r="H33" s="7"/>
      <c r="I33" s="7"/>
      <c r="J33" s="7"/>
      <c r="K33" s="7"/>
      <c r="L33" s="7"/>
      <c r="M33" s="7"/>
      <c r="N33" s="7"/>
    </row>
    <row r="34" spans="2:6" ht="15.75" thickBot="1">
      <c r="B34" s="11" t="s">
        <v>413</v>
      </c>
      <c r="C34" s="61">
        <f>('2. Operational Data'!G32-'2. Operational Data'!N32)+('2. Operational Data'!F32-'2. Operational Data'!M32)</f>
        <v>0</v>
      </c>
      <c r="D34" t="s">
        <v>415</v>
      </c>
      <c r="E34" s="86" t="s">
        <v>417</v>
      </c>
      <c r="F34" s="87"/>
    </row>
    <row r="35" spans="2:6" ht="15.75" thickBot="1">
      <c r="B35" s="11" t="s">
        <v>414</v>
      </c>
      <c r="C35" s="61">
        <f>C34*E35</f>
        <v>0</v>
      </c>
      <c r="D35" t="s">
        <v>415</v>
      </c>
      <c r="E35" s="86">
        <v>1.09056</v>
      </c>
      <c r="F35" s="87"/>
    </row>
    <row r="36" spans="2:4" ht="15.75" thickBot="1">
      <c r="B36" s="13" t="s">
        <v>43</v>
      </c>
      <c r="C36" s="62">
        <f>ROUND(0.25*C35,2)</f>
        <v>0</v>
      </c>
      <c r="D36" t="s">
        <v>33</v>
      </c>
    </row>
    <row r="37" spans="2:3" ht="15.75" thickBot="1">
      <c r="B37" s="13" t="s">
        <v>67</v>
      </c>
      <c r="C37" s="62">
        <f>0.7*$C$16</f>
        <v>0</v>
      </c>
    </row>
    <row r="38" spans="2:4" ht="15.75" thickBot="1">
      <c r="B38" s="13" t="s">
        <v>47</v>
      </c>
      <c r="C38" s="74"/>
      <c r="D38" t="s">
        <v>48</v>
      </c>
    </row>
    <row r="39" spans="2:4" ht="15.75" thickBot="1">
      <c r="B39" s="11" t="s">
        <v>42</v>
      </c>
      <c r="C39" s="26">
        <f>IF(OR(ISBLANK(C38),C38=0),MIN(C36,C37),MIN(C36,C37,C38))</f>
        <v>0</v>
      </c>
      <c r="D39" t="s">
        <v>44</v>
      </c>
    </row>
    <row r="41" spans="1:6" ht="18.75">
      <c r="A41" s="8"/>
      <c r="B41" s="67" t="s">
        <v>426</v>
      </c>
      <c r="C41" s="7"/>
      <c r="D41" s="8"/>
      <c r="E41" s="7"/>
      <c r="F41" s="7"/>
    </row>
    <row r="42" spans="2:3" ht="15.75">
      <c r="B42" s="68" t="s">
        <v>427</v>
      </c>
      <c r="C42" s="69" t="s">
        <v>419</v>
      </c>
    </row>
    <row r="43" spans="2:3" ht="15.75">
      <c r="B43" s="68" t="s">
        <v>432</v>
      </c>
      <c r="C43" s="69">
        <v>1</v>
      </c>
    </row>
    <row r="44" spans="2:4" ht="15.75">
      <c r="B44" s="68" t="s">
        <v>428</v>
      </c>
      <c r="C44" s="70">
        <f>C34</f>
        <v>0</v>
      </c>
      <c r="D44" t="s">
        <v>415</v>
      </c>
    </row>
    <row r="45" spans="2:3" ht="15.75">
      <c r="B45" s="68" t="s">
        <v>429</v>
      </c>
      <c r="C45" s="71">
        <f>C39</f>
        <v>0</v>
      </c>
    </row>
    <row r="46" spans="2:3" ht="15.75">
      <c r="B46" s="68" t="s">
        <v>430</v>
      </c>
      <c r="C46" s="71">
        <f>EstUtilEligibleCost</f>
        <v>0</v>
      </c>
    </row>
    <row r="47" spans="2:3" ht="15.75">
      <c r="B47" s="68" t="s">
        <v>431</v>
      </c>
      <c r="C47" s="76" t="e">
        <f>C44/C46</f>
        <v>#DIV/0!</v>
      </c>
    </row>
  </sheetData>
  <sheetProtection algorithmName="SHA-512" hashValue="ilc/O8Gl/f+w/qZ8bZd3m3DcKiAfUY+5saayeqYoeP+Qbpb4fnmwaCxEGotvXzNBKphnljWH2F+Vq69WnTGdRg==" saltValue="UVcsAb2wNNI5zSJm0gkJtQ==" spinCount="100000" sheet="1" objects="1" scenarios="1"/>
  <mergeCells count="2">
    <mergeCell ref="E34:F34"/>
    <mergeCell ref="E35:F3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election activeCell="M29" sqref="M29"/>
    </sheetView>
  </sheetViews>
  <sheetFormatPr defaultColWidth="9.140625" defaultRowHeight="15"/>
  <sheetData/>
  <sheetProtection password="B65E" sheet="1" objects="1" scenarios="1"/>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72"/>
  <sheetViews>
    <sheetView workbookViewId="0" topLeftCell="A1">
      <selection activeCell="C4" sqref="C4:E140"/>
    </sheetView>
  </sheetViews>
  <sheetFormatPr defaultColWidth="9.140625" defaultRowHeight="15"/>
  <cols>
    <col min="1" max="1" width="12.140625" style="0" bestFit="1" customWidth="1"/>
    <col min="3" max="3" width="38.140625" style="0" bestFit="1" customWidth="1"/>
    <col min="4" max="4" width="57.421875" style="0" bestFit="1" customWidth="1"/>
    <col min="6" max="6" width="20.57421875" style="0" bestFit="1" customWidth="1"/>
    <col min="7" max="7" width="9.57421875" style="0" bestFit="1" customWidth="1"/>
  </cols>
  <sheetData>
    <row r="1" spans="1:6" ht="31.5">
      <c r="A1" t="s">
        <v>55</v>
      </c>
      <c r="C1" s="31" t="s">
        <v>70</v>
      </c>
      <c r="D1" s="31" t="s">
        <v>71</v>
      </c>
      <c r="E1" s="31" t="s">
        <v>72</v>
      </c>
      <c r="F1" s="28" t="s">
        <v>59</v>
      </c>
    </row>
    <row r="2" spans="1:3" ht="15">
      <c r="A2" t="s">
        <v>54</v>
      </c>
      <c r="C2" s="32" t="s">
        <v>73</v>
      </c>
    </row>
    <row r="3" spans="3:5" ht="15">
      <c r="C3" t="s">
        <v>74</v>
      </c>
      <c r="D3" t="s">
        <v>75</v>
      </c>
      <c r="E3">
        <v>10055</v>
      </c>
    </row>
    <row r="4" spans="1:5" ht="15">
      <c r="A4" s="32" t="s">
        <v>73</v>
      </c>
      <c r="C4" t="s">
        <v>76</v>
      </c>
      <c r="D4" t="s">
        <v>77</v>
      </c>
      <c r="E4">
        <v>10057</v>
      </c>
    </row>
    <row r="5" spans="1:5" ht="15">
      <c r="A5" t="s">
        <v>372</v>
      </c>
      <c r="C5" t="s">
        <v>78</v>
      </c>
      <c r="D5" t="s">
        <v>79</v>
      </c>
      <c r="E5">
        <v>10015</v>
      </c>
    </row>
    <row r="6" spans="1:5" ht="15">
      <c r="A6" t="s">
        <v>373</v>
      </c>
      <c r="C6" t="s">
        <v>80</v>
      </c>
      <c r="D6" t="s">
        <v>81</v>
      </c>
      <c r="E6">
        <v>10059</v>
      </c>
    </row>
    <row r="7" spans="1:5" ht="15">
      <c r="A7" t="s">
        <v>374</v>
      </c>
      <c r="C7" t="s">
        <v>82</v>
      </c>
      <c r="D7" t="s">
        <v>83</v>
      </c>
      <c r="E7">
        <v>10409</v>
      </c>
    </row>
    <row r="8" spans="3:5" ht="15">
      <c r="C8" t="s">
        <v>84</v>
      </c>
      <c r="D8" t="s">
        <v>85</v>
      </c>
      <c r="E8">
        <v>10024</v>
      </c>
    </row>
    <row r="9" spans="3:5" ht="15">
      <c r="C9" t="s">
        <v>86</v>
      </c>
      <c r="D9" t="s">
        <v>87</v>
      </c>
      <c r="E9">
        <v>10025</v>
      </c>
    </row>
    <row r="10" spans="3:5" ht="15">
      <c r="C10" t="s">
        <v>88</v>
      </c>
      <c r="D10" t="s">
        <v>89</v>
      </c>
      <c r="E10">
        <v>10027</v>
      </c>
    </row>
    <row r="11" spans="3:5" ht="15">
      <c r="C11" t="s">
        <v>90</v>
      </c>
      <c r="D11" t="s">
        <v>91</v>
      </c>
      <c r="E11" s="34">
        <v>10029</v>
      </c>
    </row>
    <row r="12" spans="3:5" ht="15">
      <c r="C12" t="s">
        <v>92</v>
      </c>
      <c r="D12" t="s">
        <v>93</v>
      </c>
      <c r="E12" s="35">
        <v>10061</v>
      </c>
    </row>
    <row r="13" spans="3:5" ht="15">
      <c r="C13" t="s">
        <v>94</v>
      </c>
      <c r="D13" t="s">
        <v>95</v>
      </c>
      <c r="E13">
        <v>10062</v>
      </c>
    </row>
    <row r="14" spans="3:5" ht="15">
      <c r="C14" t="s">
        <v>96</v>
      </c>
      <c r="D14" t="s">
        <v>97</v>
      </c>
      <c r="E14">
        <v>10326</v>
      </c>
    </row>
    <row r="15" spans="3:5" ht="15">
      <c r="C15" t="s">
        <v>98</v>
      </c>
      <c r="D15" t="s">
        <v>99</v>
      </c>
      <c r="E15">
        <v>10064</v>
      </c>
    </row>
    <row r="16" spans="3:5" ht="15">
      <c r="C16" t="s">
        <v>100</v>
      </c>
      <c r="D16" t="s">
        <v>101</v>
      </c>
      <c r="E16">
        <v>10044</v>
      </c>
    </row>
    <row r="17" spans="3:5" ht="15">
      <c r="C17" t="s">
        <v>102</v>
      </c>
      <c r="D17" t="s">
        <v>103</v>
      </c>
      <c r="E17">
        <v>10065</v>
      </c>
    </row>
    <row r="18" spans="3:5" ht="15">
      <c r="C18" t="s">
        <v>104</v>
      </c>
      <c r="D18" t="s">
        <v>105</v>
      </c>
      <c r="E18" s="34">
        <v>10046</v>
      </c>
    </row>
    <row r="19" spans="3:5" ht="15">
      <c r="C19" t="s">
        <v>106</v>
      </c>
      <c r="D19" t="s">
        <v>107</v>
      </c>
      <c r="E19">
        <v>10047</v>
      </c>
    </row>
    <row r="20" spans="3:5" ht="15">
      <c r="C20" t="s">
        <v>108</v>
      </c>
      <c r="D20" t="s">
        <v>109</v>
      </c>
      <c r="E20" s="35">
        <v>10066</v>
      </c>
    </row>
    <row r="21" spans="3:5" ht="15">
      <c r="C21" t="s">
        <v>110</v>
      </c>
      <c r="D21" t="s">
        <v>111</v>
      </c>
      <c r="E21">
        <v>10050</v>
      </c>
    </row>
    <row r="22" spans="3:5" ht="15">
      <c r="C22" t="s">
        <v>112</v>
      </c>
      <c r="D22" t="s">
        <v>113</v>
      </c>
      <c r="E22">
        <v>10067</v>
      </c>
    </row>
    <row r="23" spans="3:5" ht="15">
      <c r="C23" t="s">
        <v>114</v>
      </c>
      <c r="D23" t="s">
        <v>115</v>
      </c>
      <c r="E23">
        <v>10068</v>
      </c>
    </row>
    <row r="24" spans="3:5" ht="15">
      <c r="C24" t="s">
        <v>116</v>
      </c>
      <c r="D24" t="s">
        <v>117</v>
      </c>
      <c r="E24">
        <v>10101</v>
      </c>
    </row>
    <row r="25" spans="3:5" ht="15">
      <c r="C25" t="s">
        <v>118</v>
      </c>
      <c r="D25" t="s">
        <v>119</v>
      </c>
      <c r="E25">
        <v>10103</v>
      </c>
    </row>
    <row r="26" spans="3:5" ht="15">
      <c r="C26" t="s">
        <v>120</v>
      </c>
      <c r="D26" t="s">
        <v>121</v>
      </c>
      <c r="E26">
        <v>10105</v>
      </c>
    </row>
    <row r="27" spans="3:5" ht="15">
      <c r="C27" t="s">
        <v>122</v>
      </c>
      <c r="D27" t="s">
        <v>123</v>
      </c>
      <c r="E27" s="34">
        <v>10106</v>
      </c>
    </row>
    <row r="28" spans="3:5" ht="15">
      <c r="C28" t="s">
        <v>124</v>
      </c>
      <c r="D28" t="s">
        <v>125</v>
      </c>
      <c r="E28">
        <v>10109</v>
      </c>
    </row>
    <row r="29" spans="3:5" ht="15">
      <c r="C29" t="s">
        <v>126</v>
      </c>
      <c r="D29" t="s">
        <v>127</v>
      </c>
      <c r="E29" s="35">
        <v>10111</v>
      </c>
    </row>
    <row r="30" spans="3:5" ht="15">
      <c r="C30" t="s">
        <v>128</v>
      </c>
      <c r="D30" t="s">
        <v>129</v>
      </c>
      <c r="E30">
        <v>10113</v>
      </c>
    </row>
    <row r="31" spans="3:5" ht="15">
      <c r="C31" t="s">
        <v>130</v>
      </c>
      <c r="D31" t="s">
        <v>131</v>
      </c>
      <c r="E31">
        <v>10112</v>
      </c>
    </row>
    <row r="32" spans="3:5" ht="15">
      <c r="C32" t="s">
        <v>132</v>
      </c>
      <c r="D32" t="s">
        <v>133</v>
      </c>
      <c r="E32">
        <v>10116</v>
      </c>
    </row>
    <row r="33" spans="3:5" ht="15">
      <c r="C33" t="s">
        <v>134</v>
      </c>
      <c r="D33" t="s">
        <v>135</v>
      </c>
      <c r="E33" s="34">
        <v>10118</v>
      </c>
    </row>
    <row r="34" spans="3:5" ht="15">
      <c r="C34" t="s">
        <v>136</v>
      </c>
      <c r="D34" t="s">
        <v>137</v>
      </c>
      <c r="E34" s="34">
        <v>10121</v>
      </c>
    </row>
    <row r="35" spans="3:5" ht="15">
      <c r="C35" t="s">
        <v>138</v>
      </c>
      <c r="D35" t="s">
        <v>139</v>
      </c>
      <c r="E35">
        <v>10378</v>
      </c>
    </row>
    <row r="36" spans="3:5" ht="15">
      <c r="C36" t="s">
        <v>140</v>
      </c>
      <c r="D36" t="s">
        <v>141</v>
      </c>
      <c r="E36">
        <v>10123</v>
      </c>
    </row>
    <row r="37" spans="3:5" ht="15">
      <c r="C37" t="s">
        <v>142</v>
      </c>
      <c r="D37" t="s">
        <v>143</v>
      </c>
      <c r="E37" s="35">
        <v>10070</v>
      </c>
    </row>
    <row r="38" spans="3:5" ht="15">
      <c r="C38" t="s">
        <v>144</v>
      </c>
      <c r="D38" t="s">
        <v>144</v>
      </c>
      <c r="E38">
        <v>10135</v>
      </c>
    </row>
    <row r="39" spans="3:5" ht="15">
      <c r="C39" t="s">
        <v>145</v>
      </c>
      <c r="D39" t="s">
        <v>146</v>
      </c>
      <c r="E39">
        <v>10136</v>
      </c>
    </row>
    <row r="40" spans="3:5" ht="15">
      <c r="C40" t="s">
        <v>147</v>
      </c>
      <c r="D40" t="s">
        <v>148</v>
      </c>
      <c r="E40">
        <v>10071</v>
      </c>
    </row>
    <row r="41" spans="3:5" ht="15">
      <c r="C41" t="s">
        <v>149</v>
      </c>
      <c r="D41" t="s">
        <v>150</v>
      </c>
      <c r="E41" s="35">
        <v>10142</v>
      </c>
    </row>
    <row r="42" spans="3:5" ht="15">
      <c r="C42" t="s">
        <v>151</v>
      </c>
      <c r="D42" t="s">
        <v>152</v>
      </c>
      <c r="E42">
        <v>10144</v>
      </c>
    </row>
    <row r="43" spans="3:5" ht="15">
      <c r="C43" t="s">
        <v>153</v>
      </c>
      <c r="D43" t="s">
        <v>154</v>
      </c>
      <c r="E43" s="35">
        <v>10072</v>
      </c>
    </row>
    <row r="44" spans="3:5" ht="15">
      <c r="C44" t="s">
        <v>155</v>
      </c>
      <c r="D44" t="s">
        <v>156</v>
      </c>
      <c r="E44">
        <v>10156</v>
      </c>
    </row>
    <row r="45" spans="3:5" ht="15">
      <c r="C45" t="s">
        <v>157</v>
      </c>
      <c r="D45" t="s">
        <v>158</v>
      </c>
      <c r="E45">
        <v>10157</v>
      </c>
    </row>
    <row r="46" spans="3:5" ht="15">
      <c r="C46" t="s">
        <v>159</v>
      </c>
      <c r="D46" t="s">
        <v>160</v>
      </c>
      <c r="E46">
        <v>10158</v>
      </c>
    </row>
    <row r="47" spans="3:5" ht="15">
      <c r="C47" t="s">
        <v>420</v>
      </c>
      <c r="D47" t="s">
        <v>161</v>
      </c>
      <c r="E47">
        <v>10170</v>
      </c>
    </row>
    <row r="48" spans="3:5" ht="15">
      <c r="C48" t="s">
        <v>162</v>
      </c>
      <c r="D48" t="s">
        <v>163</v>
      </c>
      <c r="E48" s="35">
        <v>10408</v>
      </c>
    </row>
    <row r="49" spans="3:5" ht="15">
      <c r="C49" t="s">
        <v>164</v>
      </c>
      <c r="D49" t="s">
        <v>165</v>
      </c>
      <c r="E49">
        <v>10172</v>
      </c>
    </row>
    <row r="50" spans="3:5" ht="15">
      <c r="C50" t="s">
        <v>166</v>
      </c>
      <c r="D50" t="s">
        <v>167</v>
      </c>
      <c r="E50">
        <v>10173</v>
      </c>
    </row>
    <row r="51" spans="3:5" ht="15">
      <c r="C51" t="s">
        <v>168</v>
      </c>
      <c r="D51" t="s">
        <v>169</v>
      </c>
      <c r="E51">
        <v>10174</v>
      </c>
    </row>
    <row r="52" spans="3:5" ht="15">
      <c r="C52" t="s">
        <v>170</v>
      </c>
      <c r="D52" t="s">
        <v>171</v>
      </c>
      <c r="E52">
        <v>10177</v>
      </c>
    </row>
    <row r="53" spans="3:5" ht="15">
      <c r="C53" t="s">
        <v>172</v>
      </c>
      <c r="D53" s="36" t="s">
        <v>172</v>
      </c>
      <c r="E53">
        <v>10073</v>
      </c>
    </row>
    <row r="54" spans="3:5" ht="15">
      <c r="C54" t="s">
        <v>173</v>
      </c>
      <c r="D54" t="s">
        <v>174</v>
      </c>
      <c r="E54">
        <v>10179</v>
      </c>
    </row>
    <row r="55" spans="3:5" ht="15">
      <c r="C55" t="s">
        <v>175</v>
      </c>
      <c r="D55" t="s">
        <v>176</v>
      </c>
      <c r="E55" s="35">
        <v>10074</v>
      </c>
    </row>
    <row r="56" spans="3:5" ht="15">
      <c r="C56" t="s">
        <v>177</v>
      </c>
      <c r="D56" t="s">
        <v>178</v>
      </c>
      <c r="E56" s="35">
        <v>10183</v>
      </c>
    </row>
    <row r="57" spans="3:5" ht="15">
      <c r="C57" t="s">
        <v>179</v>
      </c>
      <c r="D57" t="s">
        <v>180</v>
      </c>
      <c r="E57">
        <v>10186</v>
      </c>
    </row>
    <row r="58" spans="3:5" ht="15">
      <c r="C58" t="s">
        <v>181</v>
      </c>
      <c r="D58" t="s">
        <v>182</v>
      </c>
      <c r="E58">
        <v>10190</v>
      </c>
    </row>
    <row r="59" spans="3:5" ht="15">
      <c r="C59" t="s">
        <v>183</v>
      </c>
      <c r="D59" t="s">
        <v>184</v>
      </c>
      <c r="E59">
        <v>10191</v>
      </c>
    </row>
    <row r="60" spans="3:5" ht="15">
      <c r="C60" t="s">
        <v>185</v>
      </c>
      <c r="D60" t="s">
        <v>186</v>
      </c>
      <c r="E60">
        <v>10197</v>
      </c>
    </row>
    <row r="61" spans="3:5" ht="15">
      <c r="C61" t="s">
        <v>187</v>
      </c>
      <c r="D61" t="s">
        <v>188</v>
      </c>
      <c r="E61">
        <v>10597</v>
      </c>
    </row>
    <row r="62" spans="3:5" ht="15">
      <c r="C62" t="s">
        <v>189</v>
      </c>
      <c r="D62" t="s">
        <v>190</v>
      </c>
      <c r="E62">
        <v>10076</v>
      </c>
    </row>
    <row r="63" spans="3:5" ht="15">
      <c r="C63" t="s">
        <v>191</v>
      </c>
      <c r="D63" t="s">
        <v>192</v>
      </c>
      <c r="E63">
        <v>10202</v>
      </c>
    </row>
    <row r="64" spans="3:5" ht="15">
      <c r="C64" t="s">
        <v>193</v>
      </c>
      <c r="D64" t="s">
        <v>194</v>
      </c>
      <c r="E64">
        <v>10203</v>
      </c>
    </row>
    <row r="65" spans="3:5" ht="15">
      <c r="C65" t="s">
        <v>195</v>
      </c>
      <c r="D65" t="s">
        <v>196</v>
      </c>
      <c r="E65">
        <v>10204</v>
      </c>
    </row>
    <row r="66" spans="3:5" ht="15">
      <c r="C66" t="s">
        <v>197</v>
      </c>
      <c r="D66" t="s">
        <v>198</v>
      </c>
      <c r="E66">
        <v>10209</v>
      </c>
    </row>
    <row r="67" spans="3:5" ht="15">
      <c r="C67" t="s">
        <v>199</v>
      </c>
      <c r="D67" t="s">
        <v>200</v>
      </c>
      <c r="E67">
        <v>12026</v>
      </c>
    </row>
    <row r="68" spans="3:5" ht="15">
      <c r="C68" t="s">
        <v>201</v>
      </c>
      <c r="D68" t="s">
        <v>202</v>
      </c>
      <c r="E68">
        <v>10230</v>
      </c>
    </row>
    <row r="69" spans="3:5" ht="15">
      <c r="C69" t="s">
        <v>203</v>
      </c>
      <c r="D69" t="s">
        <v>204</v>
      </c>
      <c r="E69">
        <v>10231</v>
      </c>
    </row>
    <row r="70" spans="3:5" ht="15">
      <c r="C70" t="s">
        <v>205</v>
      </c>
      <c r="D70" t="s">
        <v>206</v>
      </c>
      <c r="E70">
        <v>10234</v>
      </c>
    </row>
    <row r="71" spans="3:5" ht="15">
      <c r="C71" t="s">
        <v>207</v>
      </c>
      <c r="D71" t="s">
        <v>208</v>
      </c>
      <c r="E71">
        <v>13927</v>
      </c>
    </row>
    <row r="72" spans="3:5" ht="15">
      <c r="C72" t="s">
        <v>209</v>
      </c>
      <c r="D72" t="s">
        <v>210</v>
      </c>
      <c r="E72" s="35">
        <v>10235</v>
      </c>
    </row>
    <row r="73" spans="3:5" ht="15">
      <c r="C73" t="s">
        <v>211</v>
      </c>
      <c r="D73" t="s">
        <v>212</v>
      </c>
      <c r="E73">
        <v>10236</v>
      </c>
    </row>
    <row r="74" spans="3:5" ht="15">
      <c r="C74" t="s">
        <v>213</v>
      </c>
      <c r="D74" t="s">
        <v>214</v>
      </c>
      <c r="E74">
        <v>10237</v>
      </c>
    </row>
    <row r="75" spans="3:5" ht="15">
      <c r="C75" t="s">
        <v>215</v>
      </c>
      <c r="D75" t="s">
        <v>216</v>
      </c>
      <c r="E75">
        <v>10239</v>
      </c>
    </row>
    <row r="76" spans="3:5" ht="15">
      <c r="C76" t="s">
        <v>217</v>
      </c>
      <c r="D76" t="s">
        <v>218</v>
      </c>
      <c r="E76">
        <v>10242</v>
      </c>
    </row>
    <row r="77" spans="3:5" ht="15">
      <c r="C77" t="s">
        <v>219</v>
      </c>
      <c r="D77" t="s">
        <v>220</v>
      </c>
      <c r="E77">
        <v>10244</v>
      </c>
    </row>
    <row r="78" spans="3:5" ht="15">
      <c r="C78" t="s">
        <v>221</v>
      </c>
      <c r="D78" t="s">
        <v>222</v>
      </c>
      <c r="E78">
        <v>10246</v>
      </c>
    </row>
    <row r="79" spans="3:5" ht="15">
      <c r="C79" t="s">
        <v>223</v>
      </c>
      <c r="D79" t="s">
        <v>224</v>
      </c>
      <c r="E79" s="35">
        <v>10247</v>
      </c>
    </row>
    <row r="80" spans="3:5" ht="15">
      <c r="C80" t="s">
        <v>225</v>
      </c>
      <c r="D80" t="s">
        <v>226</v>
      </c>
      <c r="E80">
        <v>10078</v>
      </c>
    </row>
    <row r="81" spans="3:5" ht="15">
      <c r="C81" t="s">
        <v>227</v>
      </c>
      <c r="D81" t="s">
        <v>228</v>
      </c>
      <c r="E81">
        <v>10079</v>
      </c>
    </row>
    <row r="82" spans="3:5" ht="15">
      <c r="C82" t="s">
        <v>229</v>
      </c>
      <c r="D82" t="s">
        <v>230</v>
      </c>
      <c r="E82">
        <v>10256</v>
      </c>
    </row>
    <row r="83" spans="3:5" ht="15">
      <c r="C83" t="s">
        <v>231</v>
      </c>
      <c r="D83" t="s">
        <v>232</v>
      </c>
      <c r="E83">
        <v>10080</v>
      </c>
    </row>
    <row r="84" spans="3:5" ht="15">
      <c r="C84" t="s">
        <v>233</v>
      </c>
      <c r="D84" t="s">
        <v>234</v>
      </c>
      <c r="E84">
        <v>10081</v>
      </c>
    </row>
    <row r="85" spans="3:5" ht="15">
      <c r="C85" t="s">
        <v>235</v>
      </c>
      <c r="D85" t="s">
        <v>236</v>
      </c>
      <c r="E85">
        <v>10082</v>
      </c>
    </row>
    <row r="86" spans="3:5" ht="15">
      <c r="C86" t="s">
        <v>237</v>
      </c>
      <c r="D86" t="s">
        <v>238</v>
      </c>
      <c r="E86">
        <v>10258</v>
      </c>
    </row>
    <row r="87" spans="3:5" ht="15">
      <c r="C87" t="s">
        <v>239</v>
      </c>
      <c r="D87" t="s">
        <v>240</v>
      </c>
      <c r="E87">
        <v>10259</v>
      </c>
    </row>
    <row r="88" spans="3:5" ht="15">
      <c r="C88" t="s">
        <v>241</v>
      </c>
      <c r="D88" t="s">
        <v>242</v>
      </c>
      <c r="E88">
        <v>10260</v>
      </c>
    </row>
    <row r="89" spans="3:5" ht="15">
      <c r="C89" t="s">
        <v>243</v>
      </c>
      <c r="D89" t="s">
        <v>244</v>
      </c>
      <c r="E89">
        <v>10083</v>
      </c>
    </row>
    <row r="90" spans="3:5" ht="15">
      <c r="C90" t="s">
        <v>245</v>
      </c>
      <c r="D90" t="s">
        <v>246</v>
      </c>
      <c r="E90" s="34">
        <v>10273</v>
      </c>
    </row>
    <row r="91" spans="3:5" ht="15">
      <c r="C91" t="s">
        <v>247</v>
      </c>
      <c r="D91" t="s">
        <v>248</v>
      </c>
      <c r="E91">
        <v>10278</v>
      </c>
    </row>
    <row r="92" spans="3:5" ht="15">
      <c r="C92" t="s">
        <v>249</v>
      </c>
      <c r="D92" t="s">
        <v>250</v>
      </c>
      <c r="E92">
        <v>10279</v>
      </c>
    </row>
    <row r="93" spans="3:5" ht="15">
      <c r="C93" t="s">
        <v>251</v>
      </c>
      <c r="D93" t="s">
        <v>252</v>
      </c>
      <c r="E93" s="34">
        <v>10284</v>
      </c>
    </row>
    <row r="94" spans="3:5" ht="15">
      <c r="C94" t="s">
        <v>253</v>
      </c>
      <c r="D94" t="s">
        <v>254</v>
      </c>
      <c r="E94">
        <v>10285</v>
      </c>
    </row>
    <row r="95" spans="3:5" ht="15">
      <c r="C95" t="s">
        <v>255</v>
      </c>
      <c r="D95" t="s">
        <v>256</v>
      </c>
      <c r="E95">
        <v>10286</v>
      </c>
    </row>
    <row r="96" spans="3:5" ht="15">
      <c r="C96" t="s">
        <v>257</v>
      </c>
      <c r="D96" t="s">
        <v>258</v>
      </c>
      <c r="E96">
        <v>10288</v>
      </c>
    </row>
    <row r="97" spans="3:5" ht="15">
      <c r="C97" t="s">
        <v>259</v>
      </c>
      <c r="D97" t="s">
        <v>260</v>
      </c>
      <c r="E97">
        <v>10291</v>
      </c>
    </row>
    <row r="98" spans="3:5" ht="15">
      <c r="C98" t="s">
        <v>261</v>
      </c>
      <c r="D98" t="s">
        <v>262</v>
      </c>
      <c r="E98">
        <v>10294</v>
      </c>
    </row>
    <row r="99" spans="3:5" ht="15">
      <c r="C99" t="s">
        <v>263</v>
      </c>
      <c r="D99" t="s">
        <v>264</v>
      </c>
      <c r="E99" s="35">
        <v>10304</v>
      </c>
    </row>
    <row r="100" spans="3:5" ht="15">
      <c r="C100" t="s">
        <v>265</v>
      </c>
      <c r="D100" t="s">
        <v>266</v>
      </c>
      <c r="E100">
        <v>10306</v>
      </c>
    </row>
    <row r="101" spans="3:5" ht="15">
      <c r="C101" t="s">
        <v>267</v>
      </c>
      <c r="D101" t="s">
        <v>268</v>
      </c>
      <c r="E101">
        <v>10307</v>
      </c>
    </row>
    <row r="102" spans="3:5" ht="15">
      <c r="C102" t="s">
        <v>269</v>
      </c>
      <c r="D102" t="s">
        <v>270</v>
      </c>
      <c r="E102" s="35">
        <v>10086</v>
      </c>
    </row>
    <row r="103" spans="3:5" ht="15">
      <c r="C103" t="s">
        <v>271</v>
      </c>
      <c r="D103" t="s">
        <v>272</v>
      </c>
      <c r="E103">
        <v>10298</v>
      </c>
    </row>
    <row r="104" spans="3:5" ht="15">
      <c r="C104" t="s">
        <v>273</v>
      </c>
      <c r="D104" t="s">
        <v>274</v>
      </c>
      <c r="E104">
        <v>10087</v>
      </c>
    </row>
    <row r="105" spans="3:5" ht="15">
      <c r="C105" t="s">
        <v>275</v>
      </c>
      <c r="D105" t="s">
        <v>276</v>
      </c>
      <c r="E105">
        <v>10706</v>
      </c>
    </row>
    <row r="106" spans="3:5" ht="15">
      <c r="C106" t="s">
        <v>277</v>
      </c>
      <c r="D106" t="s">
        <v>278</v>
      </c>
      <c r="E106" s="35">
        <v>10331</v>
      </c>
    </row>
    <row r="107" spans="3:5" ht="15">
      <c r="C107" t="s">
        <v>279</v>
      </c>
      <c r="D107" t="s">
        <v>280</v>
      </c>
      <c r="E107">
        <v>10333</v>
      </c>
    </row>
    <row r="108" spans="3:5" ht="15">
      <c r="C108" t="s">
        <v>281</v>
      </c>
      <c r="D108" t="s">
        <v>282</v>
      </c>
      <c r="E108">
        <v>10089</v>
      </c>
    </row>
    <row r="109" spans="3:5" ht="15">
      <c r="C109" t="s">
        <v>283</v>
      </c>
      <c r="D109" t="s">
        <v>284</v>
      </c>
      <c r="E109">
        <v>10338</v>
      </c>
    </row>
    <row r="110" spans="3:5" ht="15">
      <c r="C110" t="s">
        <v>285</v>
      </c>
      <c r="D110" t="s">
        <v>286</v>
      </c>
      <c r="E110">
        <v>10091</v>
      </c>
    </row>
    <row r="111" spans="3:5" ht="15">
      <c r="C111" t="s">
        <v>287</v>
      </c>
      <c r="D111" t="s">
        <v>288</v>
      </c>
      <c r="E111">
        <v>10342</v>
      </c>
    </row>
    <row r="112" spans="3:5" ht="15">
      <c r="C112" t="s">
        <v>289</v>
      </c>
      <c r="D112" t="s">
        <v>290</v>
      </c>
      <c r="E112">
        <v>10343</v>
      </c>
    </row>
    <row r="113" spans="3:5" ht="15">
      <c r="C113" t="s">
        <v>291</v>
      </c>
      <c r="D113" t="s">
        <v>292</v>
      </c>
      <c r="E113">
        <v>10349</v>
      </c>
    </row>
    <row r="114" spans="3:5" ht="15">
      <c r="C114" t="s">
        <v>293</v>
      </c>
      <c r="D114" t="s">
        <v>294</v>
      </c>
      <c r="E114">
        <v>10352</v>
      </c>
    </row>
    <row r="115" spans="3:5" ht="15">
      <c r="C115" t="s">
        <v>295</v>
      </c>
      <c r="D115" t="s">
        <v>296</v>
      </c>
      <c r="E115">
        <v>10354</v>
      </c>
    </row>
    <row r="116" spans="3:5" ht="15">
      <c r="C116" t="s">
        <v>297</v>
      </c>
      <c r="D116" t="s">
        <v>298</v>
      </c>
      <c r="E116" s="35">
        <v>10094</v>
      </c>
    </row>
    <row r="117" spans="3:5" ht="15">
      <c r="C117" t="s">
        <v>299</v>
      </c>
      <c r="D117" t="s">
        <v>300</v>
      </c>
      <c r="E117">
        <v>10360</v>
      </c>
    </row>
    <row r="118" spans="3:5" ht="15">
      <c r="C118" t="s">
        <v>301</v>
      </c>
      <c r="D118" t="s">
        <v>302</v>
      </c>
      <c r="E118">
        <v>10363</v>
      </c>
    </row>
    <row r="119" spans="3:5" ht="15">
      <c r="C119" t="s">
        <v>303</v>
      </c>
      <c r="D119" t="s">
        <v>304</v>
      </c>
      <c r="E119">
        <v>10379</v>
      </c>
    </row>
    <row r="120" spans="3:5" ht="15">
      <c r="C120" t="s">
        <v>305</v>
      </c>
      <c r="D120" t="s">
        <v>306</v>
      </c>
      <c r="E120">
        <v>10095</v>
      </c>
    </row>
    <row r="121" spans="3:5" ht="15">
      <c r="C121" t="s">
        <v>307</v>
      </c>
      <c r="D121" t="s">
        <v>308</v>
      </c>
      <c r="E121">
        <v>10369</v>
      </c>
    </row>
    <row r="122" spans="3:5" ht="15">
      <c r="C122" t="s">
        <v>309</v>
      </c>
      <c r="D122" t="s">
        <v>310</v>
      </c>
      <c r="E122">
        <v>10370</v>
      </c>
    </row>
    <row r="123" spans="3:5" ht="15">
      <c r="C123" t="s">
        <v>311</v>
      </c>
      <c r="D123" t="s">
        <v>312</v>
      </c>
      <c r="E123">
        <v>10371</v>
      </c>
    </row>
    <row r="124" spans="3:5" ht="15">
      <c r="C124" t="s">
        <v>313</v>
      </c>
      <c r="D124" t="s">
        <v>314</v>
      </c>
      <c r="E124" s="34">
        <v>10376</v>
      </c>
    </row>
    <row r="125" spans="3:5" ht="15">
      <c r="C125" t="s">
        <v>315</v>
      </c>
      <c r="D125" t="s">
        <v>316</v>
      </c>
      <c r="E125">
        <v>10097</v>
      </c>
    </row>
    <row r="126" spans="3:5" ht="15">
      <c r="C126" t="s">
        <v>317</v>
      </c>
      <c r="D126" t="s">
        <v>318</v>
      </c>
      <c r="E126" s="35">
        <v>10388</v>
      </c>
    </row>
    <row r="127" spans="3:5" ht="15">
      <c r="C127" t="s">
        <v>319</v>
      </c>
      <c r="D127" t="s">
        <v>320</v>
      </c>
      <c r="E127">
        <v>10482</v>
      </c>
    </row>
    <row r="128" spans="3:5" ht="15">
      <c r="C128" t="s">
        <v>321</v>
      </c>
      <c r="D128" t="s">
        <v>322</v>
      </c>
      <c r="E128">
        <v>10391</v>
      </c>
    </row>
    <row r="129" spans="3:5" ht="15">
      <c r="C129" t="s">
        <v>323</v>
      </c>
      <c r="D129" t="s">
        <v>324</v>
      </c>
      <c r="E129">
        <v>10399</v>
      </c>
    </row>
    <row r="130" spans="3:5" ht="15">
      <c r="C130" t="s">
        <v>325</v>
      </c>
      <c r="D130" t="s">
        <v>326</v>
      </c>
      <c r="E130">
        <v>10406</v>
      </c>
    </row>
    <row r="131" spans="3:5" ht="15">
      <c r="C131" t="s">
        <v>327</v>
      </c>
      <c r="D131" t="s">
        <v>328</v>
      </c>
      <c r="E131" s="35">
        <v>10426</v>
      </c>
    </row>
    <row r="132" spans="3:5" ht="15">
      <c r="C132" t="s">
        <v>329</v>
      </c>
      <c r="D132" t="s">
        <v>330</v>
      </c>
      <c r="E132">
        <v>10434</v>
      </c>
    </row>
    <row r="133" spans="3:5" ht="15">
      <c r="C133" t="s">
        <v>331</v>
      </c>
      <c r="D133" t="s">
        <v>332</v>
      </c>
      <c r="E133">
        <v>10436</v>
      </c>
    </row>
    <row r="134" spans="3:5" ht="15">
      <c r="C134" t="s">
        <v>333</v>
      </c>
      <c r="D134" t="s">
        <v>334</v>
      </c>
      <c r="E134">
        <v>10440</v>
      </c>
    </row>
    <row r="135" spans="3:5" ht="15">
      <c r="C135" t="s">
        <v>335</v>
      </c>
      <c r="D135" t="s">
        <v>336</v>
      </c>
      <c r="E135">
        <v>10442</v>
      </c>
    </row>
    <row r="136" spans="3:5" ht="15">
      <c r="C136" t="s">
        <v>337</v>
      </c>
      <c r="D136" t="s">
        <v>338</v>
      </c>
      <c r="E136">
        <v>11680</v>
      </c>
    </row>
    <row r="137" spans="3:5" ht="15">
      <c r="C137" t="s">
        <v>339</v>
      </c>
      <c r="D137" t="s">
        <v>340</v>
      </c>
      <c r="E137">
        <v>10446</v>
      </c>
    </row>
    <row r="138" spans="3:5" ht="15">
      <c r="C138" t="s">
        <v>341</v>
      </c>
      <c r="D138" t="s">
        <v>342</v>
      </c>
      <c r="E138" s="34">
        <v>10448</v>
      </c>
    </row>
    <row r="139" spans="3:5" ht="15">
      <c r="C139" t="s">
        <v>343</v>
      </c>
      <c r="D139" t="s">
        <v>344</v>
      </c>
      <c r="E139" s="33">
        <v>10451</v>
      </c>
    </row>
    <row r="140" spans="3:5" ht="15">
      <c r="C140" t="s">
        <v>345</v>
      </c>
      <c r="D140" t="s">
        <v>346</v>
      </c>
      <c r="E140">
        <v>10502</v>
      </c>
    </row>
    <row r="144" spans="1:37" ht="21" customHeight="1">
      <c r="A144" s="37" t="s">
        <v>348</v>
      </c>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row>
    <row r="145" spans="1:37" ht="12.75" customHeight="1">
      <c r="A145" s="39" t="s">
        <v>349</v>
      </c>
      <c r="B145" s="40">
        <f>UtilityIncentiveRate</f>
        <v>0</v>
      </c>
      <c r="C145" s="41"/>
      <c r="D145" s="41"/>
      <c r="E145" s="41"/>
      <c r="F145" s="41"/>
      <c r="G145" s="41"/>
      <c r="H145" s="41"/>
      <c r="I145" s="41"/>
      <c r="J145" s="41"/>
      <c r="K145" s="41"/>
      <c r="L145" s="41"/>
      <c r="M145" s="41"/>
      <c r="N145" s="41"/>
      <c r="O145" s="41"/>
      <c r="P145" s="41"/>
      <c r="Q145" s="38"/>
      <c r="R145" s="38"/>
      <c r="S145" s="38"/>
      <c r="T145" s="38"/>
      <c r="U145" s="38"/>
      <c r="V145" s="38"/>
      <c r="W145" s="38"/>
      <c r="X145" s="38"/>
      <c r="Y145" s="38"/>
      <c r="Z145" s="38"/>
      <c r="AA145" s="38"/>
      <c r="AB145" s="38"/>
      <c r="AC145" s="38"/>
      <c r="AD145" s="38"/>
      <c r="AE145" s="38"/>
      <c r="AF145" s="38"/>
      <c r="AG145" s="38"/>
      <c r="AH145" s="38"/>
      <c r="AI145" s="38"/>
      <c r="AJ145" s="38"/>
      <c r="AK145" s="38"/>
    </row>
    <row r="146" spans="1:37" ht="12.75" customHeight="1" thickBot="1">
      <c r="A146" s="39" t="s">
        <v>350</v>
      </c>
      <c r="B146" s="42">
        <f>UtilityIncentivePercent</f>
        <v>0</v>
      </c>
      <c r="C146" s="41"/>
      <c r="D146" s="41"/>
      <c r="E146" s="41"/>
      <c r="F146" s="41"/>
      <c r="G146" s="41"/>
      <c r="H146" s="41"/>
      <c r="I146" s="41"/>
      <c r="J146" s="41"/>
      <c r="K146" s="41"/>
      <c r="L146" s="41"/>
      <c r="M146" s="41"/>
      <c r="N146" s="41"/>
      <c r="O146" s="41"/>
      <c r="P146" s="41"/>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1" ht="12.75" customHeight="1">
      <c r="A147" s="43" t="s">
        <v>351</v>
      </c>
      <c r="B147" s="44" t="s">
        <v>352</v>
      </c>
      <c r="C147" s="44" t="s">
        <v>353</v>
      </c>
      <c r="D147" s="44" t="s">
        <v>354</v>
      </c>
      <c r="E147" s="44" t="s">
        <v>355</v>
      </c>
      <c r="F147" s="44" t="s">
        <v>356</v>
      </c>
      <c r="G147" s="45" t="s">
        <v>357</v>
      </c>
      <c r="H147" s="45" t="s">
        <v>358</v>
      </c>
      <c r="I147" s="45" t="s">
        <v>359</v>
      </c>
      <c r="J147" s="45" t="s">
        <v>360</v>
      </c>
      <c r="K147" s="44" t="s">
        <v>361</v>
      </c>
      <c r="L147" s="44" t="s">
        <v>362</v>
      </c>
      <c r="M147" s="44" t="s">
        <v>363</v>
      </c>
      <c r="N147" s="44" t="s">
        <v>364</v>
      </c>
      <c r="O147" s="44" t="s">
        <v>365</v>
      </c>
      <c r="P147" s="44" t="s">
        <v>366</v>
      </c>
      <c r="Q147" s="44" t="s">
        <v>367</v>
      </c>
      <c r="R147" s="44" t="s">
        <v>368</v>
      </c>
      <c r="S147" s="46" t="s">
        <v>369</v>
      </c>
      <c r="T147" s="41"/>
      <c r="U147" s="47" t="s">
        <v>370</v>
      </c>
      <c r="Z147" s="38"/>
      <c r="AA147" s="38"/>
      <c r="AB147" s="38"/>
      <c r="AC147" s="38"/>
      <c r="AD147" s="38"/>
      <c r="AE147" s="38"/>
      <c r="AF147" s="38"/>
      <c r="AG147" s="38"/>
      <c r="AH147" s="38"/>
      <c r="AI147" s="38"/>
      <c r="AJ147" s="38"/>
      <c r="AK147" s="38"/>
      <c r="AL147" s="38"/>
      <c r="AM147" s="38"/>
      <c r="AN147" s="38"/>
      <c r="AO147" s="38"/>
    </row>
    <row r="148" spans="1:41" ht="18.75" customHeight="1" thickBot="1">
      <c r="A148" s="48" t="s">
        <v>371</v>
      </c>
      <c r="B148" s="49" t="str">
        <f>IF('1. Site Data '!C25="--Select--","",'1. Site Data '!C25)</f>
        <v/>
      </c>
      <c r="C148" s="49">
        <f>ToolVersion</f>
        <v>1</v>
      </c>
      <c r="D148" s="49">
        <f>MeasureLife_Default</f>
        <v>10</v>
      </c>
      <c r="E148" s="49">
        <f>EstUtilEligibleCost</f>
        <v>0</v>
      </c>
      <c r="F148" s="50">
        <f>Busbar_multiplier*'2. Operational Data'!C34</f>
        <v>0</v>
      </c>
      <c r="G148" s="49">
        <f>BPA_Credit</f>
        <v>0</v>
      </c>
      <c r="H148" s="49" t="str">
        <f>TRCBenefit_Cost_Ratio</f>
        <v>Negative</v>
      </c>
      <c r="I148" s="49"/>
      <c r="J148" s="49"/>
      <c r="K148" s="49">
        <f>UtilAccountNumber</f>
        <v>0</v>
      </c>
      <c r="L148" s="49">
        <f>SiteZip</f>
        <v>0</v>
      </c>
      <c r="M148" s="49">
        <f>CompanyName</f>
        <v>0</v>
      </c>
      <c r="N148" s="49">
        <f>SiteState</f>
        <v>0</v>
      </c>
      <c r="O148" s="51" t="str">
        <f>IF(ISBLANK('1. Site Data '!C14),"Welder Upgrade",'1. Site Data '!C14:F14&amp;" Welder Upgrade")</f>
        <v>Welder Upgrade</v>
      </c>
      <c r="P148" s="49">
        <f>SiteStreet</f>
        <v>0</v>
      </c>
      <c r="Q148" s="49">
        <f>SiteCity</f>
        <v>0</v>
      </c>
      <c r="R148" s="52"/>
      <c r="S148" s="53"/>
      <c r="T148" s="41"/>
      <c r="U148" s="54"/>
      <c r="Z148" s="38"/>
      <c r="AA148" s="38"/>
      <c r="AB148" s="38"/>
      <c r="AC148" s="38"/>
      <c r="AD148" s="38"/>
      <c r="AE148" s="38"/>
      <c r="AF148" s="38"/>
      <c r="AG148" s="38"/>
      <c r="AH148" s="38"/>
      <c r="AI148" s="38"/>
      <c r="AJ148" s="38"/>
      <c r="AK148" s="38"/>
      <c r="AL148" s="38"/>
      <c r="AM148" s="38"/>
      <c r="AN148" s="38"/>
      <c r="AO148" s="38"/>
    </row>
    <row r="151" spans="2:6" ht="15">
      <c r="B151" s="55" t="s">
        <v>375</v>
      </c>
      <c r="C151" s="56"/>
      <c r="D151" s="55" t="s">
        <v>376</v>
      </c>
      <c r="F151" s="56"/>
    </row>
    <row r="152" spans="2:6" ht="15">
      <c r="B152" s="55" t="s">
        <v>377</v>
      </c>
      <c r="C152" s="56"/>
      <c r="D152" s="56"/>
      <c r="F152" s="56"/>
    </row>
    <row r="153" spans="2:6" ht="15">
      <c r="B153" s="47" t="s">
        <v>378</v>
      </c>
      <c r="C153" s="56"/>
      <c r="D153" s="56"/>
      <c r="F153" s="56"/>
    </row>
    <row r="154" spans="2:6" ht="15">
      <c r="B154" s="57">
        <v>1</v>
      </c>
      <c r="C154" s="47" t="s">
        <v>379</v>
      </c>
      <c r="D154" s="56"/>
      <c r="F154" s="56"/>
    </row>
    <row r="155" spans="2:6" ht="15">
      <c r="B155" s="57">
        <v>2</v>
      </c>
      <c r="C155" s="47" t="s">
        <v>352</v>
      </c>
      <c r="D155" s="56"/>
      <c r="E155" t="s">
        <v>347</v>
      </c>
      <c r="F155" s="56" t="s">
        <v>412</v>
      </c>
    </row>
    <row r="156" spans="2:5" ht="15">
      <c r="B156" s="57">
        <v>3</v>
      </c>
      <c r="C156" s="47" t="s">
        <v>353</v>
      </c>
      <c r="D156" s="47" t="s">
        <v>380</v>
      </c>
      <c r="E156">
        <v>1</v>
      </c>
    </row>
    <row r="157" spans="2:5" ht="15">
      <c r="B157" s="57">
        <v>4</v>
      </c>
      <c r="C157" s="47" t="s">
        <v>354</v>
      </c>
      <c r="D157" s="47" t="s">
        <v>381</v>
      </c>
      <c r="E157">
        <v>10</v>
      </c>
    </row>
    <row r="158" spans="2:4" ht="15">
      <c r="B158" s="57">
        <v>6</v>
      </c>
      <c r="C158" s="47" t="s">
        <v>355</v>
      </c>
      <c r="D158" s="47" t="s">
        <v>382</v>
      </c>
    </row>
    <row r="159" spans="2:7" ht="15">
      <c r="B159" s="57">
        <v>7</v>
      </c>
      <c r="C159" s="47" t="s">
        <v>356</v>
      </c>
      <c r="D159" s="47" t="s">
        <v>383</v>
      </c>
      <c r="F159" s="56" t="s">
        <v>406</v>
      </c>
      <c r="G159" s="56">
        <v>1.09056</v>
      </c>
    </row>
    <row r="160" spans="2:6" ht="15.75" thickBot="1">
      <c r="B160" s="57">
        <v>8</v>
      </c>
      <c r="C160" s="47" t="s">
        <v>357</v>
      </c>
      <c r="D160" s="47" t="s">
        <v>384</v>
      </c>
      <c r="F160" s="56"/>
    </row>
    <row r="161" spans="2:7" ht="15.75" thickBot="1">
      <c r="B161" s="57" t="s">
        <v>385</v>
      </c>
      <c r="C161" s="47" t="s">
        <v>358</v>
      </c>
      <c r="D161" s="47" t="s">
        <v>386</v>
      </c>
      <c r="E161" s="58" t="str">
        <f>IF(PV_Energy_Savings=0,"Negative",IF(AND(EstUtilEligibleCost&gt;0,PV_Energy_Savings&gt;0),(PV_Energy_Savings/EstUtilEligibleCost),"Infinite"))</f>
        <v>Negative</v>
      </c>
      <c r="F161" s="56" t="s">
        <v>407</v>
      </c>
      <c r="G161">
        <v>0.8</v>
      </c>
    </row>
    <row r="162" spans="2:7" ht="15">
      <c r="B162" s="57" t="s">
        <v>387</v>
      </c>
      <c r="C162" s="47" t="s">
        <v>359</v>
      </c>
      <c r="D162" s="47" t="s">
        <v>388</v>
      </c>
      <c r="F162" s="56" t="s">
        <v>408</v>
      </c>
      <c r="G162" s="59">
        <f>PV_kWh*F148</f>
        <v>0</v>
      </c>
    </row>
    <row r="163" spans="2:6" ht="15">
      <c r="B163" s="57" t="s">
        <v>389</v>
      </c>
      <c r="C163" s="47" t="s">
        <v>360</v>
      </c>
      <c r="D163" s="47" t="s">
        <v>390</v>
      </c>
      <c r="F163" s="56"/>
    </row>
    <row r="164" spans="2:6" ht="15">
      <c r="B164" s="57" t="s">
        <v>391</v>
      </c>
      <c r="C164" s="47" t="s">
        <v>361</v>
      </c>
      <c r="D164" s="47" t="s">
        <v>392</v>
      </c>
      <c r="F164" s="56"/>
    </row>
    <row r="165" spans="2:6" ht="15">
      <c r="B165" s="57" t="s">
        <v>393</v>
      </c>
      <c r="C165" s="47" t="s">
        <v>362</v>
      </c>
      <c r="D165" s="47" t="s">
        <v>394</v>
      </c>
      <c r="F165" s="56"/>
    </row>
    <row r="166" spans="2:6" ht="15">
      <c r="B166" s="57" t="s">
        <v>395</v>
      </c>
      <c r="C166" s="47" t="s">
        <v>363</v>
      </c>
      <c r="D166" s="47" t="s">
        <v>396</v>
      </c>
      <c r="F166" s="56"/>
    </row>
    <row r="167" spans="2:6" ht="15">
      <c r="B167" s="57" t="s">
        <v>397</v>
      </c>
      <c r="C167" s="47" t="s">
        <v>364</v>
      </c>
      <c r="D167" s="47" t="s">
        <v>398</v>
      </c>
      <c r="F167" s="56"/>
    </row>
    <row r="168" spans="2:6" ht="15">
      <c r="B168" s="57" t="s">
        <v>399</v>
      </c>
      <c r="C168" s="47" t="s">
        <v>365</v>
      </c>
      <c r="D168" s="47" t="s">
        <v>400</v>
      </c>
      <c r="F168" s="56"/>
    </row>
    <row r="169" spans="2:6" ht="15">
      <c r="B169" s="57">
        <v>18</v>
      </c>
      <c r="C169" s="47" t="s">
        <v>366</v>
      </c>
      <c r="D169" s="47" t="s">
        <v>401</v>
      </c>
      <c r="F169" s="41"/>
    </row>
    <row r="170" spans="2:6" ht="15">
      <c r="B170" s="57">
        <v>19</v>
      </c>
      <c r="C170" s="47" t="s">
        <v>367</v>
      </c>
      <c r="D170" s="47" t="s">
        <v>402</v>
      </c>
      <c r="F170" s="41"/>
    </row>
    <row r="171" spans="2:6" ht="15">
      <c r="B171" s="57">
        <v>20</v>
      </c>
      <c r="C171" s="47" t="s">
        <v>368</v>
      </c>
      <c r="D171" s="47" t="s">
        <v>403</v>
      </c>
      <c r="F171" s="41"/>
    </row>
    <row r="172" spans="2:6" ht="15">
      <c r="B172" s="57">
        <v>21</v>
      </c>
      <c r="C172" s="47" t="s">
        <v>404</v>
      </c>
      <c r="D172" s="47" t="s">
        <v>405</v>
      </c>
      <c r="F172" s="38"/>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Document </_ResourceType>
    <TaxCatchAll xmlns="e22c7409-3fd3-409a-a4a6-6ab0ea51d687">
      <Value>16</Value>
    </TaxCatchAll>
    <_DCDateCreat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2577F1FA3A91944FB06506E561E612D5" ma:contentTypeVersion="6" ma:contentTypeDescription="BPA Documents that do not have a specific content type defined." ma:contentTypeScope="" ma:versionID="0b05b3b6d55006cb46c6e7ec31625e20">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aeedefea269660b2b1559e3fd7a19302"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48d172a2-2dac-438c-8a85-36dabc38d50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48d172a2-2dac-438c-8a85-36dabc38d5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B175C-DED7-45D8-950D-BA87DDD5B0BB}">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e22c7409-3fd3-409a-a4a6-6ab0ea51d687"/>
    <ds:schemaRef ds:uri="http://purl.org/dc/elements/1.1/"/>
    <ds:schemaRef ds:uri="http://schemas.microsoft.com/sharepoint/v3/fields"/>
    <ds:schemaRef ds:uri="http://purl.org/dc/term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E6004D9B-1EE0-47C3-8568-C1DB9C633D92}">
  <ds:schemaRefs>
    <ds:schemaRef ds:uri="http://schemas.microsoft.com/sharepoint/v3/contenttype/forms"/>
  </ds:schemaRefs>
</ds:datastoreItem>
</file>

<file path=customXml/itemProps3.xml><?xml version="1.0" encoding="utf-8"?>
<ds:datastoreItem xmlns:ds="http://schemas.openxmlformats.org/officeDocument/2006/customXml" ds:itemID="{FA2062CE-8292-4E26-A284-38635BE5F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22c7409-3fd3-409a-a4a6-6ab0ea51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Cascade Energy,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Welder_Upgrade_Calculator</dc:title>
  <dc:subject/>
  <dc:creator>Kelly, Nathan</dc:creator>
  <cp:keywords/>
  <dc:description/>
  <cp:lastModifiedBy>Kelly,Nathan C (BPA) - PEJ-IDAHO FALLS</cp:lastModifiedBy>
  <cp:lastPrinted>2019-01-08T00:22:32Z</cp:lastPrinted>
  <dcterms:created xsi:type="dcterms:W3CDTF">2014-05-28T18:29:53Z</dcterms:created>
  <dcterms:modified xsi:type="dcterms:W3CDTF">2023-09-26T22:20:00Z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0x010100404842DB1C82EF43A906826C7ABE80A904002577F1FA3A91944FB06506E561E612D5</vt:lpwstr>
  </property>
  <property fmtid="{D5CDD505-2E9C-101B-9397-08002B2CF9AE}" pid="3" name="Tags">
    <vt:lpwstr>16;#Energy Efficiency|7d88f299-fa2d-4d2a-99d9-9b08652f27c4</vt:lpwstr>
  </property>
  <property fmtid="{D5CDD505-2E9C-101B-9397-08002B2CF9AE}" pid="4" name="Order">
    <vt:r8>41800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PublishingContact">
    <vt:lpwstr/>
  </property>
  <property fmtid="{D5CDD505-2E9C-101B-9397-08002B2CF9AE}" pid="11" name="PublishingRollupImage">
    <vt:lpwstr/>
  </property>
  <property fmtid="{D5CDD505-2E9C-101B-9397-08002B2CF9AE}" pid="12" name="PublishingContactEmail">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Comments">
    <vt:lpwstr/>
  </property>
  <property fmtid="{D5CDD505-2E9C-101B-9397-08002B2CF9AE}" pid="16" name="PublishingPageLayout">
    <vt:lpwstr/>
  </property>
  <property fmtid="{D5CDD505-2E9C-101B-9397-08002B2CF9AE}" pid="17" name="Audience">
    <vt:lpwstr/>
  </property>
  <property fmtid="{D5CDD505-2E9C-101B-9397-08002B2CF9AE}" pid="18" name="PublishingContactPicture">
    <vt:lpwstr/>
  </property>
  <property fmtid="{D5CDD505-2E9C-101B-9397-08002B2CF9AE}" pid="19" name="PublishingVariationGroupID">
    <vt:lpwstr/>
  </property>
</Properties>
</file>