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JM0042\Documents\"/>
    </mc:Choice>
  </mc:AlternateContent>
  <workbookProtection workbookAlgorithmName="SHA-512" workbookHashValue="hN9kQEIdQaH/yuu3BQrim7/xI35Kn/1z3aIvCoKLuQ7FRVxFYU2B2l79ZKQQXqxYA8ShEqz8SVq7fH+3znXODg==" workbookSaltValue="9JefK4ctVHYLoE27DjdMtQ==" workbookSpinCount="100000" lockStructure="1"/>
  <bookViews>
    <workbookView xWindow="0" yWindow="0" windowWidth="17895" windowHeight="9510"/>
  </bookViews>
  <sheets>
    <sheet name="Project Information" sheetId="1" r:id="rId1"/>
    <sheet name="Annual Completion Reports" sheetId="4" r:id="rId2"/>
    <sheet name="Payment Tables" sheetId="2" state="hidden" r:id="rId3"/>
    <sheet name="uploaddata" sheetId="6" state="hidden" r:id="rId4"/>
    <sheet name="uploaddata collection" sheetId="7" state="hidden" r:id="rId5"/>
    <sheet name="Revision History" sheetId="8" state="hidden" r:id="rId6"/>
    <sheet name="Utility List" sheetId="9" state="hidden" r:id="rId7"/>
  </sheets>
  <definedNames>
    <definedName name="busbar">'Payment Tables'!$C$7</definedName>
    <definedName name="est_site_energy">#REF!</definedName>
    <definedName name="inc_site_busbar">'Payment Tables'!$C$8</definedName>
    <definedName name="previous_sem_savings">'Annual Completion Reports'!$D$9</definedName>
    <definedName name="submittal_no">'Payment Tables'!$C$5</definedName>
    <definedName name="up_BES">'uploaddata collection'!$E$40</definedName>
    <definedName name="up_city">'uploaddata collection'!$E$22</definedName>
    <definedName name="up_cont_email">'uploaddata collection'!$E$26</definedName>
    <definedName name="up_cont_name">'uploaddata collection'!$E$23</definedName>
    <definedName name="up_cont_phone">'uploaddata collection'!$E$25</definedName>
    <definedName name="up_cont_title">'uploaddata collection'!$E$24</definedName>
    <definedName name="up_facility">'uploaddata collection'!$E$18</definedName>
    <definedName name="up_NAICS">'uploaddata collection'!$E$28</definedName>
    <definedName name="up_projectno">'uploaddata collection'!$E$6</definedName>
    <definedName name="up_projname">'uploaddata collection'!$E$20</definedName>
    <definedName name="up_state">'uploaddata collection'!$E$19</definedName>
    <definedName name="up_street">'uploaddata collection'!$E$21</definedName>
    <definedName name="up_sub_compreport">'uploaddata collection'!$E$35:$F$35</definedName>
    <definedName name="up_sub_date">'uploaddata collection'!$E$41:$F$41</definedName>
    <definedName name="up_sub_eligsav">'uploaddata collection'!$E$38:$F$38</definedName>
    <definedName name="up_sub_emttsubmit">'uploaddata collection'!$E$30:$F$30</definedName>
    <definedName name="up_sub_impcost">'uploaddata collection'!#REF!</definedName>
    <definedName name="up_sub_incrsav">'uploaddata collection'!$E$10:$F$10</definedName>
    <definedName name="up_sub_ml">'uploaddata collection'!$E$8:$F$8</definedName>
    <definedName name="up_sub_no">'uploaddata collection'!$E$7:$F$7</definedName>
    <definedName name="up_sub_subname">'uploaddata collection'!$E$29:$F$29</definedName>
    <definedName name="up_sub_totcred">'uploaddata collection'!$E$12:$F$12</definedName>
    <definedName name="up_sub_ttcredit">'uploaddata collection'!$E$36:$F$36</definedName>
    <definedName name="up_sub_versav">'uploaddata collection'!$E$39:$F$39</definedName>
    <definedName name="up_version">'uploaddata collection'!$E$4</definedName>
    <definedName name="up_zip">'uploaddata collection'!$E$17</definedName>
    <definedName name="y1_max_sem_sav_pmt">'Annual Completion Reports'!$D$26</definedName>
    <definedName name="y1_perf_period">'Annual Completion Reports'!$D$25</definedName>
    <definedName name="y1_req_complete_check">'Annual Completion Reports'!$C$4</definedName>
    <definedName name="y1_sem_funding">'Payment Tables'!$F$28</definedName>
    <definedName name="y1_sem_sav_pmt">'Annual Completion Reports'!$D$28</definedName>
    <definedName name="y1_site_savings">'Annual Completion Reports'!$D$12</definedName>
    <definedName name="y1_util_sav_cap">'Annual Completion Reports'!$D$27</definedName>
    <definedName name="y2_max_sem_sav_pmt">'Annual Completion Reports'!$G$26</definedName>
    <definedName name="y2_perf_period">'Annual Completion Reports'!$G$25</definedName>
    <definedName name="y2_req_complete_check">'Annual Completion Reports'!$F$4</definedName>
    <definedName name="y2_sem_funding">'Payment Tables'!$G$28</definedName>
    <definedName name="y2_sem_sav_pmt">'Annual Completion Reports'!$G$28</definedName>
    <definedName name="y2_site_savings">'Annual Completion Reports'!$G$12</definedName>
    <definedName name="y2_util_sav_cap">'Annual Completion Reports'!$G$27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 l="1"/>
  <c r="F4" i="1"/>
  <c r="E4" i="1"/>
  <c r="F41" i="7" l="1"/>
  <c r="E41" i="7"/>
  <c r="E6" i="7"/>
  <c r="E17" i="7"/>
  <c r="E18" i="7"/>
  <c r="E19" i="7"/>
  <c r="E20" i="7"/>
  <c r="E21" i="7"/>
  <c r="E22" i="7"/>
  <c r="E23" i="7"/>
  <c r="E24" i="7"/>
  <c r="E25" i="7"/>
  <c r="E26" i="7"/>
  <c r="E28" i="7"/>
  <c r="E35" i="7"/>
  <c r="E40" i="7"/>
  <c r="C6" i="2"/>
  <c r="X2" i="6" s="1"/>
  <c r="E5" i="1"/>
  <c r="F5" i="1"/>
  <c r="F15" i="1" l="1"/>
  <c r="F26" i="2" l="1"/>
  <c r="G26" i="2" l="1"/>
  <c r="G24" i="2" l="1"/>
  <c r="G27" i="2" s="1"/>
  <c r="F24" i="2"/>
  <c r="F27" i="2" s="1"/>
  <c r="G28" i="2" l="1"/>
  <c r="F12" i="7" s="1"/>
  <c r="F28" i="2"/>
  <c r="E12" i="7" s="1"/>
  <c r="E18" i="2"/>
  <c r="F10" i="7" s="1"/>
  <c r="D16" i="2"/>
  <c r="E39" i="7" s="1"/>
  <c r="F36" i="7" l="1"/>
  <c r="E36" i="7"/>
  <c r="F34" i="7"/>
  <c r="AB2" i="6"/>
  <c r="D2" i="6" l="1"/>
  <c r="AO2" i="6"/>
  <c r="Z2" i="6"/>
  <c r="AA2" i="6"/>
  <c r="AF2" i="6"/>
  <c r="D18" i="2"/>
  <c r="E10" i="7" s="1"/>
  <c r="D17" i="2"/>
  <c r="E38" i="7" s="1"/>
  <c r="E17" i="2"/>
  <c r="F38" i="7" s="1"/>
  <c r="C8" i="2"/>
  <c r="C8" i="4"/>
  <c r="G25" i="2" l="1"/>
  <c r="F25" i="2"/>
  <c r="G2" i="6"/>
  <c r="AK2" i="6"/>
  <c r="C10" i="2" l="1"/>
  <c r="D19" i="2" l="1"/>
  <c r="D26" i="4" s="1"/>
  <c r="D28" i="4" l="1"/>
  <c r="D15" i="2" l="1"/>
  <c r="C2" i="8" l="1"/>
  <c r="E4" i="7" s="1"/>
  <c r="E1" i="2" l="1"/>
  <c r="B1" i="2"/>
  <c r="F27" i="4"/>
  <c r="C27" i="4"/>
  <c r="C9" i="4"/>
  <c r="C7" i="4"/>
  <c r="C6" i="4"/>
  <c r="C13" i="4"/>
  <c r="C39" i="4"/>
  <c r="C40" i="4"/>
  <c r="C12" i="4"/>
  <c r="F13" i="4"/>
  <c r="F39" i="4"/>
  <c r="F40" i="4"/>
  <c r="F12" i="4"/>
  <c r="F36" i="4" l="1" a="1"/>
  <c r="F36" i="4" s="1"/>
  <c r="C36" i="4" a="1"/>
  <c r="C36" i="4" s="1"/>
  <c r="D36" i="4" l="1"/>
  <c r="G25" i="4"/>
  <c r="D25" i="4"/>
  <c r="F7" i="4" l="1"/>
  <c r="C4" i="4" l="1" a="1"/>
  <c r="C4" i="4" s="1"/>
  <c r="F6" i="4"/>
  <c r="E19" i="2" l="1"/>
  <c r="G26" i="4" s="1"/>
  <c r="G28" i="4" s="1"/>
  <c r="G36" i="4"/>
  <c r="D4" i="4"/>
  <c r="F4" i="4" a="1"/>
  <c r="F4" i="4" s="1"/>
  <c r="E14" i="2"/>
  <c r="D14" i="2"/>
  <c r="Y2" i="6"/>
  <c r="W2" i="6"/>
  <c r="V2" i="6"/>
  <c r="U2" i="6"/>
  <c r="T2" i="6"/>
  <c r="S2" i="6"/>
  <c r="R2" i="6"/>
  <c r="Q2" i="6"/>
  <c r="P2" i="6"/>
  <c r="O2" i="6"/>
  <c r="N2" i="6"/>
  <c r="C2" i="6"/>
  <c r="B1" i="4"/>
  <c r="AN2" i="6"/>
  <c r="A2" i="6"/>
  <c r="E16" i="2"/>
  <c r="F39" i="7" s="1"/>
  <c r="E15" i="2"/>
  <c r="F21" i="1"/>
  <c r="E21" i="1"/>
  <c r="F20" i="1"/>
  <c r="E20" i="1"/>
  <c r="F19" i="1"/>
  <c r="E19" i="1"/>
  <c r="F18" i="1"/>
  <c r="E18" i="1"/>
  <c r="F17" i="1"/>
  <c r="E17" i="1"/>
  <c r="F16" i="1"/>
  <c r="E16" i="1"/>
  <c r="E15" i="1"/>
  <c r="F14" i="1"/>
  <c r="E14" i="1"/>
  <c r="F13" i="1"/>
  <c r="E13" i="1"/>
  <c r="F12" i="1"/>
  <c r="E12" i="1"/>
  <c r="F11" i="1"/>
  <c r="E11" i="1"/>
  <c r="F10" i="1"/>
  <c r="D1" i="2" s="1"/>
  <c r="E10" i="1"/>
  <c r="C1" i="2" s="1"/>
  <c r="F9" i="1"/>
  <c r="E9" i="1"/>
  <c r="F8" i="1"/>
  <c r="E8" i="1"/>
  <c r="F7" i="1"/>
  <c r="E7" i="1"/>
  <c r="F6" i="1"/>
  <c r="E6" i="1"/>
  <c r="F3" i="1"/>
  <c r="E3" i="1"/>
  <c r="G4" i="4" l="1"/>
  <c r="H1" i="1"/>
  <c r="AL2" i="6"/>
  <c r="AH2" i="6" l="1"/>
  <c r="I2" i="6" l="1"/>
</calcChain>
</file>

<file path=xl/comments1.xml><?xml version="1.0" encoding="utf-8"?>
<comments xmlns="http://schemas.openxmlformats.org/spreadsheetml/2006/main">
  <authors>
    <author>ssreekantham</author>
    <author>Dane Hobbs</author>
  </authors>
  <commentList>
    <comment ref="A1" authorId="0" shapeId="0">
      <text>
        <r>
          <rPr>
            <b/>
            <sz val="9"/>
            <color indexed="81"/>
            <rFont val="Tahoma"/>
            <family val="2"/>
          </rPr>
          <t>ssreekantham:</t>
        </r>
        <r>
          <rPr>
            <sz val="9"/>
            <color indexed="81"/>
            <rFont val="Tahoma"/>
            <family val="2"/>
          </rPr>
          <t xml:space="preserve">
Calculator Version</t>
        </r>
      </text>
    </comment>
    <comment ref="B1" authorId="0" shapeId="0">
      <text>
        <r>
          <rPr>
            <b/>
            <sz val="9"/>
            <color indexed="81"/>
            <rFont val="Tahoma"/>
            <family val="2"/>
          </rPr>
          <t>ssreekantham:</t>
        </r>
        <r>
          <rPr>
            <sz val="9"/>
            <color indexed="81"/>
            <rFont val="Tahoma"/>
            <family val="2"/>
          </rPr>
          <t xml:space="preserve">
</t>
        </r>
        <r>
          <rPr>
            <b/>
            <sz val="9"/>
            <color indexed="81"/>
            <rFont val="Tahoma"/>
            <family val="2"/>
          </rPr>
          <t>New Field</t>
        </r>
        <r>
          <rPr>
            <sz val="9"/>
            <color indexed="81"/>
            <rFont val="Tahoma"/>
            <family val="2"/>
          </rPr>
          <t>-
Project Type EPM\T&amp;T\HPEM</t>
        </r>
      </text>
    </comment>
    <comment ref="C1" authorId="0" shapeId="0">
      <text>
        <r>
          <rPr>
            <b/>
            <sz val="9"/>
            <color indexed="81"/>
            <rFont val="Tahoma"/>
            <family val="2"/>
          </rPr>
          <t>ssreekantham:
New Field</t>
        </r>
        <r>
          <rPr>
            <sz val="9"/>
            <color indexed="81"/>
            <rFont val="Tahoma"/>
            <family val="2"/>
          </rPr>
          <t xml:space="preserve">
ESI Project Number</t>
        </r>
      </text>
    </comment>
    <comment ref="D1" authorId="0" shapeId="0">
      <text>
        <r>
          <rPr>
            <b/>
            <sz val="9"/>
            <color indexed="81"/>
            <rFont val="Tahoma"/>
            <family val="2"/>
          </rPr>
          <t>ssreekantham:
New Field-</t>
        </r>
        <r>
          <rPr>
            <sz val="9"/>
            <color indexed="81"/>
            <rFont val="Tahoma"/>
            <family val="2"/>
          </rPr>
          <t xml:space="preserve">
Submittal Number</t>
        </r>
      </text>
    </comment>
    <comment ref="E1" authorId="0" shapeId="0">
      <text>
        <r>
          <rPr>
            <b/>
            <sz val="9"/>
            <color indexed="81"/>
            <rFont val="Tahoma"/>
            <family val="2"/>
          </rPr>
          <t>ssreekantham:</t>
        </r>
        <r>
          <rPr>
            <sz val="9"/>
            <color indexed="81"/>
            <rFont val="Tahoma"/>
            <family val="2"/>
          </rPr>
          <t xml:space="preserve">
Measure Life</t>
        </r>
      </text>
    </comment>
    <comment ref="F1" authorId="0" shapeId="0">
      <text>
        <r>
          <rPr>
            <b/>
            <sz val="9"/>
            <color indexed="81"/>
            <rFont val="Tahoma"/>
            <family val="2"/>
          </rPr>
          <t>ssreekantham:</t>
        </r>
        <r>
          <rPr>
            <sz val="9"/>
            <color indexed="81"/>
            <rFont val="Tahoma"/>
            <family val="2"/>
          </rPr>
          <t xml:space="preserve">
Project Cost</t>
        </r>
      </text>
    </comment>
    <comment ref="G1" authorId="0" shapeId="0">
      <text>
        <r>
          <rPr>
            <b/>
            <sz val="9"/>
            <color indexed="81"/>
            <rFont val="Tahoma"/>
            <family val="2"/>
          </rPr>
          <t>Jacob Schroeder:</t>
        </r>
        <r>
          <rPr>
            <sz val="9"/>
            <color indexed="81"/>
            <rFont val="Tahoma"/>
            <family val="2"/>
          </rPr>
          <t xml:space="preserve">
formerly 'booked sav'</t>
        </r>
      </text>
    </comment>
    <comment ref="H1" authorId="0" shapeId="0">
      <text>
        <r>
          <rPr>
            <b/>
            <sz val="9"/>
            <color indexed="81"/>
            <rFont val="Tahoma"/>
            <family val="2"/>
          </rPr>
          <t>ssreekantham:</t>
        </r>
        <r>
          <rPr>
            <sz val="9"/>
            <color indexed="81"/>
            <rFont val="Tahoma"/>
            <family val="2"/>
          </rPr>
          <t xml:space="preserve">
Wattage reduction</t>
        </r>
      </text>
    </comment>
    <comment ref="I1" authorId="0" shapeId="0">
      <text>
        <r>
          <rPr>
            <b/>
            <sz val="9"/>
            <color indexed="81"/>
            <rFont val="Tahoma"/>
            <family val="2"/>
          </rPr>
          <t>ssreekantham:</t>
        </r>
        <r>
          <rPr>
            <sz val="9"/>
            <color indexed="81"/>
            <rFont val="Tahoma"/>
            <family val="2"/>
          </rPr>
          <t xml:space="preserve">
Total BPA Credit/ Reimbursement</t>
        </r>
      </text>
    </comment>
    <comment ref="J1" authorId="0" shapeId="0">
      <text>
        <r>
          <rPr>
            <b/>
            <sz val="9"/>
            <color indexed="81"/>
            <rFont val="Tahoma"/>
            <family val="2"/>
          </rPr>
          <t>ssreekantham:</t>
        </r>
        <r>
          <rPr>
            <sz val="9"/>
            <color indexed="81"/>
            <rFont val="Tahoma"/>
            <family val="2"/>
          </rPr>
          <t xml:space="preserve">
Project Benefit/ Cost Ratio</t>
        </r>
      </text>
    </comment>
    <comment ref="K1" authorId="0" shapeId="0">
      <text>
        <r>
          <rPr>
            <b/>
            <sz val="9"/>
            <color indexed="81"/>
            <rFont val="Tahoma"/>
            <family val="2"/>
          </rPr>
          <t>ssreekantham:</t>
        </r>
        <r>
          <rPr>
            <sz val="9"/>
            <color indexed="81"/>
            <rFont val="Tahoma"/>
            <family val="2"/>
          </rPr>
          <t xml:space="preserve">
Dominant Building Type</t>
        </r>
      </text>
    </comment>
    <comment ref="L1" authorId="0" shapeId="0">
      <text>
        <r>
          <rPr>
            <b/>
            <sz val="9"/>
            <color indexed="81"/>
            <rFont val="Tahoma"/>
            <family val="2"/>
          </rPr>
          <t>ssreekantham:</t>
        </r>
        <r>
          <rPr>
            <sz val="9"/>
            <color indexed="81"/>
            <rFont val="Tahoma"/>
            <family val="2"/>
          </rPr>
          <t xml:space="preserve">
Building</t>
        </r>
      </text>
    </comment>
    <comment ref="M1" authorId="0" shapeId="0">
      <text>
        <r>
          <rPr>
            <b/>
            <sz val="9"/>
            <color indexed="81"/>
            <rFont val="Tahoma"/>
            <family val="2"/>
          </rPr>
          <t>ssreekantham:</t>
        </r>
        <r>
          <rPr>
            <sz val="9"/>
            <color indexed="81"/>
            <rFont val="Tahoma"/>
            <family val="2"/>
          </rPr>
          <t xml:space="preserve">
Account Number</t>
        </r>
      </text>
    </comment>
    <comment ref="N1" authorId="0" shapeId="0">
      <text>
        <r>
          <rPr>
            <b/>
            <sz val="9"/>
            <color indexed="81"/>
            <rFont val="Tahoma"/>
            <family val="2"/>
          </rPr>
          <t>ssreekantham:</t>
        </r>
        <r>
          <rPr>
            <sz val="9"/>
            <color indexed="81"/>
            <rFont val="Tahoma"/>
            <family val="2"/>
          </rPr>
          <t xml:space="preserve">
Zip code</t>
        </r>
      </text>
    </comment>
    <comment ref="O1" authorId="0" shapeId="0">
      <text>
        <r>
          <rPr>
            <b/>
            <sz val="9"/>
            <color indexed="81"/>
            <rFont val="Tahoma"/>
            <family val="2"/>
          </rPr>
          <t>ssreekantham:</t>
        </r>
        <r>
          <rPr>
            <sz val="9"/>
            <color indexed="81"/>
            <rFont val="Tahoma"/>
            <family val="2"/>
          </rPr>
          <t xml:space="preserve">
Facility name</t>
        </r>
      </text>
    </comment>
    <comment ref="P1" authorId="0" shapeId="0">
      <text>
        <r>
          <rPr>
            <b/>
            <sz val="9"/>
            <color indexed="81"/>
            <rFont val="Tahoma"/>
            <family val="2"/>
          </rPr>
          <t>ssreekantham:</t>
        </r>
        <r>
          <rPr>
            <sz val="9"/>
            <color indexed="81"/>
            <rFont val="Tahoma"/>
            <family val="2"/>
          </rPr>
          <t xml:space="preserve">
State</t>
        </r>
      </text>
    </comment>
    <comment ref="Q1" authorId="0" shapeId="0">
      <text>
        <r>
          <rPr>
            <b/>
            <sz val="9"/>
            <color indexed="81"/>
            <rFont val="Tahoma"/>
            <family val="2"/>
          </rPr>
          <t>ssreekantham:</t>
        </r>
        <r>
          <rPr>
            <sz val="9"/>
            <color indexed="81"/>
            <rFont val="Tahoma"/>
            <family val="2"/>
          </rPr>
          <t xml:space="preserve">
Project Name</t>
        </r>
      </text>
    </comment>
    <comment ref="R1" authorId="0" shapeId="0">
      <text>
        <r>
          <rPr>
            <b/>
            <sz val="9"/>
            <color indexed="81"/>
            <rFont val="Tahoma"/>
            <family val="2"/>
          </rPr>
          <t>ssreekantham:</t>
        </r>
        <r>
          <rPr>
            <sz val="9"/>
            <color indexed="81"/>
            <rFont val="Tahoma"/>
            <family val="2"/>
          </rPr>
          <t xml:space="preserve">
Street Address</t>
        </r>
      </text>
    </comment>
    <comment ref="S1" authorId="0" shapeId="0">
      <text>
        <r>
          <rPr>
            <b/>
            <sz val="9"/>
            <color indexed="81"/>
            <rFont val="Tahoma"/>
            <family val="2"/>
          </rPr>
          <t>ssreekantham:</t>
        </r>
        <r>
          <rPr>
            <sz val="9"/>
            <color indexed="81"/>
            <rFont val="Tahoma"/>
            <family val="2"/>
          </rPr>
          <t xml:space="preserve">
City</t>
        </r>
      </text>
    </comment>
    <comment ref="T1" authorId="1" shapeId="0">
      <text>
        <r>
          <rPr>
            <b/>
            <sz val="8"/>
            <color indexed="81"/>
            <rFont val="Tahoma"/>
            <family val="2"/>
          </rPr>
          <t>Dane Hobbs:</t>
        </r>
        <r>
          <rPr>
            <sz val="8"/>
            <color indexed="81"/>
            <rFont val="Tahoma"/>
            <family val="2"/>
          </rPr>
          <t xml:space="preserve">
Contact Name</t>
        </r>
      </text>
    </comment>
    <comment ref="U1" authorId="1" shapeId="0">
      <text>
        <r>
          <rPr>
            <b/>
            <sz val="8"/>
            <color indexed="81"/>
            <rFont val="Tahoma"/>
            <family val="2"/>
          </rPr>
          <t>Dane Hobbs:</t>
        </r>
        <r>
          <rPr>
            <sz val="8"/>
            <color indexed="81"/>
            <rFont val="Tahoma"/>
            <family val="2"/>
          </rPr>
          <t xml:space="preserve">
Contact Title
</t>
        </r>
      </text>
    </comment>
    <comment ref="V1" authorId="1" shapeId="0">
      <text>
        <r>
          <rPr>
            <b/>
            <sz val="8"/>
            <color indexed="81"/>
            <rFont val="Tahoma"/>
            <family val="2"/>
          </rPr>
          <t>Dane Hobbs:</t>
        </r>
        <r>
          <rPr>
            <sz val="8"/>
            <color indexed="81"/>
            <rFont val="Tahoma"/>
            <family val="2"/>
          </rPr>
          <t xml:space="preserve">
Contact Phone Number
</t>
        </r>
      </text>
    </comment>
    <comment ref="W1" authorId="1" shapeId="0">
      <text>
        <r>
          <rPr>
            <b/>
            <sz val="8"/>
            <color indexed="81"/>
            <rFont val="Tahoma"/>
            <family val="2"/>
          </rPr>
          <t>Dane Hobbs:</t>
        </r>
        <r>
          <rPr>
            <sz val="8"/>
            <color indexed="81"/>
            <rFont val="Tahoma"/>
            <family val="2"/>
          </rPr>
          <t xml:space="preserve">
Contact Email address</t>
        </r>
      </text>
    </comment>
    <comment ref="X1" authorId="1" shapeId="0">
      <text>
        <r>
          <rPr>
            <b/>
            <sz val="8"/>
            <color indexed="81"/>
            <rFont val="Tahoma"/>
            <family val="2"/>
          </rPr>
          <t>Dane Hobbs:</t>
        </r>
        <r>
          <rPr>
            <sz val="8"/>
            <color indexed="81"/>
            <rFont val="Tahoma"/>
            <family val="2"/>
          </rPr>
          <t xml:space="preserve">
Sector</t>
        </r>
      </text>
    </comment>
    <comment ref="Y1" authorId="1" shapeId="0">
      <text>
        <r>
          <rPr>
            <b/>
            <sz val="8"/>
            <color indexed="81"/>
            <rFont val="Tahoma"/>
            <family val="2"/>
          </rPr>
          <t>Dane Hobbs:</t>
        </r>
        <r>
          <rPr>
            <sz val="8"/>
            <color indexed="81"/>
            <rFont val="Tahoma"/>
            <family val="2"/>
          </rPr>
          <t xml:space="preserve">
North American Industry Classification System code</t>
        </r>
      </text>
    </comment>
    <comment ref="Z1" authorId="1" shapeId="0">
      <text>
        <r>
          <rPr>
            <b/>
            <sz val="8"/>
            <color indexed="81"/>
            <rFont val="Tahoma"/>
            <family val="2"/>
          </rPr>
          <t>Dane Hobbs:</t>
        </r>
        <r>
          <rPr>
            <sz val="8"/>
            <color indexed="81"/>
            <rFont val="Tahoma"/>
            <family val="2"/>
          </rPr>
          <t xml:space="preserve">
Submittal Name</t>
        </r>
      </text>
    </comment>
    <comment ref="AB1" authorId="1" shapeId="0">
      <text>
        <r>
          <rPr>
            <b/>
            <sz val="8"/>
            <color indexed="81"/>
            <rFont val="Tahoma"/>
            <family val="2"/>
          </rPr>
          <t>Dane Hobbs:</t>
        </r>
        <r>
          <rPr>
            <sz val="8"/>
            <color indexed="81"/>
            <rFont val="Tahoma"/>
            <family val="2"/>
          </rPr>
          <t xml:space="preserve">
EPM agreement approved? (yes/no)
</t>
        </r>
      </text>
    </comment>
    <comment ref="AC1" authorId="1" shapeId="0">
      <text>
        <r>
          <rPr>
            <b/>
            <sz val="8"/>
            <color indexed="81"/>
            <rFont val="Tahoma"/>
            <family val="2"/>
          </rPr>
          <t>Dane Hobbs:
Estimated costs associated with the performance tracking system.</t>
        </r>
      </text>
    </comment>
    <comment ref="AD1" authorId="1" shapeId="0">
      <text>
        <r>
          <rPr>
            <b/>
            <sz val="8"/>
            <color indexed="81"/>
            <rFont val="Tahoma"/>
            <family val="2"/>
          </rPr>
          <t>Dane Hobbs:</t>
        </r>
        <r>
          <rPr>
            <sz val="8"/>
            <color indexed="81"/>
            <rFont val="Tahoma"/>
            <family val="2"/>
          </rPr>
          <t xml:space="preserve">
Total estimated costs for years 1-5 of the sustained savings period.
</t>
        </r>
      </text>
    </comment>
    <comment ref="AE1" authorId="1" shapeId="0">
      <text>
        <r>
          <rPr>
            <b/>
            <sz val="8"/>
            <color indexed="81"/>
            <rFont val="Tahoma"/>
            <family val="2"/>
          </rPr>
          <t>Dane Hobbs:</t>
        </r>
        <r>
          <rPr>
            <sz val="8"/>
            <color indexed="81"/>
            <rFont val="Tahoma"/>
            <family val="2"/>
          </rPr>
          <t xml:space="preserve">
PTS installed and functional yes/no</t>
        </r>
      </text>
    </comment>
    <comment ref="AF1" authorId="1" shapeId="0">
      <text>
        <r>
          <rPr>
            <b/>
            <sz val="8"/>
            <color indexed="81"/>
            <rFont val="Tahoma"/>
            <family val="2"/>
          </rPr>
          <t>Dane Hobbs:</t>
        </r>
        <r>
          <rPr>
            <sz val="8"/>
            <color indexed="81"/>
            <rFont val="Tahoma"/>
            <family val="2"/>
          </rPr>
          <t xml:space="preserve">
Track and Tune Completion report accepted yes/no
</t>
        </r>
      </text>
    </comment>
    <comment ref="AG1" authorId="1" shapeId="0">
      <text>
        <r>
          <rPr>
            <b/>
            <sz val="8"/>
            <color indexed="81"/>
            <rFont val="Tahoma"/>
            <family val="2"/>
          </rPr>
          <t>Dane Hobbs:</t>
        </r>
        <r>
          <rPr>
            <sz val="8"/>
            <color indexed="81"/>
            <rFont val="Tahoma"/>
            <family val="2"/>
          </rPr>
          <t xml:space="preserve">
Track and Tune implementation costs</t>
        </r>
      </text>
    </comment>
    <comment ref="AH1" authorId="1" shapeId="0">
      <text>
        <r>
          <rPr>
            <b/>
            <sz val="8"/>
            <color indexed="81"/>
            <rFont val="Tahoma"/>
            <family val="2"/>
          </rPr>
          <t>Dane Hobbs:</t>
        </r>
        <r>
          <rPr>
            <sz val="8"/>
            <color indexed="81"/>
            <rFont val="Tahoma"/>
            <family val="2"/>
          </rPr>
          <t xml:space="preserve">
Track and Tune credit. Either for implementation or sustained savings
</t>
        </r>
      </text>
    </comment>
    <comment ref="AK1" authorId="1" shapeId="0">
      <text>
        <r>
          <rPr>
            <b/>
            <sz val="8"/>
            <color indexed="81"/>
            <rFont val="Tahoma"/>
            <family val="2"/>
          </rPr>
          <t>Jacob Schroeder:</t>
        </r>
        <r>
          <rPr>
            <sz val="8"/>
            <color indexed="81"/>
            <rFont val="Tahoma"/>
            <family val="2"/>
          </rPr>
          <t xml:space="preserve">
formerly 'incremental sav'</t>
        </r>
      </text>
    </comment>
    <comment ref="AL1" authorId="1" shapeId="0">
      <text>
        <r>
          <rPr>
            <b/>
            <sz val="8"/>
            <color indexed="81"/>
            <rFont val="Tahoma"/>
            <family val="2"/>
          </rPr>
          <t>Jacob Schroeder:</t>
        </r>
        <r>
          <rPr>
            <sz val="8"/>
            <color indexed="81"/>
            <rFont val="Tahoma"/>
            <family val="2"/>
          </rPr>
          <t xml:space="preserve">
formerly 'total sav'</t>
        </r>
      </text>
    </comment>
  </commentList>
</comments>
</file>

<file path=xl/sharedStrings.xml><?xml version="1.0" encoding="utf-8"?>
<sst xmlns="http://schemas.openxmlformats.org/spreadsheetml/2006/main" count="1034" uniqueCount="635">
  <si>
    <t>SEM Project Information</t>
  </si>
  <si>
    <t>Input or Select Dropdown</t>
  </si>
  <si>
    <t>Example Entry and Format</t>
  </si>
  <si>
    <t>Project Name</t>
  </si>
  <si>
    <t>ACME Manufacturing T&amp;T</t>
  </si>
  <si>
    <t xml:space="preserve">Serving Utility </t>
  </si>
  <si>
    <t>Power Utility Plus</t>
  </si>
  <si>
    <t>Proposal Submitter Name</t>
  </si>
  <si>
    <t>Jane Doe</t>
  </si>
  <si>
    <t>Proposal Submitter Email</t>
  </si>
  <si>
    <t>john.doe@acmeindustrial.com</t>
  </si>
  <si>
    <t>Proposal Submitter Phone</t>
  </si>
  <si>
    <t>425-999-0000</t>
  </si>
  <si>
    <t>Company Name</t>
  </si>
  <si>
    <t>ACME Manufacturing</t>
  </si>
  <si>
    <t>Company Mailing Address</t>
  </si>
  <si>
    <t>P.O. Box 5000 (Corporate HQ)</t>
  </si>
  <si>
    <t>Company City</t>
  </si>
  <si>
    <t>Metro City</t>
  </si>
  <si>
    <t>Company State</t>
  </si>
  <si>
    <t>OR</t>
  </si>
  <si>
    <t>Company ZIP</t>
  </si>
  <si>
    <t>NAICS Code</t>
  </si>
  <si>
    <t>Project Contact Name (employee at Facility)</t>
  </si>
  <si>
    <t>John Doe</t>
  </si>
  <si>
    <t>Project Contact Job Title</t>
  </si>
  <si>
    <t>Maintenance Manager</t>
  </si>
  <si>
    <t>Project Contact Phone Number</t>
  </si>
  <si>
    <t>360-800-0000</t>
  </si>
  <si>
    <t>Project Contact Email</t>
  </si>
  <si>
    <t>Energy Smart Industrial Partner (ESIP) Name</t>
  </si>
  <si>
    <t>John Smith</t>
  </si>
  <si>
    <t>Energy Smart Industrial (ESI) Project Number</t>
  </si>
  <si>
    <t>BETTP_000001</t>
  </si>
  <si>
    <t>Year 1</t>
  </si>
  <si>
    <t>Year 2</t>
  </si>
  <si>
    <t>Revision History</t>
  </si>
  <si>
    <t>Industrial</t>
  </si>
  <si>
    <t>Performance Period</t>
  </si>
  <si>
    <t>SEM Performance Period</t>
  </si>
  <si>
    <t>2 years</t>
  </si>
  <si>
    <t>Savings and Payment Summary</t>
  </si>
  <si>
    <t>Performance Payment</t>
  </si>
  <si>
    <t>Notes</t>
  </si>
  <si>
    <t>kWh</t>
  </si>
  <si>
    <t>Version</t>
  </si>
  <si>
    <t>ProjectType</t>
  </si>
  <si>
    <t>ProjectNo</t>
  </si>
  <si>
    <t>SubmittalNo</t>
  </si>
  <si>
    <t>ML</t>
  </si>
  <si>
    <t>projcost</t>
  </si>
  <si>
    <t>wattred</t>
  </si>
  <si>
    <t>totcred</t>
  </si>
  <si>
    <t>bc ratio</t>
  </si>
  <si>
    <t>bldgtype</t>
  </si>
  <si>
    <t>bldg</t>
  </si>
  <si>
    <t>acctno</t>
  </si>
  <si>
    <t>zip</t>
  </si>
  <si>
    <t>facility</t>
  </si>
  <si>
    <t>state</t>
  </si>
  <si>
    <t>projname</t>
  </si>
  <si>
    <t>street</t>
  </si>
  <si>
    <t>city</t>
  </si>
  <si>
    <t>ContactName</t>
  </si>
  <si>
    <t>ContactTitle</t>
  </si>
  <si>
    <t>ContactPhone</t>
  </si>
  <si>
    <t>ContactEmail</t>
  </si>
  <si>
    <t>Sector</t>
  </si>
  <si>
    <t>NAICS</t>
  </si>
  <si>
    <t>SubmittalName</t>
  </si>
  <si>
    <t>EMttsubmit</t>
  </si>
  <si>
    <t>EMapproval</t>
  </si>
  <si>
    <t>PTScostestimate</t>
  </si>
  <si>
    <t>PTSssycostestimate</t>
  </si>
  <si>
    <t>PTSfunction</t>
  </si>
  <si>
    <t>TTcompreport</t>
  </si>
  <si>
    <t>TT imp cost</t>
  </si>
  <si>
    <t>TT credit</t>
  </si>
  <si>
    <t>PTS credit</t>
  </si>
  <si>
    <t>SSRaccept</t>
  </si>
  <si>
    <t>PTScost</t>
  </si>
  <si>
    <t>BESnum</t>
  </si>
  <si>
    <t>SubCompDate</t>
  </si>
  <si>
    <t>T&amp;T</t>
  </si>
  <si>
    <t>Yes</t>
  </si>
  <si>
    <t>Excel Labels</t>
  </si>
  <si>
    <t>Data Type</t>
  </si>
  <si>
    <t>uploaddata cell</t>
  </si>
  <si>
    <t>text</t>
  </si>
  <si>
    <t>A2</t>
  </si>
  <si>
    <t>B2</t>
  </si>
  <si>
    <t>projectno</t>
  </si>
  <si>
    <t>numeric, integer</t>
  </si>
  <si>
    <t>C2</t>
  </si>
  <si>
    <t>D2</t>
  </si>
  <si>
    <t>E2</t>
  </si>
  <si>
    <t>numeric, currency</t>
  </si>
  <si>
    <t>F2</t>
  </si>
  <si>
    <t>G2</t>
  </si>
  <si>
    <t>H2</t>
  </si>
  <si>
    <t>I2</t>
  </si>
  <si>
    <t>J2</t>
  </si>
  <si>
    <t>K2</t>
  </si>
  <si>
    <t>L2</t>
  </si>
  <si>
    <t>M2</t>
  </si>
  <si>
    <t>N2</t>
  </si>
  <si>
    <t>O2</t>
  </si>
  <si>
    <t>P2</t>
  </si>
  <si>
    <t>Q2</t>
  </si>
  <si>
    <t>R2</t>
  </si>
  <si>
    <t>S2</t>
  </si>
  <si>
    <t>T2</t>
  </si>
  <si>
    <t>U2</t>
  </si>
  <si>
    <t>V2</t>
  </si>
  <si>
    <t>W2</t>
  </si>
  <si>
    <t>X2</t>
  </si>
  <si>
    <t>Y2</t>
  </si>
  <si>
    <t>Z2</t>
  </si>
  <si>
    <t>Emttsubmit</t>
  </si>
  <si>
    <t>AA2</t>
  </si>
  <si>
    <t>Emapproval</t>
  </si>
  <si>
    <t>AB2</t>
  </si>
  <si>
    <t>AC2</t>
  </si>
  <si>
    <t>AD2</t>
  </si>
  <si>
    <t>AE2</t>
  </si>
  <si>
    <t>AF2</t>
  </si>
  <si>
    <t>AH2</t>
  </si>
  <si>
    <t>AJ2</t>
  </si>
  <si>
    <t>numeric, kWh</t>
  </si>
  <si>
    <t>AK2</t>
  </si>
  <si>
    <t>AL2</t>
  </si>
  <si>
    <t xml:space="preserve">numeric  </t>
  </si>
  <si>
    <t>AN2</t>
  </si>
  <si>
    <t>numeric, date</t>
  </si>
  <si>
    <t>AO2</t>
  </si>
  <si>
    <t>Current Version:</t>
  </si>
  <si>
    <t>Revision Number</t>
  </si>
  <si>
    <t>Date</t>
  </si>
  <si>
    <t>Description</t>
  </si>
  <si>
    <t>Revised payment nomenclature to be consistent with TrakSmart and IM. Revised incentive payment calculations to be based on busbar savings Fixed formula in cell I53 -- was not capping. Fixed formula in cell I90 -- was double counting the same year period Correctly assigned Measure Life to the appropriate years and eliminated it from Yr 0 Corrected error in the booking of savings whereby only 75% of year 1 savings is booked in year 1, and then 25% of  year 1 is booked in year 2. Various changes in labeling. Completion report savings is not assigned to any "busbr sav" field.</t>
  </si>
  <si>
    <t>Revised Sustained Savings Methodology so that user inputs site savings and incremental savings is computed. Removed the Baseline references from the PTS Payment upload and put them into the Completion Report Payment upload. Updated the informative chart for incremental and cumulative savings vs. measure year Updated the busbar T&amp;D factor from 1.07625 to 1.09056.  Added logical "IF" functions clean up the input process.</t>
  </si>
  <si>
    <t xml:space="preserve">Added the "PTScost" field to the uploaddata tab.  Costs assigned to this field are verified costs for PTS setup in submittal 2,  and associated PTS maintenance  costs in submittals 4 through 8.  </t>
  </si>
  <si>
    <t>Revised the booking of savings to start with submittal #3.  Modified percentage of booked savings and carryover mechanisms for the first two bookings to allow adjustment from the program parameters in fields E39 and E40 Modified on-going Tracking System funding mechanism to allow for advance payments and payments based on actual invoice costs Submittal 2 Y/N indicator for PTS function is properly populating the PTSFunction field SSRaccept field is now obsolete.  Sustained savings reports are accepted and indicated by the Emapproval field.</t>
  </si>
  <si>
    <t>Added the option for a 3 or 5 year term.
Defined the following measure life structure:
3-year term:  1, 1, 2, 5 yr
5-year term:  1, 1, 2, 3, 4, 10 yr
Clarified that the savings entries are "site" values (versus busbar)</t>
  </si>
  <si>
    <t>Added the option for a 3 or 5 year term.
Redefined the measure life structure (based on 9/12 call) as follows:
3-year term:  1, 1, 1, 3 yr
5-year term:  1, 1, 1, 1, 1, 6 yr</t>
  </si>
  <si>
    <t xml:space="preserve">Fixed Cumulative Cost Avoidance Formulas and Labels  
-Changed Field H70 from "Energy Cost Avoidance to End User" to "Projected Annual Energy Cost Avoidance to End User"   
-Corrected formula in Cell I155 from "sum(I134,I154)" to "sum(I133,I154)"  
-Corrected formula in Cell 177 from "sum(I156, I176)" to "sum(I155,I176)"  
-Modified PTS Maintenance Funding limits in Cells E30 &amp; E31 to reflect 3/5 of standard value for 3 Year Performance Period.  </t>
  </si>
  <si>
    <t xml:space="preserve">Fixed Cumulative Cost Avoidance Formulas and Labels  
Modified formula in cell I52, to account for BPA-approved budget cap (cell I36)  =MIN(I49,I51,I36)  
Added utility cap on Action Item cofunding (Cell I68)  
Modified formula in cell I50 to account for BPA/Utility approved PTS Maintenance cap in Cell I37, =MIN($E$31*(I32*busbar),E30,I37)   
Corrected Cell 106 from =IF(I107="","",I107-I88), to =IF(I107="","",I107-I86)  
Corrected Cell I127 from =IF(I128="","",I128-I109), to =IF(I128="","",I128-I107)  
Corrected Cell I149 from =IF(I150="","",I150-I131), to =IF(I150="","",I150-I128)  
corrected cell I170 from =IF(I172="","",I172-I153),to =IF(I172="","",I172-I150)  
Added booked savings field to each submittal (previously only on Yrs 3&amp;4)  </t>
  </si>
  <si>
    <t>Fixed formula in Cell I50
Added cents to all incentive and PTS submittal financial figures</t>
  </si>
  <si>
    <t>Rasa Keanini detected an error with the BES number.  The cause was that the utility name in Cell I14, referenced the old utility list in this tab, not the utility name in the 'Utility List' tab.  When a slight mis-match occurred in the utility name, an error in the BES number resulted.  Cell I14 now references column B in the 'utility list' worksheet.</t>
  </si>
  <si>
    <t>Updated to match format of Custom Project Calculator</t>
  </si>
  <si>
    <t>New SEM Project Calculator</t>
  </si>
  <si>
    <t>Restore Projection</t>
  </si>
  <si>
    <t>Updated Utility List tab with the current information from IS2.0 Accounts.</t>
  </si>
  <si>
    <t>(Yes/No)</t>
  </si>
  <si>
    <t>/kWh</t>
  </si>
  <si>
    <t>Performance Period:</t>
  </si>
  <si>
    <t>Payment Tables</t>
  </si>
  <si>
    <t>All Fields Optional.</t>
  </si>
  <si>
    <t>Utility Reference File</t>
  </si>
  <si>
    <t>BES_Number</t>
  </si>
  <si>
    <t>Account_Name</t>
  </si>
  <si>
    <t>SRR Designation</t>
  </si>
  <si>
    <t>Budget Cap</t>
  </si>
  <si>
    <t>Cooling Zone</t>
  </si>
  <si>
    <t>Heating Zone</t>
  </si>
  <si>
    <t>PNGC Member</t>
  </si>
  <si>
    <t>Pooling Group Member</t>
  </si>
  <si>
    <t>ECA Agreement Number</t>
  </si>
  <si>
    <t>Option 2</t>
  </si>
  <si>
    <t>10055</t>
  </si>
  <si>
    <t>Albion</t>
  </si>
  <si>
    <t>City of Albion</t>
  </si>
  <si>
    <t>No</t>
  </si>
  <si>
    <t>10005</t>
  </si>
  <si>
    <t>Alder</t>
  </si>
  <si>
    <t>Alder Mutual Light Company</t>
  </si>
  <si>
    <t>10057</t>
  </si>
  <si>
    <t>Ashland</t>
  </si>
  <si>
    <t>City of Ashland</t>
  </si>
  <si>
    <t>Non-SRR</t>
  </si>
  <si>
    <t>10015</t>
  </si>
  <si>
    <t>Asotin PUD</t>
  </si>
  <si>
    <t>Public Utility District No. 1 of Asotin County</t>
  </si>
  <si>
    <t>10059</t>
  </si>
  <si>
    <t>Bandon</t>
  </si>
  <si>
    <t>City of Bandon</t>
  </si>
  <si>
    <t>10024</t>
  </si>
  <si>
    <t>Benton PUD</t>
  </si>
  <si>
    <t>Public Utility District No. 1 of Benton County</t>
  </si>
  <si>
    <t>10025</t>
  </si>
  <si>
    <t>Benton REA</t>
  </si>
  <si>
    <t>Benton Rural Electric Association</t>
  </si>
  <si>
    <t>10027</t>
  </si>
  <si>
    <t>Big Bend</t>
  </si>
  <si>
    <t>Big Bend Electric Cooperative</t>
  </si>
  <si>
    <t>10029</t>
  </si>
  <si>
    <t>Blachly-Lane</t>
  </si>
  <si>
    <t>Blachly-Lane Electric Cooperative</t>
  </si>
  <si>
    <t>PNGC</t>
  </si>
  <si>
    <t>10061</t>
  </si>
  <si>
    <t>Blaine</t>
  </si>
  <si>
    <t>City of Blaine</t>
  </si>
  <si>
    <t>10062</t>
  </si>
  <si>
    <t>Bonners Ferry</t>
  </si>
  <si>
    <t>City of Bonners Ferry</t>
  </si>
  <si>
    <t>13738</t>
  </si>
  <si>
    <t>BPA</t>
  </si>
  <si>
    <t>Bonneville Power Administration</t>
  </si>
  <si>
    <t>All Cooling Zones</t>
  </si>
  <si>
    <t>All Heating Zones</t>
  </si>
  <si>
    <t>10064</t>
  </si>
  <si>
    <t>Burley</t>
  </si>
  <si>
    <t>City of Burley</t>
  </si>
  <si>
    <t>10044</t>
  </si>
  <si>
    <t>Canby</t>
  </si>
  <si>
    <t>Canby Utility Board</t>
  </si>
  <si>
    <t>10065</t>
  </si>
  <si>
    <t>Cascade Locks</t>
  </si>
  <si>
    <t>City of Cascade Locks</t>
  </si>
  <si>
    <t>10046</t>
  </si>
  <si>
    <t>CEC</t>
  </si>
  <si>
    <t>Central Electric Cooperative, Inc.</t>
  </si>
  <si>
    <t>10047</t>
  </si>
  <si>
    <t>Central Lincoln</t>
  </si>
  <si>
    <t>Central Lincoln People's Utility District</t>
  </si>
  <si>
    <t>10066</t>
  </si>
  <si>
    <t>Centralia</t>
  </si>
  <si>
    <t>City of Centralia</t>
  </si>
  <si>
    <t>10067</t>
  </si>
  <si>
    <t>Cheney</t>
  </si>
  <si>
    <t>City of Cheney</t>
  </si>
  <si>
    <t>10068</t>
  </si>
  <si>
    <t>Chewelah</t>
  </si>
  <si>
    <t>City of Chewelah</t>
  </si>
  <si>
    <t>10101</t>
  </si>
  <si>
    <t>Clallam</t>
  </si>
  <si>
    <t>Public Utility District No. 1 of Clallam County</t>
  </si>
  <si>
    <t>10103</t>
  </si>
  <si>
    <t>Clark</t>
  </si>
  <si>
    <t>Clark Public Utilities</t>
  </si>
  <si>
    <t>10105</t>
  </si>
  <si>
    <t>Clatskanie</t>
  </si>
  <si>
    <t>Clatskanie People's Utility District</t>
  </si>
  <si>
    <t>10106</t>
  </si>
  <si>
    <t>Clearwater</t>
  </si>
  <si>
    <t>Clearwater Power Company</t>
  </si>
  <si>
    <t>10109</t>
  </si>
  <si>
    <t>Columbia Basin</t>
  </si>
  <si>
    <t>Columbia Basin Electric Cooperative, Inc.</t>
  </si>
  <si>
    <t>10111</t>
  </si>
  <si>
    <t>Columbia Power</t>
  </si>
  <si>
    <t>Columbia Power Cooperative Association</t>
  </si>
  <si>
    <t>10113</t>
  </si>
  <si>
    <t>Columbia REA</t>
  </si>
  <si>
    <t>Columbia Rural Electric Association</t>
  </si>
  <si>
    <t>10112</t>
  </si>
  <si>
    <t>Columbia River</t>
  </si>
  <si>
    <t>Columbia River People's Utility District</t>
  </si>
  <si>
    <t>10116</t>
  </si>
  <si>
    <t>Consolidated</t>
  </si>
  <si>
    <t>Consolidated Irrigation District No. 19</t>
  </si>
  <si>
    <t>10118</t>
  </si>
  <si>
    <t>Consumers</t>
  </si>
  <si>
    <t>Consumers Power, Inc.</t>
  </si>
  <si>
    <t>10121</t>
  </si>
  <si>
    <t>Coos-Curry</t>
  </si>
  <si>
    <t>Coos-Curry Electric Cooperative, Inc.</t>
  </si>
  <si>
    <t>10378</t>
  </si>
  <si>
    <t>Coulee Dam</t>
  </si>
  <si>
    <t>Town of Coulee Dam</t>
  </si>
  <si>
    <t>10123</t>
  </si>
  <si>
    <t>Cowlitz</t>
  </si>
  <si>
    <t>Public Utility District No. 1 of Cowlitz County</t>
  </si>
  <si>
    <t>10070</t>
  </si>
  <si>
    <t>Declo</t>
  </si>
  <si>
    <t>City of Declo</t>
  </si>
  <si>
    <t>10426</t>
  </si>
  <si>
    <t>DOE-RL</t>
  </si>
  <si>
    <t>US Department of Energy - Richland Operations Office</t>
  </si>
  <si>
    <t>10136</t>
  </si>
  <si>
    <t>Douglas Elec</t>
  </si>
  <si>
    <t>Douglas Electric Cooperative, Inc.</t>
  </si>
  <si>
    <t>10071</t>
  </si>
  <si>
    <t>Drain</t>
  </si>
  <si>
    <t>City of Drain</t>
  </si>
  <si>
    <t>10142</t>
  </si>
  <si>
    <t>East End</t>
  </si>
  <si>
    <t>East End Mutual Electric Company, LTD</t>
  </si>
  <si>
    <t>10144</t>
  </si>
  <si>
    <t>Eatonville</t>
  </si>
  <si>
    <t>Town of Eatonville</t>
  </si>
  <si>
    <t>10072</t>
  </si>
  <si>
    <t>Ellensburg</t>
  </si>
  <si>
    <t>City of Ellensburg</t>
  </si>
  <si>
    <t>10156</t>
  </si>
  <si>
    <t>Elmhurst</t>
  </si>
  <si>
    <t>Elmhurst Mutual Power &amp; Light Company</t>
  </si>
  <si>
    <t>10157</t>
  </si>
  <si>
    <t>Emerald</t>
  </si>
  <si>
    <t>Emerald People's Utility District</t>
  </si>
  <si>
    <t>10158</t>
  </si>
  <si>
    <t>Energy Northwest</t>
  </si>
  <si>
    <t>10170</t>
  </si>
  <si>
    <t>EWEB</t>
  </si>
  <si>
    <t>Eugene Water &amp; Electric Board</t>
  </si>
  <si>
    <t>10172</t>
  </si>
  <si>
    <t>Fairchild</t>
  </si>
  <si>
    <t>Fairchild Air Force Base</t>
  </si>
  <si>
    <t>10173</t>
  </si>
  <si>
    <t>Fall River</t>
  </si>
  <si>
    <t>Fall River Rural Electric Cooperative, Inc.</t>
  </si>
  <si>
    <t>10174</t>
  </si>
  <si>
    <t>Farmers</t>
  </si>
  <si>
    <t>Farmers Electric Company, LTD</t>
  </si>
  <si>
    <t>10177</t>
  </si>
  <si>
    <t>Ferry</t>
  </si>
  <si>
    <t>Public Utility District No. 1 of Ferry County</t>
  </si>
  <si>
    <t>10179</t>
  </si>
  <si>
    <t>Flathead</t>
  </si>
  <si>
    <t>Flathead Electric Cooperative, Inc.</t>
  </si>
  <si>
    <t>10074</t>
  </si>
  <si>
    <t>Forest Grove</t>
  </si>
  <si>
    <t>City of Forest Grove</t>
  </si>
  <si>
    <t>10183</t>
  </si>
  <si>
    <t>Franklin County</t>
  </si>
  <si>
    <t>Public Utility District No. 1 of Franklin County</t>
  </si>
  <si>
    <t>10186</t>
  </si>
  <si>
    <t>Glacier</t>
  </si>
  <si>
    <t>Glacier Electric Cooperative, Inc.</t>
  </si>
  <si>
    <t>10190</t>
  </si>
  <si>
    <t>Grant</t>
  </si>
  <si>
    <t>Public Utility District No. 2 of Grant County, Washington</t>
  </si>
  <si>
    <t>10191</t>
  </si>
  <si>
    <t>Grays Harbor</t>
  </si>
  <si>
    <t>Public Utility District No. 1 of Grays Harbor County Washington</t>
  </si>
  <si>
    <t>10197</t>
  </si>
  <si>
    <t>Harney</t>
  </si>
  <si>
    <t>Harney Electric Cooperative, Inc.</t>
  </si>
  <si>
    <t>10597</t>
  </si>
  <si>
    <t>Hermiston</t>
  </si>
  <si>
    <t>City of Hermiston</t>
  </si>
  <si>
    <t>10076</t>
  </si>
  <si>
    <t>Heyburn</t>
  </si>
  <si>
    <t>City of Heyburn</t>
  </si>
  <si>
    <t>10202</t>
  </si>
  <si>
    <t>Hood River</t>
  </si>
  <si>
    <t>Hood River Electric Cooperative</t>
  </si>
  <si>
    <t>10203</t>
  </si>
  <si>
    <t>Idaho County</t>
  </si>
  <si>
    <t>Idaho County Light &amp; Power Cooperative Association, Inc.</t>
  </si>
  <si>
    <t>10204</t>
  </si>
  <si>
    <t>Idaho Falls Power</t>
  </si>
  <si>
    <t>City of Idaho Falls</t>
  </si>
  <si>
    <t>10209</t>
  </si>
  <si>
    <t>Inland</t>
  </si>
  <si>
    <t>Inland Power &amp; Light Company</t>
  </si>
  <si>
    <t>0</t>
  </si>
  <si>
    <t>Invalid</t>
  </si>
  <si>
    <t>Unknown</t>
  </si>
  <si>
    <t>12026</t>
  </si>
  <si>
    <t>Jefferson</t>
  </si>
  <si>
    <t>Public Utility District No.1 of Jefferson County</t>
  </si>
  <si>
    <t>10230</t>
  </si>
  <si>
    <t>Kittitas</t>
  </si>
  <si>
    <t>Public Utility District No. 1 of Kittitas County</t>
  </si>
  <si>
    <t>10231</t>
  </si>
  <si>
    <t>Klickitat</t>
  </si>
  <si>
    <t>Public Utility District No. 1 of Klickitat County</t>
  </si>
  <si>
    <t>10234</t>
  </si>
  <si>
    <t>Kootenai</t>
  </si>
  <si>
    <t>Kootenai Electric Cooperative, Inc.</t>
  </si>
  <si>
    <t>13927</t>
  </si>
  <si>
    <t>KTU</t>
  </si>
  <si>
    <t>Kalispel Indian Community of the Kalispel Reservation</t>
  </si>
  <si>
    <t>10235</t>
  </si>
  <si>
    <t>Lakeview</t>
  </si>
  <si>
    <t>Lakeview Light &amp; Power Company</t>
  </si>
  <si>
    <t>10236</t>
  </si>
  <si>
    <t>Lane Electric</t>
  </si>
  <si>
    <t>Lane Electric Cooperative, Inc.</t>
  </si>
  <si>
    <t>10237</t>
  </si>
  <si>
    <t>Lewis</t>
  </si>
  <si>
    <t>Public Utility District No. 1 of Lewis County</t>
  </si>
  <si>
    <t>10239</t>
  </si>
  <si>
    <t>Lincoln</t>
  </si>
  <si>
    <t>Lincoln Electric Cooperative, Inc.</t>
  </si>
  <si>
    <t>10242</t>
  </si>
  <si>
    <t>Lost River</t>
  </si>
  <si>
    <t>Lost River Electric Cooperative, Inc.</t>
  </si>
  <si>
    <t>10244</t>
  </si>
  <si>
    <t>Lower Valley</t>
  </si>
  <si>
    <t>Lower Valley Energy, Inc.</t>
  </si>
  <si>
    <t>10246</t>
  </si>
  <si>
    <t>Mason Co 1</t>
  </si>
  <si>
    <t>Public Utility District No. 1 of Mason County</t>
  </si>
  <si>
    <t>10247</t>
  </si>
  <si>
    <t>Mason Co 3</t>
  </si>
  <si>
    <t>Public Utility District No. 3 of Mason County</t>
  </si>
  <si>
    <t>10078</t>
  </si>
  <si>
    <t>McCleary</t>
  </si>
  <si>
    <t>City of McCleary</t>
  </si>
  <si>
    <t>10079</t>
  </si>
  <si>
    <t>McMinnville</t>
  </si>
  <si>
    <t>The City of McMinnville</t>
  </si>
  <si>
    <t>10256</t>
  </si>
  <si>
    <t>Midstate</t>
  </si>
  <si>
    <t>Midstate Electric Cooperative, Inc.</t>
  </si>
  <si>
    <t>10080</t>
  </si>
  <si>
    <t>Milton</t>
  </si>
  <si>
    <t>City of Milton</t>
  </si>
  <si>
    <t>10081</t>
  </si>
  <si>
    <t>Milton-Freewater</t>
  </si>
  <si>
    <t>City of Milton-Freewater</t>
  </si>
  <si>
    <t>10082</t>
  </si>
  <si>
    <t>Minidoka</t>
  </si>
  <si>
    <t>City of Minidoka</t>
  </si>
  <si>
    <t>10258</t>
  </si>
  <si>
    <t>Mission Valley</t>
  </si>
  <si>
    <t>Mission Valley Power</t>
  </si>
  <si>
    <t>10259</t>
  </si>
  <si>
    <t>Missoula</t>
  </si>
  <si>
    <t>Missoula Electric Cooperative, Inc.</t>
  </si>
  <si>
    <t>10260</t>
  </si>
  <si>
    <t>Modern</t>
  </si>
  <si>
    <t>Modern Electric Water Company</t>
  </si>
  <si>
    <t>10083</t>
  </si>
  <si>
    <t>Monmouth</t>
  </si>
  <si>
    <t>City of Monmouth</t>
  </si>
  <si>
    <t>10273</t>
  </si>
  <si>
    <t>Nespelem</t>
  </si>
  <si>
    <t>Nespelem Valley Electric Cooperative, Inc.</t>
  </si>
  <si>
    <t>10406</t>
  </si>
  <si>
    <t>NETL</t>
  </si>
  <si>
    <t>US DOE Natl Energy Technology Lab</t>
  </si>
  <si>
    <t>10278</t>
  </si>
  <si>
    <t>Northern Lights</t>
  </si>
  <si>
    <t>Northern Lights, Inc.</t>
  </si>
  <si>
    <t>10279</t>
  </si>
  <si>
    <t>Northern Wasco</t>
  </si>
  <si>
    <t>Northern Wasco County People's Utility District</t>
  </si>
  <si>
    <t>10284</t>
  </si>
  <si>
    <t>Ohop</t>
  </si>
  <si>
    <t>Ohop Mutual Light Company</t>
  </si>
  <si>
    <t>10285</t>
  </si>
  <si>
    <t>Okanogan Coop</t>
  </si>
  <si>
    <t>Okanogan County Electric Cooperative, Inc.</t>
  </si>
  <si>
    <t>10286</t>
  </si>
  <si>
    <t>Okanogan PUD</t>
  </si>
  <si>
    <t>Okanogan County Public Utility District No. 1</t>
  </si>
  <si>
    <t>10288</t>
  </si>
  <si>
    <t>OPALCO</t>
  </si>
  <si>
    <t>Orcas Power &amp; Light Cooperative</t>
  </si>
  <si>
    <t>10291</t>
  </si>
  <si>
    <t>Oregon Trail</t>
  </si>
  <si>
    <t>Oregon Trail Electric Consumers Cooperative, Inc.</t>
  </si>
  <si>
    <t>10294</t>
  </si>
  <si>
    <t>Pacific</t>
  </si>
  <si>
    <t>Public Utility District No. 2 of Pacific County</t>
  </si>
  <si>
    <t>10304</t>
  </si>
  <si>
    <t>Parkland</t>
  </si>
  <si>
    <t>Parkland Light &amp; Water Company</t>
  </si>
  <si>
    <t>10306</t>
  </si>
  <si>
    <t>Pend Oreille</t>
  </si>
  <si>
    <t>Pend Oreille County PUD No. 1</t>
  </si>
  <si>
    <t>10307</t>
  </si>
  <si>
    <t>Peninsula</t>
  </si>
  <si>
    <t>Peninsula Light Company</t>
  </si>
  <si>
    <t>10086</t>
  </si>
  <si>
    <t>Plummer</t>
  </si>
  <si>
    <t>City of Plummer</t>
  </si>
  <si>
    <t>10298</t>
  </si>
  <si>
    <t>Pacific Northwest Generating Cooperative</t>
  </si>
  <si>
    <t>10706</t>
  </si>
  <si>
    <t>Port</t>
  </si>
  <si>
    <t>Port of Seattle - Seattle-Tacoma International Airport</t>
  </si>
  <si>
    <t>10087</t>
  </si>
  <si>
    <t>Port Angeles</t>
  </si>
  <si>
    <t>City of Port Angeles</t>
  </si>
  <si>
    <t>10331</t>
  </si>
  <si>
    <t>Raft River</t>
  </si>
  <si>
    <t>Raft River Rural Electric Cooperative, Inc.</t>
  </si>
  <si>
    <t>10333</t>
  </si>
  <si>
    <t>Ravalli County</t>
  </si>
  <si>
    <t>Ravalli County Electric Cooperative, Inc.</t>
  </si>
  <si>
    <t>10089</t>
  </si>
  <si>
    <t>Richland</t>
  </si>
  <si>
    <t>City of Richland, Washington</t>
  </si>
  <si>
    <t>10338</t>
  </si>
  <si>
    <t>Riverside Electric</t>
  </si>
  <si>
    <t>Riverside Electric Company, LTD</t>
  </si>
  <si>
    <t>10091</t>
  </si>
  <si>
    <t>Rupert</t>
  </si>
  <si>
    <t>City of Rupert</t>
  </si>
  <si>
    <t>10342</t>
  </si>
  <si>
    <t>Salem</t>
  </si>
  <si>
    <t>Salem Electric</t>
  </si>
  <si>
    <t>10343</t>
  </si>
  <si>
    <t>Salmon River</t>
  </si>
  <si>
    <t>Salmon River Electric Cooperative, Inc.</t>
  </si>
  <si>
    <t>10349</t>
  </si>
  <si>
    <t>Seattle</t>
  </si>
  <si>
    <t>City of Seattle, City Light Dept</t>
  </si>
  <si>
    <t>10352</t>
  </si>
  <si>
    <t>Skamania</t>
  </si>
  <si>
    <t>Public Utility District #1 of Skamania County</t>
  </si>
  <si>
    <t>10354</t>
  </si>
  <si>
    <t>Snohomish PUD</t>
  </si>
  <si>
    <t>Public Utility District No. 1 Of Snohomish County</t>
  </si>
  <si>
    <t>10094</t>
  </si>
  <si>
    <t>Soda Springs</t>
  </si>
  <si>
    <t>City of Soda Springs</t>
  </si>
  <si>
    <t>10360</t>
  </si>
  <si>
    <t>South Side</t>
  </si>
  <si>
    <t>South Side Electric, Inc.</t>
  </si>
  <si>
    <t>10363</t>
  </si>
  <si>
    <t>Springfield</t>
  </si>
  <si>
    <t>Springfield Utility Board</t>
  </si>
  <si>
    <t>10379</t>
  </si>
  <si>
    <t>Steilacoom</t>
  </si>
  <si>
    <t>Town of Steilacoom</t>
  </si>
  <si>
    <t>10095</t>
  </si>
  <si>
    <t>Sumas</t>
  </si>
  <si>
    <t>City of Sumas</t>
  </si>
  <si>
    <t>10369</t>
  </si>
  <si>
    <t>Surprise Valley</t>
  </si>
  <si>
    <t>Surprise Valley Electrification Corporation</t>
  </si>
  <si>
    <t>10370</t>
  </si>
  <si>
    <t>Tacoma Power</t>
  </si>
  <si>
    <t>10371</t>
  </si>
  <si>
    <t>Tanner</t>
  </si>
  <si>
    <t>Tanner Electric Cooperative</t>
  </si>
  <si>
    <t>10376</t>
  </si>
  <si>
    <t>Tillamook</t>
  </si>
  <si>
    <t>Tillamook People's Utility District</t>
  </si>
  <si>
    <t>10097</t>
  </si>
  <si>
    <t>Troy</t>
  </si>
  <si>
    <t>City of Troy</t>
  </si>
  <si>
    <t>10482</t>
  </si>
  <si>
    <t>UIUC</t>
  </si>
  <si>
    <t>Umpqua Indian Utility Cooperative</t>
  </si>
  <si>
    <t>10388</t>
  </si>
  <si>
    <t>Umatilla</t>
  </si>
  <si>
    <t>Umatilla Electric Cooperative</t>
  </si>
  <si>
    <t>10391</t>
  </si>
  <si>
    <t>United Electric</t>
  </si>
  <si>
    <t>United Electric Co-op, Inc.</t>
  </si>
  <si>
    <t>10400</t>
  </si>
  <si>
    <t>USBR General</t>
  </si>
  <si>
    <t>10409</t>
  </si>
  <si>
    <t>USN Bangor</t>
  </si>
  <si>
    <t>10326</t>
  </si>
  <si>
    <t>USN Bremerton</t>
  </si>
  <si>
    <t>10408</t>
  </si>
  <si>
    <t>USN Everett</t>
  </si>
  <si>
    <t>USN Everett-Jim Creek</t>
  </si>
  <si>
    <t>10434</t>
  </si>
  <si>
    <t>Vera</t>
  </si>
  <si>
    <t>Vera Water &amp; Power</t>
  </si>
  <si>
    <t>10436</t>
  </si>
  <si>
    <t>Vigilante</t>
  </si>
  <si>
    <t>Vigilante Electric Cooperative, Inc.</t>
  </si>
  <si>
    <t>10440</t>
  </si>
  <si>
    <t>Wahkiakum</t>
  </si>
  <si>
    <t>Public Utility District No. 1 of Wahkiakum County</t>
  </si>
  <si>
    <t>10442</t>
  </si>
  <si>
    <t>Wasco</t>
  </si>
  <si>
    <t>Wasco Electric Cooperative, Inc.</t>
  </si>
  <si>
    <t>11680</t>
  </si>
  <si>
    <t>Weiser</t>
  </si>
  <si>
    <t>City of Weiser</t>
  </si>
  <si>
    <t>10448</t>
  </si>
  <si>
    <t>West Oregon</t>
  </si>
  <si>
    <t>West Oregon Electric Cooperative, Inc.</t>
  </si>
  <si>
    <t>10451</t>
  </si>
  <si>
    <t>Whatcom Co 1</t>
  </si>
  <si>
    <t>Public Utility District No 1 of Whatcom County</t>
  </si>
  <si>
    <t>10446</t>
  </si>
  <si>
    <t>WREC</t>
  </si>
  <si>
    <t>Wells Rural Electric Company</t>
  </si>
  <si>
    <t>10502</t>
  </si>
  <si>
    <t>Yakama</t>
  </si>
  <si>
    <t>Yakama Power</t>
  </si>
  <si>
    <t>Year of Current Contract</t>
  </si>
  <si>
    <r>
      <t xml:space="preserve">Reformatted to allow for 1-year measure life, with incentive being paid on all savings relative to final savings from the final year of the previous engagement.
'Booked Savings' ('uploaddata collection'!F8:G8 and uploaddata!G2) formerly listed incremental busbar savings; it now shows total busbar savings for the year.
TT implementation costs were initially being uploaded at 70% of implementation costs, not 100%. It now uploads 100% of that cost.
Macro was incorrectly referencing Year 1 PTS costs for Year 2. This has been corrected.
Changed 'SEM Information' tab to 'Payment Tables' and made adjustments for readability and new incentive calculations.
Added more detailed instructions under 'Utility Generates Submittal' headings.
Added field for PTS Verification report file name in 'PTS installation' tab.
Updated PTS caps to reflect program caps of $10,000 </t>
    </r>
    <r>
      <rPr>
        <i/>
        <sz val="10"/>
        <color theme="1"/>
        <rFont val="Arial"/>
        <family val="2"/>
      </rPr>
      <t>each</t>
    </r>
    <r>
      <rPr>
        <sz val="10"/>
        <color theme="1"/>
        <rFont val="Arial"/>
        <family val="2"/>
      </rPr>
      <t xml:space="preserve"> year</t>
    </r>
  </si>
  <si>
    <t>First Last</t>
  </si>
  <si>
    <t>CompletionReport_Participant_Yr#.pdf</t>
  </si>
  <si>
    <r>
      <t xml:space="preserve">BPA Technical Review
</t>
    </r>
    <r>
      <rPr>
        <sz val="12"/>
        <color indexed="9"/>
        <rFont val="Calibri"/>
        <family val="2"/>
        <scheme val="minor"/>
      </rPr>
      <t>BPA Approval of Annual Completion Reports</t>
    </r>
  </si>
  <si>
    <t>Incentivized savings multiplier (site or busbar)</t>
  </si>
  <si>
    <t>Incentive based on busbar savings?</t>
  </si>
  <si>
    <r>
      <t xml:space="preserve">SEM Completion Report Information
</t>
    </r>
    <r>
      <rPr>
        <sz val="12"/>
        <color rgb="FFFFFFFF"/>
        <rFont val="Calibri"/>
        <family val="2"/>
        <scheme val="minor"/>
      </rPr>
      <t>Utility Completes</t>
    </r>
  </si>
  <si>
    <r>
      <t xml:space="preserve">Annual Completion Report Funding
</t>
    </r>
    <r>
      <rPr>
        <sz val="12"/>
        <color rgb="FFFFFFFF"/>
        <rFont val="Calibri"/>
        <family val="2"/>
      </rPr>
      <t>Utility Completes</t>
    </r>
  </si>
  <si>
    <t>Optional Utility Cap:</t>
  </si>
  <si>
    <t>8.1 cont'd</t>
  </si>
  <si>
    <r>
      <t xml:space="preserve">8.1 Major Changes
</t>
    </r>
    <r>
      <rPr>
        <sz val="10"/>
        <color theme="1"/>
        <rFont val="Arial"/>
        <family val="2"/>
      </rPr>
      <t xml:space="preserve"> • Changed uploaddata!G2 from "booked sav" to "BPAReportedSEMSav"; this returns this cell to reporting 'incremental' savings as it did in the v. 7.x calculators. Header in uploaddata!G1 has also been updated accordingly.</t>
    </r>
    <r>
      <rPr>
        <b/>
        <sz val="10"/>
        <color theme="1"/>
        <rFont val="Arial"/>
        <family val="2"/>
      </rPr>
      <t xml:space="preserve">
 </t>
    </r>
    <r>
      <rPr>
        <sz val="10"/>
        <color theme="1"/>
        <rFont val="Arial"/>
        <family val="2"/>
      </rPr>
      <t xml:space="preserve">• Changed uploaddata!AK2 from "incremental sav" to "EEI_EligibleSEMSav"; instead of 'incremental' savings, this now reports any busbar savings </t>
    </r>
    <r>
      <rPr>
        <i/>
        <sz val="10"/>
        <color theme="1"/>
        <rFont val="Arial"/>
        <family val="2"/>
      </rPr>
      <t>exceeding</t>
    </r>
    <r>
      <rPr>
        <sz val="10"/>
        <color theme="1"/>
        <rFont val="Arial"/>
        <family val="2"/>
      </rPr>
      <t xml:space="preserve"> SEM savings in the final year of the previous SEM engagement. Header in uploaddata!AK1 has also been updated accordingly.
 • Changed uploaddata!AL2 from "total sav" to "VerifiedSEMSav"; This is only a change in nomenclature, as the cell still calculates total busbar savings relative to the original baseline. Header in uploaddata!AL1 has also been updated accordingly.
 • Replaced Upload Data macro with lookup equations in 'uploaddata' tab; the file is no longer macro enabled. The 'uploaddata' tab is now populated based on the submittal number indicated in the file name.
 • Submittal date is now based on BPA Technical Review Date.
 • Re-applied protection of all fields not to be completed by utiltities.
 • Added option to 'Annual Completion Reports' for utilities to pay incentives based on site savings instead of busbar.</t>
    </r>
  </si>
  <si>
    <r>
      <rPr>
        <b/>
        <sz val="10"/>
        <color theme="1"/>
        <rFont val="Arial"/>
        <family val="2"/>
      </rPr>
      <t>8.1 Other Changes</t>
    </r>
    <r>
      <rPr>
        <sz val="10"/>
        <color theme="1"/>
        <rFont val="Arial"/>
        <family val="2"/>
      </rPr>
      <t xml:space="preserve">
 • Updated savings language to align with IM: "Verified SEM Savings", "EEI-eligible SEM Savings", and "BPA Reported SEM Savings".
 • Replaced any reference to "Performance Payments" with "SEM Savings Funding" to avoid confusion.
 • Added functionality to 'PTS Installation' tab for utilities that request approval of PTS Design Proposal.
 • Rearranged 'PTS Installation' and 'Annual Completion Report' tabs. All fields except BPA technical review are now marked 'Utility Completes' and BPA technical review has been moved to the bottom of each tab.
 • Added fields to specify whether SEM agreement has been approved on 'PTS Installation' and 'Annual Completion Reports' tabs.
 • Removed 'Utility Next Steps' instructions on 'PTS Installation' and 'Annual Completion Reports' tabs. These will now be provided in submittal workflow email.
 • Added basic error checking on 'PTS Installation' and 'Annual Completion Reports' tabs to ensure agreements are approved, required fields are complete, and that a valid submittal number is specified in the file name.
 • Re-arranged 'Payment Tables' tab to give higher visibility to the 'Savings and Payment Summary' table.
 • 'Payment Tables' tab has been moved to after 'Annual Completion Reports'.
 • NAICS code has been marked as 'Optional'.</t>
    </r>
  </si>
  <si>
    <r>
      <t xml:space="preserve">(Yes/No) </t>
    </r>
    <r>
      <rPr>
        <sz val="12"/>
        <color rgb="FF808080"/>
        <rFont val="Calibri"/>
        <family val="2"/>
        <scheme val="minor"/>
      </rPr>
      <t xml:space="preserve">Default is 'Yes.' If utility selects 'No,' incentive will be based on </t>
    </r>
    <r>
      <rPr>
        <b/>
        <sz val="12"/>
        <color rgb="FF808080"/>
        <rFont val="Calibri"/>
        <family val="2"/>
        <scheme val="minor"/>
      </rPr>
      <t>site</t>
    </r>
    <r>
      <rPr>
        <sz val="12"/>
        <color rgb="FF808080"/>
        <rFont val="Calibri"/>
        <family val="2"/>
        <scheme val="minor"/>
      </rPr>
      <t xml:space="preserve"> savings.</t>
    </r>
  </si>
  <si>
    <t>SEM Participation Payment</t>
  </si>
  <si>
    <t>Maximum SEM Participation Payment</t>
  </si>
  <si>
    <t>SEM cumulative verified site savings from previous engagement (kWh)</t>
  </si>
  <si>
    <t>SEM cumulative verified site savings (kWh):</t>
  </si>
  <si>
    <t>SEM cumulative verified busbar savings (kWh):</t>
  </si>
  <si>
    <t>SEM verified busbar savings (kWh):</t>
  </si>
  <si>
    <t>SEM Participation Payment:</t>
  </si>
  <si>
    <t>SEMVerifiedSav</t>
  </si>
  <si>
    <t>Changed languages throughout to reflect recent changes in IM language:
 • “SEM Savings Payment” → “SEM Participation Payment”
 • “EEI-eligible SEM savings” → “SEM verified savings”
 • “BPA reported SEM savings” → “SEM annual savings achieved”
 • “Verified SEM savings” → “SEM cumulative verified savings”</t>
  </si>
  <si>
    <t>SEM cumulative verified site savings from final year of</t>
  </si>
  <si>
    <r>
      <rPr>
        <i/>
        <sz val="12"/>
        <rFont val="Calibri"/>
        <family val="2"/>
        <scheme val="minor"/>
      </rPr>
      <t>previous</t>
    </r>
    <r>
      <rPr>
        <sz val="12"/>
        <rFont val="Calibri"/>
        <family val="2"/>
        <scheme val="minor"/>
      </rPr>
      <t xml:space="preserve"> SEM engagement (if not applicable, enter </t>
    </r>
    <r>
      <rPr>
        <i/>
        <sz val="12"/>
        <rFont val="Calibri"/>
        <family val="2"/>
        <scheme val="minor"/>
      </rPr>
      <t>0</t>
    </r>
    <r>
      <rPr>
        <sz val="12"/>
        <rFont val="Calibri"/>
        <family val="2"/>
        <scheme val="minor"/>
      </rPr>
      <t>)</t>
    </r>
  </si>
  <si>
    <t>Completion Report file name</t>
  </si>
  <si>
    <t>SEM Performance Period start date</t>
  </si>
  <si>
    <t>Utility Participation Payment cap</t>
  </si>
  <si>
    <t>Engineering technical review: Name</t>
  </si>
  <si>
    <t>Engineering technical review: Date</t>
  </si>
  <si>
    <t>SEM cumulative verified site savings</t>
  </si>
  <si>
    <t>Current submittal</t>
  </si>
  <si>
    <t>Project sector</t>
  </si>
  <si>
    <t>Busbar factor</t>
  </si>
  <si>
    <t>SEMAnnualSavAchiev</t>
  </si>
  <si>
    <t>SEMCumVerifiedSav</t>
  </si>
  <si>
    <t>Added BES Number under serving utility field.
Changed utility name and BES reference to 'utility list' sheet
Changed macro code to stop creation of new upload file
Eliminated cumulative avoided energy cost figures
In the upload data file, changed cell AL2 to the full savings, busbar adjusted
In the uploaddata file, changed the first-year incremental savings to zero (like HPEM)</t>
  </si>
  <si>
    <t>Added BES Number to upload data tab
Added Submittal Completion Date to upload data tab
Added protection to formula fields in T&amp;T Input Tool tab
Changed 'busbar sav' field label to 'booked sav"
Changed 'site sav' field label to 'total sav'</t>
  </si>
  <si>
    <t>SEM annual savings achieved (kWh):</t>
  </si>
  <si>
    <t>SEM Enrollment Application approved?</t>
  </si>
  <si>
    <r>
      <rPr>
        <b/>
        <sz val="11"/>
        <color rgb="FFFFFFFF"/>
        <rFont val="Calibri"/>
        <family val="2"/>
      </rPr>
      <t>For reference only!</t>
    </r>
    <r>
      <rPr>
        <sz val="11"/>
        <color indexed="9"/>
        <rFont val="Calibri"/>
        <family val="2"/>
      </rPr>
      <t xml:space="preserve"> Please enter information on the </t>
    </r>
    <r>
      <rPr>
        <i/>
        <sz val="11"/>
        <color rgb="FFFFFFFF"/>
        <rFont val="Calibri"/>
        <family val="2"/>
      </rPr>
      <t>Project Information</t>
    </r>
    <r>
      <rPr>
        <sz val="11"/>
        <color rgb="FFFFFFFF"/>
        <rFont val="Calibri"/>
        <family val="2"/>
      </rPr>
      <t xml:space="preserve"> and </t>
    </r>
    <r>
      <rPr>
        <i/>
        <sz val="11"/>
        <color rgb="FFFFFFFF"/>
        <rFont val="Calibri"/>
        <family val="2"/>
      </rPr>
      <t>Annual Completion Reports</t>
    </r>
    <r>
      <rPr>
        <sz val="11"/>
        <color rgb="FFFFFFFF"/>
        <rFont val="Calibri"/>
        <family val="2"/>
      </rPr>
      <t xml:space="preserve"> sheets.</t>
    </r>
  </si>
  <si>
    <t>Calculations based on SEM verified busbar savings (default)</t>
  </si>
  <si>
    <t>Calculations based on SEM verified site savings</t>
  </si>
  <si>
    <t>Max SEM Participation Payment:</t>
  </si>
  <si>
    <t>Project Sector</t>
  </si>
  <si>
    <t>Commercial or Industrial</t>
  </si>
  <si>
    <t xml:space="preserve">The maximum annual SEM Participation Payment depends on the verified energy savings and whether the incentive rate is applied to the site or busbar savings.
The utility may request a SEM Participation Payment lower than the maximum allowable SEM Participation Payment. </t>
  </si>
  <si>
    <t>Actual SEM Participation Payment:</t>
  </si>
  <si>
    <t xml:space="preserve">Updated to align with measure requirements documented in 4/1/2022 IM Release </t>
  </si>
  <si>
    <t>Current Submittal Year</t>
  </si>
  <si>
    <t>8.2 cont'd</t>
  </si>
  <si>
    <t xml:space="preserve">Addressed issue with submittal number. Created field 'submittal year' on Project Information tab. </t>
  </si>
  <si>
    <t>SEM Submissions #1 and #2: Annual Completion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</si>
</sst>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lt;=9999999]###\-####;\(###\)\ ###\-####"/>
    <numFmt numFmtId="165" formatCode="00000"/>
    <numFmt numFmtId="166" formatCode="0.00000"/>
    <numFmt numFmtId="167" formatCode="_(* #,##0_);_(* \(#,##0\);_(* &quot;-&quot;??_);_(@_)"/>
    <numFmt numFmtId="168" formatCode="mm/dd/yyyy"/>
    <numFmt numFmtId="169" formatCode="&quot;$&quot;#,##0.00"/>
    <numFmt numFmtId="170" formatCode="_([$$-409]* #,##0.00_);_([$$-409]* \(#,##0.00\);_([$$-409]* &quot;-&quot;??_);_(@_)"/>
    <numFmt numFmtId="171" formatCode="0.0"/>
    <numFmt numFmtId="172" formatCode="&quot;$&quot;#,##0.000_);[Red]\(&quot;$&quot;#,##0.000\)"/>
    <numFmt numFmtId="173" formatCode="0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2"/>
      <name val="Calibri"/>
      <family val="2"/>
    </font>
    <font>
      <b/>
      <sz val="18"/>
      <color indexed="9"/>
      <name val="Calibri"/>
      <family val="2"/>
    </font>
    <font>
      <b/>
      <sz val="18"/>
      <color indexed="55"/>
      <name val="Calibri"/>
      <family val="2"/>
    </font>
    <font>
      <b/>
      <sz val="12"/>
      <color indexed="9"/>
      <name val="Calibri"/>
      <family val="2"/>
    </font>
    <font>
      <b/>
      <sz val="12"/>
      <color indexed="8"/>
      <name val="Calibri"/>
      <family val="2"/>
    </font>
    <font>
      <b/>
      <sz val="12"/>
      <color indexed="55"/>
      <name val="Calibri"/>
      <family val="2"/>
    </font>
    <font>
      <b/>
      <sz val="12"/>
      <color indexed="23"/>
      <name val="Calibri"/>
      <family val="2"/>
    </font>
    <font>
      <sz val="12"/>
      <color indexed="55"/>
      <name val="Calibri"/>
      <family val="2"/>
    </font>
    <font>
      <i/>
      <sz val="12"/>
      <color indexed="23"/>
      <name val="Calibri"/>
      <family val="2"/>
    </font>
    <font>
      <sz val="11"/>
      <color indexed="8"/>
      <name val="Calibri"/>
      <family val="2"/>
    </font>
    <font>
      <i/>
      <sz val="11"/>
      <color indexed="23"/>
      <name val="Calibri"/>
      <family val="2"/>
    </font>
    <font>
      <u/>
      <sz val="10"/>
      <color theme="10"/>
      <name val="Arial"/>
      <family val="2"/>
    </font>
    <font>
      <b/>
      <sz val="12"/>
      <name val="Calibri"/>
      <family val="2"/>
    </font>
    <font>
      <sz val="12"/>
      <color theme="1"/>
      <name val="Calibri"/>
      <family val="2"/>
      <scheme val="minor"/>
    </font>
    <font>
      <b/>
      <sz val="12"/>
      <color theme="1"/>
      <name val="Calibri"/>
      <family val="2"/>
      <scheme val="minor"/>
    </font>
    <font>
      <sz val="12"/>
      <name val="Calibri"/>
      <family val="2"/>
      <scheme val="minor"/>
    </font>
    <font>
      <b/>
      <sz val="18"/>
      <color indexed="9"/>
      <name val="Calibri"/>
      <family val="2"/>
      <scheme val="minor"/>
    </font>
    <font>
      <b/>
      <sz val="12"/>
      <color indexed="9"/>
      <name val="Calibri"/>
      <family val="2"/>
      <scheme val="minor"/>
    </font>
    <font>
      <sz val="12"/>
      <color indexed="9"/>
      <name val="Calibri"/>
      <family val="2"/>
      <scheme val="minor"/>
    </font>
    <font>
      <sz val="12"/>
      <color theme="3" tint="-0.249977111117893"/>
      <name val="Calibri"/>
      <family val="2"/>
      <scheme val="minor"/>
    </font>
    <font>
      <sz val="12"/>
      <color indexed="55"/>
      <name val="Calibri"/>
      <family val="2"/>
      <scheme val="minor"/>
    </font>
    <font>
      <i/>
      <sz val="12"/>
      <color indexed="23"/>
      <name val="Calibri"/>
      <family val="2"/>
      <scheme val="minor"/>
    </font>
    <font>
      <b/>
      <sz val="12"/>
      <name val="Calibri"/>
      <family val="2"/>
      <scheme val="minor"/>
    </font>
    <font>
      <sz val="10"/>
      <color theme="1" tint="0.34998626667073579"/>
      <name val="Calibri"/>
      <family val="2"/>
      <scheme val="minor"/>
    </font>
    <font>
      <sz val="10"/>
      <name val="Arial"/>
      <family val="2"/>
    </font>
    <font>
      <b/>
      <sz val="18"/>
      <name val="Calibri"/>
      <family val="2"/>
      <scheme val="minor"/>
    </font>
    <font>
      <sz val="12"/>
      <color theme="1" tint="0.249977111117893"/>
      <name val="Calibri"/>
      <family val="2"/>
      <scheme val="minor"/>
    </font>
    <font>
      <sz val="12"/>
      <color theme="0" tint="-0.499984740745262"/>
      <name val="Calibri"/>
      <family val="2"/>
      <scheme val="minor"/>
    </font>
    <font>
      <sz val="12"/>
      <name val="Times New Roman"/>
      <family val="1"/>
    </font>
    <font>
      <b/>
      <sz val="12"/>
      <color indexed="12"/>
      <name val="Times New Roman"/>
      <family val="1"/>
    </font>
    <font>
      <b/>
      <sz val="12"/>
      <color indexed="10"/>
      <name val="Times New Roman"/>
      <family val="1"/>
    </font>
    <font>
      <b/>
      <sz val="12"/>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b/>
      <sz val="14"/>
      <name val="Calibri"/>
      <family val="2"/>
    </font>
    <font>
      <b/>
      <sz val="14"/>
      <color theme="1"/>
      <name val="Calibri"/>
      <family val="2"/>
      <scheme val="minor"/>
    </font>
    <font>
      <u/>
      <sz val="12"/>
      <name val="Calibri"/>
      <family val="2"/>
    </font>
    <font>
      <sz val="12"/>
      <color indexed="10"/>
      <name val="Calibri"/>
      <family val="2"/>
    </font>
    <font>
      <b/>
      <sz val="10"/>
      <color indexed="9"/>
      <name val="Arial"/>
      <family val="2"/>
    </font>
    <font>
      <sz val="10"/>
      <color theme="1"/>
      <name val="Arial"/>
      <family val="2"/>
    </font>
    <font>
      <i/>
      <sz val="10"/>
      <color theme="1"/>
      <name val="Arial"/>
      <family val="2"/>
    </font>
    <font>
      <b/>
      <sz val="12"/>
      <color theme="0"/>
      <name val="Calibri"/>
      <family val="2"/>
      <scheme val="minor"/>
    </font>
    <font>
      <b/>
      <sz val="18"/>
      <color theme="0"/>
      <name val="Calibri"/>
      <family val="2"/>
      <scheme val="minor"/>
    </font>
    <font>
      <sz val="12"/>
      <color rgb="FFFFFFFF"/>
      <name val="Calibri"/>
      <family val="2"/>
      <scheme val="minor"/>
    </font>
    <font>
      <sz val="14"/>
      <color theme="1"/>
      <name val="Calibri"/>
      <family val="2"/>
      <scheme val="minor"/>
    </font>
    <font>
      <sz val="11"/>
      <name val="Calibri"/>
      <family val="2"/>
    </font>
    <font>
      <sz val="11"/>
      <color indexed="9"/>
      <name val="Calibri"/>
      <family val="2"/>
    </font>
    <font>
      <b/>
      <sz val="11"/>
      <color indexed="9"/>
      <name val="Calibri"/>
      <family val="2"/>
    </font>
    <font>
      <i/>
      <sz val="11"/>
      <color rgb="FFFFFFFF"/>
      <name val="Calibri"/>
      <family val="2"/>
    </font>
    <font>
      <sz val="11"/>
      <color rgb="FFFFFFFF"/>
      <name val="Calibri"/>
      <family val="2"/>
    </font>
    <font>
      <sz val="12"/>
      <color rgb="FFFFFFFF"/>
      <name val="Calibri"/>
      <family val="2"/>
    </font>
    <font>
      <i/>
      <sz val="12"/>
      <name val="Calibri"/>
      <family val="2"/>
      <scheme val="minor"/>
    </font>
    <font>
      <b/>
      <sz val="11"/>
      <color rgb="FFFFFFFF"/>
      <name val="Calibri"/>
      <family val="2"/>
    </font>
    <font>
      <b/>
      <sz val="18"/>
      <name val="Calibri"/>
      <family val="2"/>
    </font>
    <font>
      <b/>
      <sz val="10"/>
      <color theme="1"/>
      <name val="Arial"/>
      <family val="2"/>
    </font>
    <font>
      <sz val="12"/>
      <color rgb="FF808080"/>
      <name val="Calibri"/>
      <family val="2"/>
      <scheme val="minor"/>
    </font>
    <font>
      <b/>
      <sz val="12"/>
      <color rgb="FF808080"/>
      <name val="Calibri"/>
      <family val="2"/>
      <scheme val="minor"/>
    </font>
    <font>
      <sz val="11"/>
      <name val="Calibri"/>
      <family val="2"/>
      <scheme val="minor"/>
    </font>
    <font>
      <b/>
      <sz val="11"/>
      <name val="Calibri"/>
      <family val="2"/>
      <scheme val="minor"/>
    </font>
  </fonts>
  <fills count="18">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4"/>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9FB97"/>
        <bgColor indexed="64"/>
      </patternFill>
    </fill>
    <fill>
      <patternFill patternType="solid">
        <fgColor rgb="FF007681"/>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right style="thin">
        <color indexed="64"/>
      </right>
      <top style="thin">
        <color auto="1"/>
      </top>
      <bottom/>
      <diagonal/>
    </border>
    <border>
      <left/>
      <right style="medium">
        <color auto="1"/>
      </right>
      <top style="thin">
        <color auto="1"/>
      </top>
      <bottom style="thin">
        <color indexed="64"/>
      </bottom>
      <diagonal/>
    </border>
    <border>
      <left style="thin">
        <color indexed="64"/>
      </left>
      <right/>
      <top style="thin">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right/>
      <top style="thin">
        <color auto="1"/>
      </top>
      <bottom/>
      <diagonal/>
    </border>
    <border>
      <left/>
      <right style="thin">
        <color indexed="64"/>
      </right>
      <top style="thin">
        <color auto="1"/>
      </top>
      <bottom/>
      <diagonal/>
    </border>
    <border>
      <left/>
      <right style="medium">
        <color indexed="64"/>
      </right>
      <top style="medium">
        <color auto="1"/>
      </top>
      <bottom style="thin">
        <color indexed="64"/>
      </bottom>
      <diagonal/>
    </border>
    <border>
      <left/>
      <right style="medium">
        <color indexed="64"/>
      </right>
      <top style="thin">
        <color indexed="64"/>
      </top>
      <bottom style="medium">
        <color auto="1"/>
      </bottom>
      <diagonal/>
    </border>
    <border>
      <left style="medium">
        <color indexed="64"/>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style="thin">
        <color indexed="64"/>
      </top>
      <bottom/>
      <diagonal/>
    </border>
    <border>
      <left/>
      <right/>
      <top style="medium">
        <color auto="1"/>
      </top>
      <bottom/>
      <diagonal/>
    </border>
    <border>
      <left/>
      <right style="medium">
        <color auto="1"/>
      </right>
      <top/>
      <bottom/>
      <diagonal/>
    </border>
    <border>
      <left style="thin">
        <color indexed="64"/>
      </left>
      <right style="medium">
        <color auto="1"/>
      </right>
      <top style="thin">
        <color indexed="64"/>
      </top>
      <bottom style="thin">
        <color indexed="64"/>
      </bottom>
      <diagonal/>
    </border>
    <border>
      <left style="medium">
        <color auto="1"/>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auto="1"/>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xf numFmtId="0" fontId="27" fillId="0" borderId="0"/>
    <xf numFmtId="0" fontId="31" fillId="0" borderId="0"/>
    <xf numFmtId="0" fontId="31" fillId="0" borderId="0"/>
  </cellStyleXfs>
  <cellXfs count="379">
    <xf numFmtId="0" fontId="0" fillId="0" borderId="0" xfId="0"/>
    <xf numFmtId="0" fontId="4" fillId="2" borderId="0" xfId="3" applyFont="1" applyFill="1" applyAlignment="1" applyProtection="1">
      <alignment horizontal="left" vertical="center"/>
    </xf>
    <xf numFmtId="0" fontId="4" fillId="2" borderId="0" xfId="3" applyFont="1" applyFill="1" applyAlignment="1" applyProtection="1">
      <alignment vertical="center"/>
    </xf>
    <xf numFmtId="0" fontId="4" fillId="2" borderId="0" xfId="3" applyFont="1" applyFill="1" applyAlignment="1" applyProtection="1">
      <alignment horizontal="center" vertical="center"/>
    </xf>
    <xf numFmtId="0" fontId="5" fillId="2" borderId="0" xfId="3" applyFont="1" applyFill="1" applyAlignment="1" applyProtection="1">
      <alignment vertical="center"/>
    </xf>
    <xf numFmtId="0" fontId="6" fillId="2" borderId="0" xfId="3" applyFont="1" applyFill="1" applyAlignment="1" applyProtection="1">
      <alignment horizontal="center" vertical="center"/>
    </xf>
    <xf numFmtId="0" fontId="3" fillId="3" borderId="0" xfId="0" applyFont="1" applyFill="1"/>
    <xf numFmtId="0" fontId="3" fillId="3" borderId="0" xfId="0" applyFont="1" applyFill="1" applyAlignment="1">
      <alignment horizontal="center"/>
    </xf>
    <xf numFmtId="0" fontId="4" fillId="5" borderId="0" xfId="3" applyFont="1" applyFill="1" applyAlignment="1" applyProtection="1">
      <alignment vertical="center"/>
    </xf>
    <xf numFmtId="0" fontId="25" fillId="8" borderId="2" xfId="3" applyFont="1" applyFill="1" applyBorder="1" applyAlignment="1" applyProtection="1">
      <alignment horizontal="center"/>
    </xf>
    <xf numFmtId="0" fontId="25" fillId="8" borderId="2" xfId="3" applyFont="1" applyFill="1" applyBorder="1" applyAlignment="1" applyProtection="1">
      <alignment horizontal="left"/>
    </xf>
    <xf numFmtId="0" fontId="6" fillId="7" borderId="3" xfId="3" applyFont="1" applyFill="1" applyBorder="1" applyAlignment="1" applyProtection="1">
      <alignment horizontal="left" vertical="center"/>
    </xf>
    <xf numFmtId="0" fontId="25" fillId="8" borderId="2" xfId="3" applyFont="1" applyFill="1" applyBorder="1" applyAlignment="1" applyProtection="1">
      <alignment horizontal="left" vertical="center"/>
    </xf>
    <xf numFmtId="0" fontId="28" fillId="8" borderId="2" xfId="3" applyFont="1" applyFill="1" applyBorder="1" applyAlignment="1" applyProtection="1">
      <alignment vertical="center"/>
    </xf>
    <xf numFmtId="0" fontId="0" fillId="0" borderId="0" xfId="0" applyFill="1"/>
    <xf numFmtId="0" fontId="27" fillId="0" borderId="38" xfId="0" applyFont="1" applyFill="1" applyBorder="1" applyAlignment="1">
      <alignment wrapText="1"/>
    </xf>
    <xf numFmtId="0" fontId="22" fillId="0" borderId="0" xfId="3" applyFont="1" applyFill="1" applyBorder="1" applyAlignment="1" applyProtection="1">
      <alignment vertical="center"/>
    </xf>
    <xf numFmtId="167" fontId="18" fillId="4" borderId="24" xfId="1" applyNumberFormat="1" applyFont="1" applyFill="1" applyBorder="1" applyAlignment="1" applyProtection="1">
      <alignment horizontal="left"/>
    </xf>
    <xf numFmtId="44" fontId="18" fillId="4" borderId="25" xfId="2" applyFont="1" applyFill="1" applyBorder="1" applyAlignment="1" applyProtection="1">
      <alignment horizontal="left"/>
    </xf>
    <xf numFmtId="44" fontId="18" fillId="4" borderId="27" xfId="2" applyFont="1" applyFill="1" applyBorder="1" applyAlignment="1" applyProtection="1">
      <alignment horizontal="left"/>
    </xf>
    <xf numFmtId="44" fontId="18" fillId="4" borderId="24" xfId="2" applyFont="1" applyFill="1" applyBorder="1" applyAlignment="1" applyProtection="1">
      <alignment horizontal="left"/>
    </xf>
    <xf numFmtId="167" fontId="18" fillId="4" borderId="26" xfId="1" applyNumberFormat="1" applyFont="1" applyFill="1" applyBorder="1" applyAlignment="1" applyProtection="1">
      <alignment horizontal="left"/>
    </xf>
    <xf numFmtId="0" fontId="6" fillId="7" borderId="7" xfId="3" applyFont="1" applyFill="1" applyBorder="1" applyAlignment="1" applyProtection="1">
      <alignment horizontal="left" vertical="center"/>
    </xf>
    <xf numFmtId="0" fontId="6" fillId="7" borderId="3" xfId="3" applyFont="1" applyFill="1" applyBorder="1" applyAlignment="1" applyProtection="1">
      <alignment vertical="center"/>
    </xf>
    <xf numFmtId="0" fontId="6" fillId="7" borderId="3" xfId="3" applyFont="1" applyFill="1" applyBorder="1" applyAlignment="1" applyProtection="1">
      <alignment horizontal="center" vertical="center"/>
    </xf>
    <xf numFmtId="0" fontId="4" fillId="2" borderId="3" xfId="3" applyFont="1" applyFill="1" applyBorder="1" applyAlignment="1" applyProtection="1">
      <alignment vertical="center"/>
    </xf>
    <xf numFmtId="0" fontId="4" fillId="2" borderId="3" xfId="3" applyFont="1" applyFill="1" applyBorder="1" applyAlignment="1" applyProtection="1">
      <alignment horizontal="center" vertical="center"/>
    </xf>
    <xf numFmtId="0" fontId="4" fillId="2" borderId="3" xfId="3" applyFont="1" applyFill="1" applyBorder="1" applyAlignment="1" applyProtection="1">
      <alignment horizontal="left" vertical="center"/>
    </xf>
    <xf numFmtId="0" fontId="6" fillId="2" borderId="3" xfId="3" applyFont="1" applyFill="1" applyBorder="1" applyAlignment="1" applyProtection="1">
      <alignment horizontal="left" vertical="center"/>
    </xf>
    <xf numFmtId="44" fontId="18" fillId="4" borderId="26" xfId="2" applyFont="1" applyFill="1" applyBorder="1" applyAlignment="1" applyProtection="1">
      <alignment horizontal="left" vertical="top"/>
    </xf>
    <xf numFmtId="0" fontId="42" fillId="3"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left"/>
    </xf>
    <xf numFmtId="0" fontId="15" fillId="16" borderId="0" xfId="0" applyFont="1" applyFill="1" applyAlignment="1">
      <alignment horizontal="center" vertical="center" wrapText="1"/>
    </xf>
    <xf numFmtId="49" fontId="0" fillId="0" borderId="38" xfId="0" applyNumberFormat="1" applyFont="1" applyBorder="1"/>
    <xf numFmtId="4" fontId="0" fillId="0" borderId="38" xfId="0" applyNumberFormat="1" applyFont="1" applyBorder="1"/>
    <xf numFmtId="9" fontId="0" fillId="0" borderId="38" xfId="0" applyNumberFormat="1" applyFont="1" applyBorder="1"/>
    <xf numFmtId="0" fontId="27" fillId="0" borderId="38" xfId="0" applyFont="1" applyBorder="1"/>
    <xf numFmtId="0" fontId="0" fillId="0" borderId="38" xfId="0" applyFont="1" applyBorder="1"/>
    <xf numFmtId="49" fontId="27" fillId="0" borderId="38" xfId="0" applyNumberFormat="1" applyFont="1" applyBorder="1"/>
    <xf numFmtId="0" fontId="27" fillId="2" borderId="0" xfId="0" applyFont="1" applyFill="1"/>
    <xf numFmtId="0" fontId="43" fillId="2" borderId="0" xfId="3" applyFont="1" applyFill="1" applyAlignment="1" applyProtection="1">
      <alignment vertical="center"/>
    </xf>
    <xf numFmtId="0" fontId="44" fillId="0" borderId="0" xfId="0" applyFont="1"/>
    <xf numFmtId="0" fontId="27" fillId="13" borderId="6" xfId="0" applyFont="1" applyFill="1" applyBorder="1"/>
    <xf numFmtId="0" fontId="43" fillId="13" borderId="3" xfId="3" applyFont="1" applyFill="1" applyBorder="1" applyAlignment="1" applyProtection="1">
      <alignment vertical="center"/>
    </xf>
    <xf numFmtId="171" fontId="27" fillId="13" borderId="7" xfId="3" applyNumberFormat="1" applyFont="1" applyFill="1" applyBorder="1" applyAlignment="1" applyProtection="1">
      <alignment horizontal="left" vertical="center"/>
    </xf>
    <xf numFmtId="0" fontId="44" fillId="8" borderId="38" xfId="0" applyFont="1" applyFill="1" applyBorder="1" applyAlignment="1">
      <alignment horizontal="left" wrapText="1"/>
    </xf>
    <xf numFmtId="0" fontId="44" fillId="8" borderId="38" xfId="0" applyFont="1" applyFill="1" applyBorder="1" applyAlignment="1">
      <alignment horizontal="left"/>
    </xf>
    <xf numFmtId="0" fontId="44" fillId="8" borderId="38" xfId="0" applyFont="1" applyFill="1" applyBorder="1" applyAlignment="1"/>
    <xf numFmtId="171" fontId="44" fillId="0" borderId="38" xfId="0" applyNumberFormat="1" applyFont="1" applyBorder="1" applyAlignment="1">
      <alignment horizontal="center" vertical="top"/>
    </xf>
    <xf numFmtId="0" fontId="44" fillId="0" borderId="38" xfId="0" applyFont="1" applyBorder="1"/>
    <xf numFmtId="0" fontId="44" fillId="0" borderId="38" xfId="0" applyFont="1" applyBorder="1" applyAlignment="1">
      <alignment horizontal="center" vertical="top"/>
    </xf>
    <xf numFmtId="14" fontId="44" fillId="0" borderId="38" xfId="0" applyNumberFormat="1" applyFont="1" applyBorder="1" applyAlignment="1">
      <alignment vertical="top"/>
    </xf>
    <xf numFmtId="0" fontId="44" fillId="0" borderId="38" xfId="0" applyFont="1" applyBorder="1" applyAlignment="1">
      <alignment wrapText="1"/>
    </xf>
    <xf numFmtId="0" fontId="44" fillId="0" borderId="38" xfId="0" applyFont="1" applyBorder="1" applyAlignment="1">
      <alignment horizontal="left" wrapText="1"/>
    </xf>
    <xf numFmtId="14" fontId="44" fillId="0" borderId="38" xfId="0" applyNumberFormat="1" applyFont="1" applyBorder="1"/>
    <xf numFmtId="171" fontId="44" fillId="0" borderId="4" xfId="0" applyNumberFormat="1" applyFont="1" applyFill="1" applyBorder="1" applyAlignment="1">
      <alignment horizontal="center" vertical="top"/>
    </xf>
    <xf numFmtId="0" fontId="44" fillId="0" borderId="38" xfId="0" applyFont="1" applyFill="1" applyBorder="1" applyAlignment="1">
      <alignment wrapText="1"/>
    </xf>
    <xf numFmtId="14" fontId="44" fillId="0" borderId="4" xfId="0" applyNumberFormat="1" applyFont="1" applyFill="1" applyBorder="1" applyAlignment="1">
      <alignment vertical="top"/>
    </xf>
    <xf numFmtId="49" fontId="18" fillId="4" borderId="37" xfId="0" applyNumberFormat="1" applyFont="1" applyFill="1" applyBorder="1" applyAlignment="1" applyProtection="1">
      <alignment horizontal="right"/>
    </xf>
    <xf numFmtId="44" fontId="18" fillId="4" borderId="26" xfId="2" applyFont="1" applyFill="1" applyBorder="1" applyAlignment="1" applyProtection="1">
      <alignment horizontal="left"/>
    </xf>
    <xf numFmtId="14" fontId="18" fillId="4" borderId="42" xfId="0" applyNumberFormat="1" applyFont="1" applyFill="1" applyBorder="1" applyAlignment="1" applyProtection="1">
      <alignment horizontal="right"/>
    </xf>
    <xf numFmtId="0" fontId="47" fillId="14" borderId="46" xfId="3" applyFont="1" applyFill="1" applyBorder="1" applyAlignment="1" applyProtection="1">
      <alignment vertical="center"/>
    </xf>
    <xf numFmtId="0" fontId="19" fillId="14" borderId="46" xfId="3" applyFont="1" applyFill="1" applyBorder="1" applyAlignment="1" applyProtection="1">
      <alignment horizontal="left" vertical="center"/>
    </xf>
    <xf numFmtId="0" fontId="46" fillId="14" borderId="46" xfId="3" applyFont="1" applyFill="1" applyBorder="1" applyAlignment="1" applyProtection="1">
      <alignment vertical="center" wrapText="1"/>
    </xf>
    <xf numFmtId="0" fontId="20" fillId="14" borderId="46" xfId="3" applyFont="1" applyFill="1" applyBorder="1" applyAlignment="1" applyProtection="1">
      <alignment vertical="center" wrapText="1"/>
    </xf>
    <xf numFmtId="0" fontId="19" fillId="14" borderId="46" xfId="3" applyFont="1" applyFill="1" applyBorder="1" applyAlignment="1" applyProtection="1">
      <alignment horizontal="left" vertical="center" wrapText="1"/>
    </xf>
    <xf numFmtId="0" fontId="46" fillId="14" borderId="46" xfId="3" applyFont="1" applyFill="1" applyBorder="1" applyAlignment="1" applyProtection="1">
      <alignment horizontal="center"/>
    </xf>
    <xf numFmtId="0" fontId="46" fillId="14" borderId="46" xfId="3" applyFont="1" applyFill="1" applyBorder="1" applyAlignment="1" applyProtection="1">
      <alignment horizontal="left"/>
    </xf>
    <xf numFmtId="0" fontId="46" fillId="14" borderId="47" xfId="3" applyFont="1" applyFill="1" applyBorder="1" applyAlignment="1" applyProtection="1">
      <alignment horizontal="left"/>
    </xf>
    <xf numFmtId="0" fontId="4" fillId="9" borderId="0" xfId="3" applyFont="1" applyFill="1" applyBorder="1" applyAlignment="1" applyProtection="1">
      <alignment vertical="center"/>
    </xf>
    <xf numFmtId="14" fontId="18" fillId="9" borderId="0" xfId="1" applyNumberFormat="1" applyFont="1" applyFill="1" applyBorder="1" applyAlignment="1" applyProtection="1">
      <alignment horizontal="right"/>
    </xf>
    <xf numFmtId="14" fontId="18" fillId="4" borderId="37" xfId="0" applyNumberFormat="1" applyFont="1" applyFill="1" applyBorder="1" applyAlignment="1" applyProtection="1">
      <alignment horizontal="right"/>
      <protection locked="0"/>
    </xf>
    <xf numFmtId="167" fontId="18" fillId="4" borderId="37" xfId="1" applyNumberFormat="1" applyFont="1" applyFill="1" applyBorder="1" applyAlignment="1" applyProtection="1">
      <alignment horizontal="right"/>
      <protection locked="0"/>
    </xf>
    <xf numFmtId="49" fontId="18" fillId="4" borderId="42" xfId="0" applyNumberFormat="1" applyFont="1" applyFill="1" applyBorder="1" applyAlignment="1" applyProtection="1">
      <alignment horizontal="left" vertical="top" wrapText="1"/>
      <protection locked="0"/>
    </xf>
    <xf numFmtId="0" fontId="3" fillId="2" borderId="6" xfId="0" applyFont="1" applyFill="1" applyBorder="1" applyProtection="1"/>
    <xf numFmtId="0" fontId="0" fillId="0" borderId="3" xfId="0" applyBorder="1" applyProtection="1"/>
    <xf numFmtId="0" fontId="0" fillId="0" borderId="0" xfId="0" applyBorder="1" applyProtection="1"/>
    <xf numFmtId="0" fontId="0" fillId="0" borderId="0" xfId="0" applyProtection="1"/>
    <xf numFmtId="0" fontId="3" fillId="3" borderId="0" xfId="0" applyFont="1" applyFill="1" applyBorder="1" applyProtection="1"/>
    <xf numFmtId="0" fontId="3" fillId="7" borderId="6" xfId="0" applyFont="1" applyFill="1" applyBorder="1" applyAlignment="1" applyProtection="1">
      <alignment vertical="top"/>
    </xf>
    <xf numFmtId="0" fontId="0" fillId="0" borderId="0" xfId="0" applyAlignment="1" applyProtection="1">
      <alignment vertical="top"/>
    </xf>
    <xf numFmtId="0" fontId="3" fillId="3" borderId="8" xfId="0" applyFont="1" applyFill="1" applyBorder="1" applyProtection="1"/>
    <xf numFmtId="0" fontId="3" fillId="3" borderId="0" xfId="0" applyFont="1" applyFill="1" applyBorder="1" applyAlignment="1" applyProtection="1">
      <alignment vertical="top" wrapText="1"/>
    </xf>
    <xf numFmtId="0" fontId="18" fillId="9" borderId="0" xfId="0" applyFont="1" applyFill="1" applyBorder="1" applyAlignment="1" applyProtection="1">
      <alignment horizontal="left" indent="2"/>
    </xf>
    <xf numFmtId="0" fontId="18" fillId="9" borderId="0" xfId="0" applyFont="1" applyFill="1" applyBorder="1" applyProtection="1"/>
    <xf numFmtId="0" fontId="18" fillId="9" borderId="0" xfId="0" applyFont="1" applyFill="1" applyBorder="1" applyAlignment="1" applyProtection="1">
      <alignment horizontal="center"/>
    </xf>
    <xf numFmtId="0" fontId="23" fillId="9" borderId="0" xfId="0" applyFont="1" applyFill="1" applyBorder="1" applyAlignment="1" applyProtection="1">
      <alignment horizontal="center"/>
    </xf>
    <xf numFmtId="0" fontId="3" fillId="2" borderId="0" xfId="0" applyFont="1" applyFill="1" applyProtection="1"/>
    <xf numFmtId="0" fontId="3" fillId="3" borderId="18" xfId="0" applyFont="1" applyFill="1" applyBorder="1" applyProtection="1"/>
    <xf numFmtId="171" fontId="32" fillId="0" borderId="0" xfId="6" applyNumberFormat="1" applyFont="1" applyProtection="1"/>
    <xf numFmtId="0" fontId="33" fillId="0" borderId="0" xfId="6" applyFont="1" applyProtection="1"/>
    <xf numFmtId="0" fontId="32" fillId="0" borderId="0" xfId="6" applyFont="1" applyProtection="1"/>
    <xf numFmtId="0" fontId="32" fillId="8" borderId="0" xfId="6" applyFont="1" applyFill="1" applyProtection="1"/>
    <xf numFmtId="167" fontId="32" fillId="0" borderId="0" xfId="1" applyNumberFormat="1" applyFont="1" applyProtection="1"/>
    <xf numFmtId="0" fontId="34" fillId="8" borderId="0" xfId="6" applyFont="1" applyFill="1" applyProtection="1"/>
    <xf numFmtId="4" fontId="32" fillId="0" borderId="0" xfId="6" applyNumberFormat="1" applyFont="1" applyProtection="1"/>
    <xf numFmtId="3" fontId="32" fillId="8" borderId="0" xfId="6" applyNumberFormat="1" applyFont="1" applyFill="1" applyProtection="1"/>
    <xf numFmtId="4" fontId="34" fillId="8" borderId="0" xfId="6" applyNumberFormat="1" applyFont="1" applyFill="1" applyProtection="1"/>
    <xf numFmtId="0" fontId="32" fillId="0" borderId="0" xfId="6" applyFont="1" applyBorder="1" applyProtection="1"/>
    <xf numFmtId="0" fontId="34" fillId="0" borderId="0" xfId="6" applyFont="1" applyProtection="1"/>
    <xf numFmtId="167" fontId="34" fillId="0" borderId="0" xfId="1" applyNumberFormat="1" applyFont="1" applyProtection="1"/>
    <xf numFmtId="0" fontId="34" fillId="0" borderId="0" xfId="7" applyFont="1" applyProtection="1"/>
    <xf numFmtId="171" fontId="0" fillId="0" borderId="0" xfId="0" applyNumberFormat="1" applyProtection="1"/>
    <xf numFmtId="14" fontId="0" fillId="0" borderId="0" xfId="0" applyNumberFormat="1" applyProtection="1"/>
    <xf numFmtId="0" fontId="51" fillId="5" borderId="0" xfId="3" applyFont="1" applyFill="1" applyAlignment="1" applyProtection="1">
      <alignment horizontal="left" vertical="center"/>
    </xf>
    <xf numFmtId="0" fontId="52" fillId="5" borderId="0" xfId="3" applyFont="1" applyFill="1" applyAlignment="1" applyProtection="1">
      <alignment horizontal="left" vertical="center"/>
    </xf>
    <xf numFmtId="0" fontId="52" fillId="5" borderId="0" xfId="3" applyFont="1" applyFill="1" applyAlignment="1" applyProtection="1">
      <alignment vertical="center"/>
    </xf>
    <xf numFmtId="0" fontId="0" fillId="0" borderId="8" xfId="0" applyBorder="1" applyProtection="1"/>
    <xf numFmtId="168" fontId="24" fillId="9" borderId="0" xfId="0" applyNumberFormat="1" applyFont="1" applyFill="1" applyBorder="1" applyAlignment="1" applyProtection="1">
      <alignment horizontal="left"/>
    </xf>
    <xf numFmtId="0" fontId="4" fillId="7" borderId="3" xfId="3" applyFont="1" applyFill="1" applyBorder="1" applyAlignment="1" applyProtection="1">
      <alignment horizontal="left" vertical="center" wrapText="1"/>
    </xf>
    <xf numFmtId="0" fontId="18" fillId="9" borderId="8" xfId="0" applyFont="1" applyFill="1" applyBorder="1" applyProtection="1"/>
    <xf numFmtId="0" fontId="25" fillId="9" borderId="9" xfId="3" applyFont="1" applyFill="1" applyBorder="1" applyAlignment="1" applyProtection="1">
      <alignment horizontal="left"/>
    </xf>
    <xf numFmtId="0" fontId="18" fillId="9" borderId="9" xfId="0" applyFont="1" applyFill="1" applyBorder="1" applyProtection="1"/>
    <xf numFmtId="0" fontId="0" fillId="9" borderId="0" xfId="0" applyFill="1" applyProtection="1"/>
    <xf numFmtId="168" fontId="11" fillId="9" borderId="0" xfId="0" applyNumberFormat="1" applyFont="1" applyFill="1" applyBorder="1" applyAlignment="1" applyProtection="1">
      <alignment horizontal="left"/>
    </xf>
    <xf numFmtId="0" fontId="11" fillId="9" borderId="0" xfId="3" applyFont="1" applyFill="1" applyBorder="1" applyAlignment="1" applyProtection="1">
      <alignment horizontal="left" vertical="top"/>
    </xf>
    <xf numFmtId="0" fontId="3" fillId="9" borderId="8" xfId="0" applyFont="1" applyFill="1" applyBorder="1" applyProtection="1"/>
    <xf numFmtId="0" fontId="17" fillId="9" borderId="0" xfId="0" applyFont="1" applyFill="1" applyBorder="1" applyAlignment="1" applyProtection="1">
      <alignment horizontal="left" indent="2"/>
    </xf>
    <xf numFmtId="14" fontId="25" fillId="9" borderId="0" xfId="1" applyNumberFormat="1" applyFont="1" applyFill="1" applyBorder="1" applyAlignment="1" applyProtection="1">
      <alignment horizontal="center"/>
    </xf>
    <xf numFmtId="168" fontId="24" fillId="9" borderId="9" xfId="0" applyNumberFormat="1" applyFont="1" applyFill="1" applyBorder="1" applyAlignment="1" applyProtection="1">
      <alignment horizontal="left"/>
    </xf>
    <xf numFmtId="0" fontId="0" fillId="9" borderId="0" xfId="0" applyFill="1" applyBorder="1" applyProtection="1"/>
    <xf numFmtId="0" fontId="9" fillId="9" borderId="0" xfId="3" applyFont="1" applyFill="1" applyBorder="1" applyAlignment="1" applyProtection="1">
      <alignment horizontal="left"/>
    </xf>
    <xf numFmtId="0" fontId="0" fillId="9" borderId="9" xfId="0" applyFill="1" applyBorder="1" applyProtection="1"/>
    <xf numFmtId="0" fontId="26" fillId="9" borderId="9" xfId="3" applyFont="1" applyFill="1" applyBorder="1" applyAlignment="1" applyProtection="1">
      <alignment horizontal="left" vertical="center" wrapText="1" indent="2"/>
    </xf>
    <xf numFmtId="0" fontId="30" fillId="9" borderId="9" xfId="3" applyFont="1" applyFill="1" applyBorder="1" applyAlignment="1" applyProtection="1">
      <alignment horizontal="left"/>
    </xf>
    <xf numFmtId="169" fontId="24" fillId="9" borderId="9" xfId="2" applyNumberFormat="1" applyFont="1" applyFill="1" applyBorder="1" applyAlignment="1" applyProtection="1">
      <alignment horizontal="left"/>
    </xf>
    <xf numFmtId="0" fontId="23" fillId="9" borderId="9" xfId="0" applyFont="1" applyFill="1" applyBorder="1" applyAlignment="1" applyProtection="1">
      <alignment horizontal="left"/>
    </xf>
    <xf numFmtId="0" fontId="9" fillId="9" borderId="9" xfId="3" applyFont="1" applyFill="1" applyBorder="1" applyAlignment="1" applyProtection="1">
      <alignment horizontal="left"/>
    </xf>
    <xf numFmtId="0" fontId="3" fillId="9" borderId="9" xfId="0" applyFont="1" applyFill="1" applyBorder="1" applyProtection="1"/>
    <xf numFmtId="0" fontId="3" fillId="9" borderId="0" xfId="0" applyFont="1" applyFill="1" applyBorder="1" applyProtection="1"/>
    <xf numFmtId="0" fontId="10" fillId="9" borderId="0" xfId="0" applyFont="1" applyFill="1" applyBorder="1" applyAlignment="1" applyProtection="1">
      <alignment horizontal="center"/>
    </xf>
    <xf numFmtId="0" fontId="7" fillId="9" borderId="0" xfId="3" applyFont="1" applyFill="1" applyBorder="1" applyAlignment="1" applyProtection="1">
      <alignment horizontal="center"/>
    </xf>
    <xf numFmtId="44" fontId="18" fillId="9" borderId="0" xfId="2" applyFont="1" applyFill="1" applyBorder="1" applyAlignment="1" applyProtection="1">
      <alignment horizontal="right"/>
    </xf>
    <xf numFmtId="170" fontId="22" fillId="9" borderId="41" xfId="2" applyNumberFormat="1" applyFont="1" applyFill="1" applyBorder="1" applyAlignment="1" applyProtection="1">
      <alignment horizontal="center"/>
    </xf>
    <xf numFmtId="169" fontId="24" fillId="9" borderId="0" xfId="2" applyNumberFormat="1" applyFont="1" applyFill="1" applyBorder="1" applyAlignment="1" applyProtection="1">
      <alignment horizontal="left"/>
    </xf>
    <xf numFmtId="0" fontId="3" fillId="9" borderId="0" xfId="3" applyFont="1" applyFill="1" applyBorder="1" applyAlignment="1" applyProtection="1">
      <alignment horizontal="left" vertical="center"/>
    </xf>
    <xf numFmtId="170" fontId="18" fillId="9" borderId="0" xfId="2" applyNumberFormat="1" applyFont="1" applyFill="1" applyBorder="1" applyAlignment="1" applyProtection="1">
      <alignment horizontal="center"/>
    </xf>
    <xf numFmtId="170" fontId="18" fillId="9" borderId="46" xfId="2" applyNumberFormat="1" applyFont="1" applyFill="1" applyBorder="1" applyAlignment="1" applyProtection="1">
      <alignment horizontal="center"/>
    </xf>
    <xf numFmtId="0" fontId="23" fillId="9" borderId="0" xfId="0" applyFont="1" applyFill="1" applyBorder="1" applyAlignment="1" applyProtection="1">
      <alignment horizontal="left"/>
    </xf>
    <xf numFmtId="0" fontId="18" fillId="9" borderId="0" xfId="3" applyFont="1" applyFill="1" applyBorder="1" applyAlignment="1" applyProtection="1">
      <alignment horizontal="left" vertical="center" indent="2"/>
    </xf>
    <xf numFmtId="0" fontId="28" fillId="9" borderId="0" xfId="3" applyFont="1" applyFill="1" applyBorder="1" applyAlignment="1" applyProtection="1">
      <alignment vertical="center"/>
    </xf>
    <xf numFmtId="44" fontId="29" fillId="9" borderId="0" xfId="2" applyFont="1" applyFill="1" applyBorder="1" applyAlignment="1" applyProtection="1">
      <alignment horizontal="right"/>
    </xf>
    <xf numFmtId="0" fontId="26" fillId="9" borderId="3" xfId="3" applyFont="1" applyFill="1" applyBorder="1" applyAlignment="1" applyProtection="1">
      <alignment vertical="center" wrapText="1"/>
    </xf>
    <xf numFmtId="0" fontId="30" fillId="9" borderId="0" xfId="3" applyFont="1" applyFill="1" applyBorder="1" applyAlignment="1" applyProtection="1">
      <alignment horizontal="left"/>
    </xf>
    <xf numFmtId="0" fontId="4" fillId="9" borderId="0" xfId="3" applyFont="1" applyFill="1" applyBorder="1" applyAlignment="1" applyProtection="1">
      <alignment horizontal="left" vertical="center"/>
    </xf>
    <xf numFmtId="0" fontId="16" fillId="9" borderId="0" xfId="0" applyFont="1" applyFill="1" applyBorder="1" applyAlignment="1" applyProtection="1">
      <alignment horizontal="left" indent="2"/>
    </xf>
    <xf numFmtId="0" fontId="3" fillId="9" borderId="0" xfId="0" applyFont="1" applyFill="1" applyBorder="1" applyAlignment="1" applyProtection="1">
      <alignment horizontal="left" vertical="top" indent="2"/>
    </xf>
    <xf numFmtId="0" fontId="4" fillId="9" borderId="9" xfId="3" applyFont="1" applyFill="1" applyBorder="1" applyAlignment="1" applyProtection="1">
      <alignment horizontal="left" vertical="center"/>
    </xf>
    <xf numFmtId="44" fontId="18" fillId="9" borderId="0" xfId="1" applyNumberFormat="1" applyFont="1" applyFill="1" applyBorder="1" applyAlignment="1" applyProtection="1">
      <alignment horizontal="left"/>
    </xf>
    <xf numFmtId="168" fontId="11" fillId="9" borderId="9" xfId="0" applyNumberFormat="1" applyFont="1" applyFill="1" applyBorder="1" applyAlignment="1" applyProtection="1">
      <alignment horizontal="left"/>
    </xf>
    <xf numFmtId="0" fontId="10" fillId="9" borderId="0" xfId="0" applyFont="1" applyFill="1" applyBorder="1" applyAlignment="1" applyProtection="1">
      <alignment horizontal="left"/>
    </xf>
    <xf numFmtId="3" fontId="18" fillId="9" borderId="0" xfId="1" applyNumberFormat="1" applyFont="1" applyFill="1" applyBorder="1" applyAlignment="1" applyProtection="1">
      <alignment horizontal="right"/>
    </xf>
    <xf numFmtId="167" fontId="18" fillId="9" borderId="0" xfId="1" applyNumberFormat="1" applyFont="1" applyFill="1" applyBorder="1" applyAlignment="1" applyProtection="1">
      <alignment horizontal="right"/>
    </xf>
    <xf numFmtId="49" fontId="18" fillId="9" borderId="0" xfId="0" applyNumberFormat="1" applyFont="1" applyFill="1" applyBorder="1" applyAlignment="1" applyProtection="1">
      <alignment horizontal="right" vertical="top"/>
    </xf>
    <xf numFmtId="14" fontId="3" fillId="9" borderId="0" xfId="0" applyNumberFormat="1" applyFont="1" applyFill="1" applyBorder="1" applyAlignment="1" applyProtection="1">
      <alignment horizontal="center"/>
    </xf>
    <xf numFmtId="0" fontId="3" fillId="9" borderId="0" xfId="0" applyFont="1" applyFill="1" applyBorder="1" applyAlignment="1" applyProtection="1">
      <alignment horizontal="center"/>
    </xf>
    <xf numFmtId="14" fontId="10" fillId="9" borderId="0" xfId="0" applyNumberFormat="1" applyFont="1" applyFill="1" applyBorder="1" applyAlignment="1" applyProtection="1">
      <alignment horizontal="center"/>
    </xf>
    <xf numFmtId="0" fontId="3" fillId="9" borderId="0" xfId="0" applyFont="1" applyFill="1" applyBorder="1" applyAlignment="1" applyProtection="1">
      <alignment vertical="top" wrapText="1"/>
    </xf>
    <xf numFmtId="3" fontId="11" fillId="9" borderId="0" xfId="1" applyNumberFormat="1" applyFont="1" applyFill="1" applyBorder="1" applyAlignment="1" applyProtection="1">
      <alignment horizontal="left"/>
    </xf>
    <xf numFmtId="3" fontId="11" fillId="9" borderId="9" xfId="1" applyNumberFormat="1" applyFont="1" applyFill="1" applyBorder="1" applyAlignment="1" applyProtection="1">
      <alignment horizontal="left"/>
    </xf>
    <xf numFmtId="0" fontId="11" fillId="9" borderId="9" xfId="3" applyFont="1" applyFill="1" applyBorder="1" applyAlignment="1" applyProtection="1">
      <alignment horizontal="left"/>
    </xf>
    <xf numFmtId="0" fontId="41" fillId="9" borderId="0" xfId="0" applyFont="1" applyFill="1" applyBorder="1" applyProtection="1"/>
    <xf numFmtId="0" fontId="3" fillId="9" borderId="1" xfId="0" applyFont="1" applyFill="1" applyBorder="1" applyAlignment="1" applyProtection="1">
      <alignment horizontal="center"/>
    </xf>
    <xf numFmtId="0" fontId="3" fillId="9" borderId="1" xfId="0" applyFont="1" applyFill="1" applyBorder="1" applyProtection="1"/>
    <xf numFmtId="0" fontId="3" fillId="9" borderId="23" xfId="0" applyFont="1" applyFill="1" applyBorder="1" applyProtection="1"/>
    <xf numFmtId="0" fontId="3" fillId="9" borderId="22" xfId="0" applyFont="1" applyFill="1" applyBorder="1" applyProtection="1"/>
    <xf numFmtId="0" fontId="11" fillId="9" borderId="0" xfId="3" applyFont="1" applyFill="1" applyBorder="1" applyAlignment="1" applyProtection="1">
      <alignment horizontal="left"/>
    </xf>
    <xf numFmtId="49" fontId="18" fillId="9" borderId="0" xfId="0" applyNumberFormat="1" applyFont="1" applyFill="1" applyBorder="1" applyAlignment="1" applyProtection="1">
      <alignment horizontal="right"/>
    </xf>
    <xf numFmtId="14" fontId="18" fillId="9" borderId="0" xfId="0" applyNumberFormat="1" applyFont="1" applyFill="1" applyBorder="1" applyAlignment="1" applyProtection="1">
      <alignment horizontal="right"/>
    </xf>
    <xf numFmtId="0" fontId="3" fillId="9" borderId="0" xfId="0" applyNumberFormat="1" applyFont="1" applyFill="1" applyBorder="1" applyAlignment="1" applyProtection="1">
      <alignment horizontal="left" vertical="top" wrapText="1"/>
    </xf>
    <xf numFmtId="0" fontId="3" fillId="2" borderId="50" xfId="0" applyFont="1" applyFill="1" applyBorder="1" applyProtection="1"/>
    <xf numFmtId="0" fontId="4" fillId="2" borderId="51" xfId="3" applyFont="1" applyFill="1" applyBorder="1" applyAlignment="1" applyProtection="1">
      <alignment horizontal="left" vertical="center"/>
    </xf>
    <xf numFmtId="0" fontId="4" fillId="2" borderId="51" xfId="3" applyFont="1" applyFill="1" applyBorder="1" applyAlignment="1" applyProtection="1">
      <alignment vertical="center"/>
    </xf>
    <xf numFmtId="0" fontId="4" fillId="2" borderId="51" xfId="3" applyFont="1" applyFill="1" applyBorder="1" applyAlignment="1" applyProtection="1">
      <alignment horizontal="center" vertical="center"/>
    </xf>
    <xf numFmtId="0" fontId="6" fillId="2" borderId="51" xfId="3" applyFont="1" applyFill="1" applyBorder="1" applyAlignment="1" applyProtection="1">
      <alignment horizontal="left" vertical="center"/>
    </xf>
    <xf numFmtId="0" fontId="3" fillId="9" borderId="44" xfId="0" applyNumberFormat="1" applyFont="1" applyFill="1" applyBorder="1" applyProtection="1"/>
    <xf numFmtId="0" fontId="3" fillId="9" borderId="45" xfId="3" applyNumberFormat="1" applyFont="1" applyFill="1" applyBorder="1" applyAlignment="1" applyProtection="1">
      <alignment horizontal="left" vertical="center"/>
    </xf>
    <xf numFmtId="0" fontId="3" fillId="9" borderId="45" xfId="3" applyNumberFormat="1" applyFont="1" applyFill="1" applyBorder="1" applyAlignment="1" applyProtection="1">
      <alignment vertical="center"/>
    </xf>
    <xf numFmtId="0" fontId="3" fillId="9" borderId="45" xfId="3" applyNumberFormat="1" applyFont="1" applyFill="1" applyBorder="1" applyAlignment="1" applyProtection="1">
      <alignment horizontal="center" vertical="center"/>
    </xf>
    <xf numFmtId="0" fontId="18" fillId="7" borderId="6" xfId="0" applyFont="1" applyFill="1" applyBorder="1" applyProtection="1"/>
    <xf numFmtId="0" fontId="19" fillId="7" borderId="3" xfId="3" applyFont="1" applyFill="1" applyBorder="1" applyAlignment="1" applyProtection="1">
      <alignment horizontal="left" vertical="center" wrapText="1"/>
    </xf>
    <xf numFmtId="0" fontId="19" fillId="7" borderId="3" xfId="3" applyFont="1" applyFill="1" applyBorder="1" applyAlignment="1" applyProtection="1">
      <alignment horizontal="left" vertical="center"/>
    </xf>
    <xf numFmtId="0" fontId="20" fillId="7" borderId="3" xfId="3" applyFont="1" applyFill="1" applyBorder="1" applyAlignment="1" applyProtection="1">
      <alignment vertical="center" wrapText="1"/>
    </xf>
    <xf numFmtId="0" fontId="20" fillId="7" borderId="3" xfId="3" applyFont="1" applyFill="1" applyBorder="1" applyAlignment="1" applyProtection="1">
      <alignment horizontal="left" vertical="center"/>
    </xf>
    <xf numFmtId="0" fontId="20" fillId="7" borderId="7" xfId="3" applyFont="1" applyFill="1" applyBorder="1" applyAlignment="1" applyProtection="1">
      <alignment horizontal="left" vertical="center"/>
    </xf>
    <xf numFmtId="3" fontId="18" fillId="4" borderId="42" xfId="1" applyNumberFormat="1" applyFont="1" applyFill="1" applyBorder="1" applyAlignment="1" applyProtection="1">
      <alignment horizontal="right"/>
      <protection locked="0"/>
    </xf>
    <xf numFmtId="14" fontId="18" fillId="9" borderId="0" xfId="0" applyNumberFormat="1" applyFont="1" applyFill="1" applyBorder="1" applyAlignment="1" applyProtection="1">
      <alignment horizontal="center"/>
    </xf>
    <xf numFmtId="0" fontId="18" fillId="9" borderId="0" xfId="0" applyFont="1" applyFill="1" applyBorder="1" applyAlignment="1" applyProtection="1">
      <alignment horizontal="left" vertical="top" indent="2"/>
    </xf>
    <xf numFmtId="0" fontId="18" fillId="0" borderId="1" xfId="0" applyFont="1" applyBorder="1" applyAlignment="1" applyProtection="1">
      <alignment horizontal="left" indent="2"/>
    </xf>
    <xf numFmtId="0" fontId="18" fillId="9" borderId="3" xfId="0" applyFont="1" applyFill="1" applyBorder="1" applyAlignment="1" applyProtection="1">
      <alignment horizontal="left" indent="2"/>
    </xf>
    <xf numFmtId="0" fontId="3" fillId="9" borderId="0" xfId="0" applyFont="1" applyFill="1" applyBorder="1" applyAlignment="1" applyProtection="1">
      <alignment horizontal="left"/>
    </xf>
    <xf numFmtId="0" fontId="0" fillId="0" borderId="0" xfId="0" applyFill="1" applyBorder="1" applyAlignment="1">
      <alignment horizontal="right"/>
    </xf>
    <xf numFmtId="0" fontId="3" fillId="9" borderId="5" xfId="3" applyNumberFormat="1" applyFont="1" applyFill="1" applyBorder="1" applyAlignment="1" applyProtection="1">
      <alignment horizontal="center" vertical="center"/>
    </xf>
    <xf numFmtId="0" fontId="3" fillId="3" borderId="49" xfId="0" applyFont="1" applyFill="1" applyBorder="1" applyProtection="1"/>
    <xf numFmtId="0" fontId="7" fillId="3" borderId="45" xfId="3" applyFont="1" applyFill="1" applyBorder="1" applyAlignment="1" applyProtection="1">
      <alignment horizontal="center" vertical="center"/>
    </xf>
    <xf numFmtId="0" fontId="7" fillId="3" borderId="53" xfId="3" applyFont="1" applyFill="1" applyBorder="1" applyAlignment="1" applyProtection="1">
      <alignment horizontal="center" vertical="center"/>
    </xf>
    <xf numFmtId="0" fontId="7" fillId="3" borderId="53" xfId="3" applyFont="1" applyFill="1" applyBorder="1" applyAlignment="1" applyProtection="1">
      <alignment horizontal="center"/>
    </xf>
    <xf numFmtId="0" fontId="7" fillId="9" borderId="53" xfId="3" applyFont="1" applyFill="1" applyBorder="1" applyAlignment="1" applyProtection="1">
      <alignment horizontal="center" vertical="center"/>
    </xf>
    <xf numFmtId="0" fontId="8" fillId="9" borderId="53" xfId="3" applyFont="1" applyFill="1" applyBorder="1" applyAlignment="1" applyProtection="1">
      <alignment horizontal="center" vertical="center"/>
    </xf>
    <xf numFmtId="0" fontId="9" fillId="9" borderId="53" xfId="3" applyFont="1" applyFill="1" applyBorder="1" applyAlignment="1" applyProtection="1">
      <alignment horizontal="left"/>
    </xf>
    <xf numFmtId="0" fontId="9" fillId="9" borderId="54" xfId="3" applyFont="1" applyFill="1" applyBorder="1" applyAlignment="1" applyProtection="1">
      <alignment horizontal="left" vertical="center"/>
    </xf>
    <xf numFmtId="49" fontId="3" fillId="4" borderId="55" xfId="0" applyNumberFormat="1" applyFont="1" applyFill="1" applyBorder="1" applyAlignment="1" applyProtection="1">
      <alignment horizontal="center"/>
      <protection locked="0"/>
    </xf>
    <xf numFmtId="0" fontId="11" fillId="9" borderId="0" xfId="0" applyFont="1" applyFill="1" applyBorder="1" applyAlignment="1" applyProtection="1">
      <alignment horizontal="left"/>
    </xf>
    <xf numFmtId="0" fontId="11" fillId="9" borderId="9" xfId="0" applyFont="1" applyFill="1" applyBorder="1" applyAlignment="1" applyProtection="1">
      <alignment horizontal="left"/>
    </xf>
    <xf numFmtId="0" fontId="3" fillId="4" borderId="48" xfId="0" applyFont="1" applyFill="1" applyBorder="1" applyAlignment="1" applyProtection="1">
      <alignment horizontal="center"/>
      <protection locked="0"/>
    </xf>
    <xf numFmtId="0" fontId="12" fillId="9" borderId="0" xfId="0" applyFont="1" applyFill="1" applyBorder="1" applyProtection="1"/>
    <xf numFmtId="0" fontId="13" fillId="9" borderId="9" xfId="3" applyFont="1" applyFill="1" applyBorder="1" applyAlignment="1" applyProtection="1">
      <alignment horizontal="left"/>
    </xf>
    <xf numFmtId="49" fontId="14" fillId="4" borderId="48" xfId="4" applyNumberFormat="1" applyFill="1" applyBorder="1" applyAlignment="1" applyProtection="1">
      <alignment horizontal="center"/>
      <protection locked="0"/>
    </xf>
    <xf numFmtId="0" fontId="3" fillId="9" borderId="51" xfId="0" applyFont="1" applyFill="1" applyBorder="1" applyAlignment="1" applyProtection="1">
      <alignment horizontal="left"/>
    </xf>
    <xf numFmtId="164" fontId="3" fillId="4" borderId="56" xfId="0" applyNumberFormat="1" applyFont="1" applyFill="1" applyBorder="1" applyAlignment="1" applyProtection="1">
      <alignment horizontal="center"/>
      <protection locked="0"/>
    </xf>
    <xf numFmtId="49" fontId="3" fillId="4" borderId="48" xfId="0" applyNumberFormat="1" applyFont="1" applyFill="1" applyBorder="1" applyAlignment="1" applyProtection="1">
      <alignment horizontal="center"/>
      <protection locked="0"/>
    </xf>
    <xf numFmtId="165" fontId="3" fillId="4" borderId="48" xfId="0" applyNumberFormat="1" applyFont="1" applyFill="1" applyBorder="1" applyAlignment="1" applyProtection="1">
      <alignment horizontal="center"/>
      <protection locked="0"/>
    </xf>
    <xf numFmtId="165" fontId="3" fillId="4" borderId="56" xfId="0" applyNumberFormat="1" applyFont="1" applyFill="1" applyBorder="1" applyAlignment="1" applyProtection="1">
      <alignment horizontal="center"/>
      <protection locked="0"/>
    </xf>
    <xf numFmtId="164" fontId="3" fillId="4" borderId="48" xfId="0" applyNumberFormat="1" applyFont="1" applyFill="1" applyBorder="1" applyAlignment="1" applyProtection="1">
      <alignment horizontal="center"/>
      <protection locked="0"/>
    </xf>
    <xf numFmtId="0" fontId="13" fillId="9" borderId="9" xfId="0" applyFont="1" applyFill="1" applyBorder="1" applyAlignment="1" applyProtection="1">
      <alignment horizontal="left"/>
    </xf>
    <xf numFmtId="49" fontId="3" fillId="4" borderId="56" xfId="0" applyNumberFormat="1" applyFont="1" applyFill="1" applyBorder="1" applyAlignment="1" applyProtection="1">
      <alignment horizontal="center"/>
      <protection locked="0"/>
    </xf>
    <xf numFmtId="0" fontId="0" fillId="9" borderId="50" xfId="0" applyFill="1" applyBorder="1" applyProtection="1"/>
    <xf numFmtId="0" fontId="0" fillId="9" borderId="51" xfId="0" applyFill="1" applyBorder="1" applyProtection="1"/>
    <xf numFmtId="0" fontId="0" fillId="9" borderId="52" xfId="0" applyFill="1" applyBorder="1" applyProtection="1"/>
    <xf numFmtId="0" fontId="58" fillId="9" borderId="0" xfId="3" applyFont="1" applyFill="1" applyBorder="1" applyAlignment="1" applyProtection="1">
      <alignment vertical="center"/>
    </xf>
    <xf numFmtId="3" fontId="18" fillId="4" borderId="39" xfId="0" applyNumberFormat="1" applyFont="1" applyFill="1" applyBorder="1" applyAlignment="1" applyProtection="1">
      <alignment horizontal="right"/>
      <protection locked="0"/>
    </xf>
    <xf numFmtId="44" fontId="18" fillId="9" borderId="0" xfId="2" applyNumberFormat="1" applyFont="1" applyFill="1" applyBorder="1" applyAlignment="1" applyProtection="1">
      <alignment horizontal="right"/>
    </xf>
    <xf numFmtId="44" fontId="18" fillId="4" borderId="28" xfId="2" applyNumberFormat="1" applyFont="1" applyFill="1" applyBorder="1" applyAlignment="1" applyProtection="1">
      <alignment horizontal="right"/>
      <protection locked="0"/>
    </xf>
    <xf numFmtId="44" fontId="18" fillId="9" borderId="0" xfId="2" applyNumberFormat="1" applyFont="1" applyFill="1" applyBorder="1" applyAlignment="1" applyProtection="1">
      <alignment horizontal="center"/>
    </xf>
    <xf numFmtId="0" fontId="3" fillId="0" borderId="0" xfId="0" applyFont="1" applyFill="1" applyBorder="1" applyProtection="1"/>
    <xf numFmtId="0" fontId="44" fillId="0" borderId="38" xfId="0" applyFont="1" applyBorder="1" applyAlignment="1">
      <alignment vertical="top" wrapText="1"/>
    </xf>
    <xf numFmtId="0" fontId="59" fillId="0" borderId="59" xfId="0" applyFont="1" applyBorder="1" applyAlignment="1">
      <alignment vertical="top" wrapText="1"/>
    </xf>
    <xf numFmtId="168" fontId="24" fillId="9" borderId="0" xfId="0" applyNumberFormat="1" applyFont="1" applyFill="1" applyAlignment="1" applyProtection="1">
      <alignment horizontal="left"/>
    </xf>
    <xf numFmtId="0" fontId="3" fillId="5" borderId="0" xfId="0" applyFont="1" applyFill="1" applyProtection="1"/>
    <xf numFmtId="0" fontId="0" fillId="5" borderId="0" xfId="0" applyFill="1" applyProtection="1"/>
    <xf numFmtId="0" fontId="50" fillId="5" borderId="0" xfId="0" applyFont="1" applyFill="1" applyProtection="1"/>
    <xf numFmtId="0" fontId="0" fillId="5" borderId="0" xfId="0" applyFont="1" applyFill="1" applyProtection="1"/>
    <xf numFmtId="0" fontId="16" fillId="15" borderId="0" xfId="0" applyFont="1" applyFill="1" applyProtection="1"/>
    <xf numFmtId="14" fontId="10" fillId="15" borderId="0" xfId="0" applyNumberFormat="1" applyFont="1" applyFill="1" applyBorder="1" applyAlignment="1" applyProtection="1">
      <alignment horizontal="center"/>
    </xf>
    <xf numFmtId="14" fontId="10" fillId="15" borderId="51" xfId="0" applyNumberFormat="1" applyFont="1" applyFill="1" applyBorder="1" applyAlignment="1" applyProtection="1">
      <alignment horizontal="center"/>
    </xf>
    <xf numFmtId="0" fontId="0" fillId="15" borderId="0" xfId="0" applyFill="1" applyProtection="1"/>
    <xf numFmtId="0" fontId="3" fillId="9" borderId="6" xfId="0" applyFont="1" applyFill="1" applyBorder="1" applyAlignment="1" applyProtection="1">
      <alignment horizontal="left" indent="2"/>
    </xf>
    <xf numFmtId="173" fontId="16" fillId="9" borderId="54" xfId="0" applyNumberFormat="1" applyFont="1" applyFill="1" applyBorder="1" applyAlignment="1" applyProtection="1">
      <alignment horizontal="right" indent="2"/>
    </xf>
    <xf numFmtId="0" fontId="3" fillId="15" borderId="0" xfId="0" applyFont="1" applyFill="1" applyAlignment="1" applyProtection="1">
      <alignment horizontal="left"/>
    </xf>
    <xf numFmtId="0" fontId="3" fillId="9" borderId="8" xfId="0" applyFont="1" applyFill="1" applyBorder="1" applyAlignment="1" applyProtection="1">
      <alignment horizontal="left" indent="2"/>
    </xf>
    <xf numFmtId="166" fontId="16" fillId="9" borderId="9" xfId="0" applyNumberFormat="1" applyFont="1" applyFill="1" applyBorder="1" applyAlignment="1" applyProtection="1">
      <alignment horizontal="right" indent="2"/>
    </xf>
    <xf numFmtId="0" fontId="3" fillId="15" borderId="0" xfId="0" applyFont="1" applyFill="1" applyProtection="1"/>
    <xf numFmtId="0" fontId="16" fillId="15" borderId="0" xfId="0" applyFont="1" applyFill="1" applyBorder="1" applyProtection="1"/>
    <xf numFmtId="0" fontId="3" fillId="15" borderId="0" xfId="0" applyFont="1" applyFill="1" applyBorder="1" applyAlignment="1" applyProtection="1">
      <alignment horizontal="left"/>
    </xf>
    <xf numFmtId="0" fontId="39" fillId="15" borderId="1" xfId="0" applyFont="1" applyFill="1" applyBorder="1" applyAlignment="1" applyProtection="1">
      <alignment horizontal="left"/>
    </xf>
    <xf numFmtId="0" fontId="16" fillId="15" borderId="1" xfId="0" applyFont="1" applyFill="1" applyBorder="1" applyProtection="1"/>
    <xf numFmtId="0" fontId="16" fillId="9" borderId="0" xfId="0" applyFont="1" applyFill="1" applyBorder="1" applyProtection="1"/>
    <xf numFmtId="44" fontId="16" fillId="15" borderId="0" xfId="2" applyFont="1" applyFill="1" applyProtection="1"/>
    <xf numFmtId="9" fontId="16" fillId="15" borderId="1" xfId="0" applyNumberFormat="1" applyFont="1" applyFill="1" applyBorder="1" applyProtection="1"/>
    <xf numFmtId="44" fontId="16" fillId="15" borderId="1" xfId="0" applyNumberFormat="1" applyFont="1" applyFill="1" applyBorder="1" applyAlignment="1" applyProtection="1">
      <alignment horizontal="center"/>
    </xf>
    <xf numFmtId="0" fontId="17" fillId="9" borderId="5" xfId="0" applyFont="1" applyFill="1" applyBorder="1" applyAlignment="1" applyProtection="1">
      <alignment horizontal="center"/>
    </xf>
    <xf numFmtId="0" fontId="16" fillId="9" borderId="8" xfId="0" applyFont="1" applyFill="1" applyBorder="1" applyProtection="1"/>
    <xf numFmtId="0" fontId="16" fillId="9" borderId="0" xfId="0" applyFont="1" applyFill="1" applyBorder="1" applyAlignment="1" applyProtection="1">
      <alignment horizontal="right" indent="1"/>
    </xf>
    <xf numFmtId="9" fontId="16" fillId="9" borderId="0" xfId="0" applyNumberFormat="1" applyFont="1" applyFill="1" applyBorder="1" applyAlignment="1" applyProtection="1">
      <alignment horizontal="right" indent="1"/>
    </xf>
    <xf numFmtId="167" fontId="16" fillId="6" borderId="0" xfId="0" applyNumberFormat="1" applyFont="1" applyFill="1" applyBorder="1" applyAlignment="1" applyProtection="1">
      <alignment horizontal="right"/>
    </xf>
    <xf numFmtId="167" fontId="16" fillId="6" borderId="9" xfId="1" applyNumberFormat="1" applyFont="1" applyFill="1" applyBorder="1" applyAlignment="1" applyProtection="1">
      <alignment horizontal="right" wrapText="1"/>
    </xf>
    <xf numFmtId="167" fontId="16" fillId="6" borderId="9" xfId="0" applyNumberFormat="1" applyFont="1" applyFill="1" applyBorder="1" applyAlignment="1" applyProtection="1">
      <alignment horizontal="right"/>
    </xf>
    <xf numFmtId="0" fontId="16" fillId="15" borderId="0" xfId="0" applyFont="1" applyFill="1" applyBorder="1" applyAlignment="1" applyProtection="1">
      <alignment horizontal="center"/>
    </xf>
    <xf numFmtId="0" fontId="15" fillId="15" borderId="0" xfId="0" applyFont="1" applyFill="1" applyBorder="1" applyAlignment="1" applyProtection="1">
      <alignment horizontal="left"/>
    </xf>
    <xf numFmtId="172" fontId="16" fillId="9" borderId="0" xfId="2" applyNumberFormat="1" applyFont="1" applyFill="1" applyBorder="1" applyAlignment="1" applyProtection="1">
      <alignment horizontal="right"/>
    </xf>
    <xf numFmtId="172" fontId="18" fillId="9" borderId="0" xfId="2" applyNumberFormat="1" applyFont="1" applyFill="1" applyBorder="1" applyAlignment="1" applyProtection="1">
      <alignment horizontal="right"/>
    </xf>
    <xf numFmtId="44" fontId="18" fillId="6" borderId="0" xfId="2" quotePrefix="1" applyNumberFormat="1" applyFont="1" applyFill="1" applyBorder="1" applyAlignment="1" applyProtection="1">
      <alignment horizontal="right"/>
    </xf>
    <xf numFmtId="44" fontId="18" fillId="6" borderId="53" xfId="2" quotePrefix="1" applyNumberFormat="1" applyFont="1" applyFill="1" applyBorder="1" applyAlignment="1" applyProtection="1">
      <alignment horizontal="right"/>
    </xf>
    <xf numFmtId="0" fontId="18" fillId="9" borderId="45" xfId="0" applyFont="1" applyFill="1" applyBorder="1" applyProtection="1"/>
    <xf numFmtId="9" fontId="18" fillId="9" borderId="45" xfId="0" applyNumberFormat="1" applyFont="1" applyFill="1" applyBorder="1" applyProtection="1"/>
    <xf numFmtId="0" fontId="25" fillId="9" borderId="45" xfId="0" applyFont="1" applyFill="1" applyBorder="1" applyAlignment="1" applyProtection="1">
      <alignment horizontal="right" indent="1"/>
    </xf>
    <xf numFmtId="44" fontId="25" fillId="6" borderId="45" xfId="0" applyNumberFormat="1" applyFont="1" applyFill="1" applyBorder="1" applyAlignment="1" applyProtection="1">
      <alignment horizontal="right"/>
    </xf>
    <xf numFmtId="9" fontId="16" fillId="15" borderId="0" xfId="0" applyNumberFormat="1" applyFont="1" applyFill="1" applyBorder="1" applyProtection="1"/>
    <xf numFmtId="3" fontId="16" fillId="9" borderId="23" xfId="0" applyNumberFormat="1" applyFont="1" applyFill="1" applyBorder="1" applyAlignment="1" applyProtection="1">
      <alignment horizontal="right" vertical="top" indent="2"/>
    </xf>
    <xf numFmtId="167" fontId="34" fillId="17" borderId="0" xfId="1" applyNumberFormat="1" applyFont="1" applyFill="1" applyProtection="1"/>
    <xf numFmtId="0" fontId="44" fillId="0" borderId="44" xfId="0" applyFont="1" applyBorder="1" applyAlignment="1">
      <alignment horizontal="center" vertical="top"/>
    </xf>
    <xf numFmtId="14" fontId="44" fillId="0" borderId="59" xfId="0" applyNumberFormat="1" applyFont="1" applyBorder="1" applyAlignment="1">
      <alignment vertical="top"/>
    </xf>
    <xf numFmtId="0" fontId="44" fillId="0" borderId="59" xfId="0" applyFont="1" applyBorder="1" applyAlignment="1">
      <alignment vertical="top" wrapText="1"/>
    </xf>
    <xf numFmtId="0" fontId="0" fillId="10" borderId="33" xfId="0" applyFont="1" applyFill="1" applyBorder="1"/>
    <xf numFmtId="0" fontId="0" fillId="10" borderId="34" xfId="0" applyFont="1" applyFill="1" applyBorder="1"/>
    <xf numFmtId="0" fontId="0" fillId="10" borderId="35" xfId="0" applyFont="1" applyFill="1" applyBorder="1"/>
    <xf numFmtId="0" fontId="0" fillId="10" borderId="10" xfId="0" applyFont="1" applyFill="1" applyBorder="1"/>
    <xf numFmtId="0" fontId="0" fillId="10" borderId="38" xfId="0" applyFont="1" applyFill="1" applyBorder="1"/>
    <xf numFmtId="0" fontId="0" fillId="10" borderId="11" xfId="0" applyFont="1" applyFill="1" applyBorder="1"/>
    <xf numFmtId="0" fontId="0" fillId="0" borderId="10" xfId="0" applyFont="1" applyFill="1" applyBorder="1" applyAlignment="1"/>
    <xf numFmtId="0" fontId="0" fillId="0" borderId="62" xfId="0" applyFont="1" applyFill="1" applyBorder="1" applyAlignment="1"/>
    <xf numFmtId="14" fontId="0" fillId="0" borderId="13" xfId="0" applyNumberFormat="1" applyFont="1" applyFill="1" applyBorder="1"/>
    <xf numFmtId="0" fontId="63" fillId="10" borderId="29" xfId="0" applyFont="1" applyFill="1" applyBorder="1"/>
    <xf numFmtId="0" fontId="63" fillId="10" borderId="30" xfId="0" applyFont="1" applyFill="1" applyBorder="1"/>
    <xf numFmtId="0" fontId="63" fillId="10" borderId="31" xfId="0" applyFont="1" applyFill="1" applyBorder="1"/>
    <xf numFmtId="0" fontId="63" fillId="11" borderId="32" xfId="0" applyFont="1" applyFill="1" applyBorder="1"/>
    <xf numFmtId="0" fontId="63" fillId="11" borderId="30" xfId="0" applyFont="1" applyFill="1" applyBorder="1"/>
    <xf numFmtId="0" fontId="62" fillId="10" borderId="10" xfId="0" applyFont="1" applyFill="1" applyBorder="1"/>
    <xf numFmtId="0" fontId="62" fillId="10" borderId="12" xfId="0" applyFont="1" applyFill="1" applyBorder="1"/>
    <xf numFmtId="0" fontId="62" fillId="10" borderId="40" xfId="0" applyFont="1" applyFill="1" applyBorder="1"/>
    <xf numFmtId="0" fontId="62" fillId="10" borderId="38" xfId="0" applyFont="1" applyFill="1" applyBorder="1"/>
    <xf numFmtId="0" fontId="62" fillId="10" borderId="11" xfId="0" applyFont="1" applyFill="1" applyBorder="1"/>
    <xf numFmtId="0" fontId="62" fillId="10" borderId="13" xfId="0" applyFont="1" applyFill="1" applyBorder="1"/>
    <xf numFmtId="0" fontId="3" fillId="0" borderId="43" xfId="0" applyFont="1" applyFill="1" applyBorder="1" applyAlignment="1" applyProtection="1">
      <alignment horizontal="left" wrapText="1" indent="2"/>
    </xf>
    <xf numFmtId="0" fontId="18" fillId="0" borderId="0" xfId="0" applyFont="1" applyFill="1" applyBorder="1" applyAlignment="1" applyProtection="1">
      <alignment horizontal="left" indent="2"/>
    </xf>
    <xf numFmtId="0" fontId="16" fillId="0" borderId="0" xfId="0" applyFont="1" applyFill="1" applyBorder="1" applyAlignment="1" applyProtection="1">
      <alignment horizontal="left" indent="2"/>
    </xf>
    <xf numFmtId="44" fontId="17" fillId="6" borderId="45" xfId="2" applyNumberFormat="1" applyFont="1" applyFill="1" applyBorder="1" applyAlignment="1" applyProtection="1">
      <alignment horizontal="right"/>
    </xf>
    <xf numFmtId="0" fontId="17" fillId="9" borderId="45" xfId="0" applyFont="1" applyFill="1" applyBorder="1" applyAlignment="1" applyProtection="1">
      <alignment horizontal="center"/>
    </xf>
    <xf numFmtId="0" fontId="18" fillId="9" borderId="0" xfId="0" applyFont="1" applyFill="1" applyBorder="1" applyAlignment="1" applyProtection="1">
      <alignment horizontal="left"/>
    </xf>
    <xf numFmtId="0" fontId="40" fillId="9" borderId="49" xfId="0" applyFont="1" applyFill="1" applyBorder="1" applyProtection="1"/>
    <xf numFmtId="9" fontId="16" fillId="9" borderId="53" xfId="0" applyNumberFormat="1" applyFont="1" applyFill="1" applyBorder="1" applyProtection="1"/>
    <xf numFmtId="44" fontId="16" fillId="6" borderId="53" xfId="0" applyNumberFormat="1" applyFont="1" applyFill="1" applyBorder="1" applyAlignment="1" applyProtection="1">
      <alignment horizontal="right"/>
    </xf>
    <xf numFmtId="44" fontId="16" fillId="6" borderId="54" xfId="0" applyNumberFormat="1" applyFont="1" applyFill="1" applyBorder="1" applyAlignment="1" applyProtection="1">
      <alignment horizontal="right"/>
    </xf>
    <xf numFmtId="0" fontId="17" fillId="9" borderId="50" xfId="0" applyFont="1" applyFill="1" applyBorder="1" applyProtection="1"/>
    <xf numFmtId="9" fontId="25" fillId="9" borderId="51" xfId="0" applyNumberFormat="1" applyFont="1" applyFill="1" applyBorder="1" applyAlignment="1" applyProtection="1">
      <alignment horizontal="right" indent="1"/>
    </xf>
    <xf numFmtId="44" fontId="17" fillId="6" borderId="5" xfId="2" applyNumberFormat="1" applyFont="1" applyFill="1" applyBorder="1" applyAlignment="1" applyProtection="1">
      <alignment horizontal="right"/>
    </xf>
    <xf numFmtId="0" fontId="3" fillId="3" borderId="61" xfId="0" applyFont="1" applyFill="1" applyBorder="1" applyProtection="1"/>
    <xf numFmtId="49" fontId="3" fillId="4" borderId="64" xfId="0" applyNumberFormat="1" applyFont="1" applyFill="1" applyBorder="1" applyAlignment="1" applyProtection="1">
      <alignment horizontal="center"/>
      <protection locked="0"/>
    </xf>
    <xf numFmtId="0" fontId="16" fillId="9" borderId="9" xfId="0" applyNumberFormat="1" applyFont="1" applyFill="1" applyBorder="1" applyAlignment="1" applyProtection="1">
      <alignment horizontal="right" indent="2"/>
    </xf>
    <xf numFmtId="0" fontId="0" fillId="0" borderId="0" xfId="0" applyBorder="1"/>
    <xf numFmtId="0" fontId="0" fillId="0" borderId="10" xfId="0" applyFont="1" applyFill="1" applyBorder="1"/>
    <xf numFmtId="0" fontId="0" fillId="0" borderId="62" xfId="0" applyFont="1" applyFill="1" applyBorder="1"/>
    <xf numFmtId="3" fontId="0" fillId="0" borderId="10" xfId="0" applyNumberFormat="1" applyFont="1" applyFill="1" applyBorder="1"/>
    <xf numFmtId="3" fontId="0" fillId="0" borderId="62" xfId="0" applyNumberFormat="1" applyFont="1" applyFill="1" applyBorder="1"/>
    <xf numFmtId="2" fontId="0" fillId="0" borderId="10" xfId="0" applyNumberFormat="1" applyFont="1" applyFill="1" applyBorder="1"/>
    <xf numFmtId="2" fontId="0" fillId="0" borderId="62" xfId="0" applyNumberFormat="1" applyFont="1" applyFill="1" applyBorder="1"/>
    <xf numFmtId="49" fontId="0" fillId="0" borderId="10" xfId="0" applyNumberFormat="1" applyFont="1" applyFill="1" applyBorder="1"/>
    <xf numFmtId="0" fontId="0" fillId="0" borderId="62" xfId="0" applyFont="1" applyBorder="1"/>
    <xf numFmtId="44" fontId="0" fillId="0" borderId="10" xfId="0" applyNumberFormat="1" applyFont="1" applyFill="1" applyBorder="1"/>
    <xf numFmtId="44" fontId="0" fillId="0" borderId="62" xfId="2" applyFont="1" applyFill="1" applyBorder="1"/>
    <xf numFmtId="3" fontId="0" fillId="0" borderId="63" xfId="0" applyNumberFormat="1" applyFont="1" applyFill="1" applyBorder="1"/>
    <xf numFmtId="14" fontId="0" fillId="0" borderId="12" xfId="0" applyNumberFormat="1" applyFont="1" applyFill="1" applyBorder="1"/>
    <xf numFmtId="0" fontId="0" fillId="15" borderId="0" xfId="0" applyFill="1" applyBorder="1" applyProtection="1"/>
    <xf numFmtId="0" fontId="40" fillId="15" borderId="0" xfId="0" applyFont="1" applyFill="1" applyBorder="1" applyProtection="1"/>
    <xf numFmtId="0" fontId="49" fillId="9" borderId="14" xfId="0" applyFont="1" applyFill="1" applyBorder="1" applyProtection="1"/>
    <xf numFmtId="0" fontId="16" fillId="9" borderId="60" xfId="0" applyFont="1" applyFill="1" applyBorder="1" applyProtection="1"/>
    <xf numFmtId="9" fontId="16" fillId="9" borderId="60" xfId="0" applyNumberFormat="1" applyFont="1" applyFill="1" applyBorder="1" applyProtection="1"/>
    <xf numFmtId="0" fontId="17" fillId="9" borderId="36" xfId="0" applyFont="1" applyFill="1" applyBorder="1" applyAlignment="1" applyProtection="1">
      <alignment horizontal="center"/>
    </xf>
    <xf numFmtId="0" fontId="17" fillId="9" borderId="58" xfId="0" applyFont="1" applyFill="1" applyBorder="1" applyAlignment="1" applyProtection="1">
      <alignment horizontal="center"/>
    </xf>
    <xf numFmtId="0" fontId="17" fillId="9" borderId="63" xfId="0" applyFont="1" applyFill="1" applyBorder="1" applyAlignment="1" applyProtection="1">
      <alignment horizontal="left" indent="2"/>
    </xf>
    <xf numFmtId="44" fontId="16" fillId="6" borderId="53" xfId="2" applyNumberFormat="1" applyFont="1" applyFill="1" applyBorder="1" applyAlignment="1" applyProtection="1">
      <alignment horizontal="right"/>
    </xf>
    <xf numFmtId="44" fontId="16" fillId="6" borderId="65" xfId="2" applyNumberFormat="1" applyFont="1" applyFill="1" applyBorder="1" applyAlignment="1" applyProtection="1">
      <alignment horizontal="right"/>
    </xf>
    <xf numFmtId="44" fontId="18" fillId="6" borderId="61" xfId="2" applyNumberFormat="1" applyFont="1" applyFill="1" applyBorder="1" applyAlignment="1" applyProtection="1">
      <alignment horizontal="right"/>
    </xf>
    <xf numFmtId="44" fontId="18" fillId="6" borderId="65" xfId="2" applyNumberFormat="1" applyFont="1" applyFill="1" applyBorder="1" applyAlignment="1" applyProtection="1">
      <alignment horizontal="right"/>
    </xf>
    <xf numFmtId="0" fontId="18" fillId="9" borderId="25" xfId="0" applyFont="1" applyFill="1" applyBorder="1" applyProtection="1"/>
    <xf numFmtId="44" fontId="25" fillId="6" borderId="48" xfId="0" applyNumberFormat="1" applyFont="1" applyFill="1" applyBorder="1" applyAlignment="1" applyProtection="1">
      <alignment horizontal="right"/>
    </xf>
    <xf numFmtId="0" fontId="18" fillId="9" borderId="26" xfId="0" applyFont="1" applyFill="1" applyBorder="1" applyProtection="1"/>
    <xf numFmtId="0" fontId="18" fillId="9" borderId="66" xfId="0" applyFont="1" applyFill="1" applyBorder="1" applyProtection="1"/>
    <xf numFmtId="9" fontId="18" fillId="9" borderId="66" xfId="0" applyNumberFormat="1" applyFont="1" applyFill="1" applyBorder="1" applyProtection="1"/>
    <xf numFmtId="0" fontId="25" fillId="9" borderId="66" xfId="0" applyFont="1" applyFill="1" applyBorder="1" applyAlignment="1" applyProtection="1">
      <alignment horizontal="right" indent="1"/>
    </xf>
    <xf numFmtId="44" fontId="25" fillId="6" borderId="66" xfId="0" applyNumberFormat="1" applyFont="1" applyFill="1" applyBorder="1" applyAlignment="1" applyProtection="1">
      <alignment horizontal="right"/>
    </xf>
    <xf numFmtId="44" fontId="25" fillId="6" borderId="56" xfId="0" applyNumberFormat="1" applyFont="1" applyFill="1" applyBorder="1" applyAlignment="1" applyProtection="1">
      <alignment horizontal="right"/>
    </xf>
    <xf numFmtId="0" fontId="3" fillId="9" borderId="53" xfId="0" applyFont="1" applyFill="1" applyBorder="1" applyAlignment="1" applyProtection="1">
      <alignment horizontal="left"/>
    </xf>
    <xf numFmtId="0" fontId="3" fillId="4" borderId="14" xfId="0" applyNumberFormat="1" applyFont="1" applyFill="1" applyBorder="1" applyAlignment="1" applyProtection="1">
      <alignment horizontal="left" vertical="top" wrapText="1"/>
      <protection locked="0"/>
    </xf>
    <xf numFmtId="0" fontId="3" fillId="4" borderId="15" xfId="0" applyNumberFormat="1" applyFont="1" applyFill="1" applyBorder="1" applyAlignment="1" applyProtection="1">
      <alignment horizontal="left" vertical="top" wrapText="1"/>
      <protection locked="0"/>
    </xf>
    <xf numFmtId="0" fontId="3" fillId="4" borderId="16" xfId="0" applyNumberFormat="1" applyFont="1" applyFill="1" applyBorder="1" applyAlignment="1" applyProtection="1">
      <alignment horizontal="left" vertical="top" wrapText="1"/>
      <protection locked="0"/>
    </xf>
    <xf numFmtId="0" fontId="3" fillId="4" borderId="17" xfId="0" applyNumberFormat="1" applyFont="1" applyFill="1" applyBorder="1" applyAlignment="1" applyProtection="1">
      <alignment horizontal="left" vertical="top" wrapText="1"/>
      <protection locked="0"/>
    </xf>
    <xf numFmtId="0" fontId="3" fillId="4" borderId="0" xfId="0" applyNumberFormat="1" applyFont="1" applyFill="1" applyBorder="1" applyAlignment="1" applyProtection="1">
      <alignment horizontal="left" vertical="top" wrapText="1"/>
      <protection locked="0"/>
    </xf>
    <xf numFmtId="0" fontId="3" fillId="4" borderId="18" xfId="0" applyNumberFormat="1" applyFont="1" applyFill="1" applyBorder="1" applyAlignment="1" applyProtection="1">
      <alignment horizontal="left" vertical="top" wrapText="1"/>
      <protection locked="0"/>
    </xf>
    <xf numFmtId="0" fontId="3" fillId="4" borderId="19" xfId="0" applyNumberFormat="1" applyFont="1" applyFill="1" applyBorder="1" applyAlignment="1" applyProtection="1">
      <alignment horizontal="left" vertical="top" wrapText="1"/>
      <protection locked="0"/>
    </xf>
    <xf numFmtId="0" fontId="3" fillId="4" borderId="20" xfId="0" applyNumberFormat="1" applyFont="1" applyFill="1" applyBorder="1" applyAlignment="1" applyProtection="1">
      <alignment horizontal="left" vertical="top" wrapText="1"/>
      <protection locked="0"/>
    </xf>
    <xf numFmtId="0" fontId="3" fillId="4" borderId="21" xfId="0" applyNumberFormat="1" applyFont="1" applyFill="1" applyBorder="1" applyAlignment="1" applyProtection="1">
      <alignment horizontal="left" vertical="top" wrapText="1"/>
      <protection locked="0"/>
    </xf>
    <xf numFmtId="0" fontId="26" fillId="9" borderId="53" xfId="3" applyFont="1" applyFill="1" applyBorder="1" applyAlignment="1" applyProtection="1">
      <alignment horizontal="left" vertical="top" wrapText="1"/>
    </xf>
    <xf numFmtId="0" fontId="3" fillId="4" borderId="14" xfId="0" applyNumberFormat="1" applyFont="1" applyFill="1" applyBorder="1" applyAlignment="1" applyProtection="1">
      <alignment horizontal="left" vertical="top" wrapText="1"/>
    </xf>
    <xf numFmtId="0" fontId="3" fillId="4" borderId="15" xfId="0" applyNumberFormat="1" applyFont="1" applyFill="1" applyBorder="1" applyAlignment="1" applyProtection="1">
      <alignment horizontal="left" vertical="top" wrapText="1"/>
    </xf>
    <xf numFmtId="0" fontId="3" fillId="4" borderId="16" xfId="0" applyNumberFormat="1" applyFont="1" applyFill="1" applyBorder="1" applyAlignment="1" applyProtection="1">
      <alignment horizontal="left" vertical="top" wrapText="1"/>
    </xf>
    <xf numFmtId="0" fontId="3" fillId="4" borderId="17" xfId="0" applyNumberFormat="1" applyFont="1" applyFill="1" applyBorder="1" applyAlignment="1" applyProtection="1">
      <alignment horizontal="left" vertical="top" wrapText="1"/>
    </xf>
    <xf numFmtId="0" fontId="3" fillId="4" borderId="0" xfId="0" applyNumberFormat="1" applyFont="1" applyFill="1" applyBorder="1" applyAlignment="1" applyProtection="1">
      <alignment horizontal="left" vertical="top" wrapText="1"/>
    </xf>
    <xf numFmtId="0" fontId="3" fillId="4" borderId="18" xfId="0" applyNumberFormat="1" applyFont="1" applyFill="1" applyBorder="1" applyAlignment="1" applyProtection="1">
      <alignment horizontal="left" vertical="top" wrapText="1"/>
    </xf>
    <xf numFmtId="0" fontId="3" fillId="4" borderId="19" xfId="0" applyNumberFormat="1" applyFont="1" applyFill="1" applyBorder="1" applyAlignment="1" applyProtection="1">
      <alignment horizontal="left" vertical="top" wrapText="1"/>
    </xf>
    <xf numFmtId="0" fontId="3" fillId="4" borderId="20" xfId="0" applyNumberFormat="1" applyFont="1" applyFill="1" applyBorder="1" applyAlignment="1" applyProtection="1">
      <alignment horizontal="left" vertical="top" wrapText="1"/>
    </xf>
    <xf numFmtId="0" fontId="3" fillId="4" borderId="21" xfId="0" applyNumberFormat="1" applyFont="1" applyFill="1" applyBorder="1" applyAlignment="1" applyProtection="1">
      <alignment horizontal="left" vertical="top" wrapText="1"/>
    </xf>
    <xf numFmtId="0" fontId="25" fillId="9" borderId="25" xfId="0" applyFont="1" applyFill="1" applyBorder="1" applyAlignment="1" applyProtection="1">
      <alignment horizontal="right" indent="1"/>
    </xf>
    <xf numFmtId="0" fontId="25" fillId="9" borderId="45" xfId="0" applyFont="1" applyFill="1" applyBorder="1" applyAlignment="1" applyProtection="1">
      <alignment horizontal="right" indent="1"/>
    </xf>
    <xf numFmtId="0" fontId="4" fillId="5" borderId="0" xfId="3" applyFont="1" applyFill="1" applyAlignment="1" applyProtection="1">
      <alignment horizontal="left" vertical="center"/>
    </xf>
    <xf numFmtId="0" fontId="0" fillId="8" borderId="25" xfId="0" applyFont="1" applyFill="1" applyBorder="1" applyAlignment="1">
      <alignment horizontal="center"/>
    </xf>
    <xf numFmtId="0" fontId="0" fillId="8" borderId="48" xfId="0" applyFont="1" applyFill="1" applyBorder="1" applyAlignment="1">
      <alignment horizontal="center"/>
    </xf>
    <xf numFmtId="0" fontId="0" fillId="0" borderId="25" xfId="0" applyFont="1" applyFill="1" applyBorder="1" applyAlignment="1">
      <alignment horizontal="center"/>
    </xf>
    <xf numFmtId="0" fontId="0" fillId="0" borderId="48" xfId="0" applyFont="1" applyFill="1" applyBorder="1" applyAlignment="1">
      <alignment horizontal="center"/>
    </xf>
    <xf numFmtId="49" fontId="0" fillId="0" borderId="25" xfId="0" applyNumberFormat="1" applyFont="1" applyFill="1" applyBorder="1" applyAlignment="1">
      <alignment horizontal="center"/>
    </xf>
    <xf numFmtId="49" fontId="0" fillId="0" borderId="48" xfId="0" applyNumberFormat="1" applyFont="1" applyFill="1" applyBorder="1" applyAlignment="1">
      <alignment horizontal="center"/>
    </xf>
    <xf numFmtId="1" fontId="0" fillId="0" borderId="25" xfId="0" applyNumberFormat="1" applyFont="1" applyFill="1" applyBorder="1" applyAlignment="1">
      <alignment horizontal="center"/>
    </xf>
    <xf numFmtId="1" fontId="0" fillId="0" borderId="48" xfId="0" applyNumberFormat="1" applyFont="1" applyFill="1" applyBorder="1" applyAlignment="1">
      <alignment horizontal="center"/>
    </xf>
    <xf numFmtId="0" fontId="2" fillId="0" borderId="0" xfId="0" applyFont="1" applyAlignment="1">
      <alignment horizontal="center"/>
    </xf>
    <xf numFmtId="171" fontId="0" fillId="0" borderId="57" xfId="0" applyNumberFormat="1" applyFont="1" applyFill="1" applyBorder="1" applyAlignment="1">
      <alignment horizontal="center"/>
    </xf>
    <xf numFmtId="171" fontId="0" fillId="0" borderId="58" xfId="0" applyNumberFormat="1" applyFont="1" applyFill="1" applyBorder="1" applyAlignment="1">
      <alignment horizontal="center"/>
    </xf>
    <xf numFmtId="0" fontId="0" fillId="12" borderId="25" xfId="0" applyFont="1" applyFill="1" applyBorder="1" applyAlignment="1">
      <alignment horizontal="center"/>
    </xf>
    <xf numFmtId="0" fontId="0" fillId="12" borderId="48"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5"/>
    <cellStyle name="Normal 3" xfId="3"/>
    <cellStyle name="Normal_PTR_Calc_UploadTab_EPM" xfId="7"/>
    <cellStyle name="Normal_PTR_Calc_UploadTab_TT" xfId="6"/>
  </cellStyles>
  <dxfs count="5">
    <dxf>
      <fill>
        <patternFill>
          <bgColor theme="0" tint="-0.24994659260841701"/>
        </patternFill>
      </fill>
    </dxf>
    <dxf>
      <fill>
        <patternFill>
          <fgColor auto="1"/>
          <bgColor theme="0" tint="-0.24994659260841701"/>
        </patternFill>
      </fill>
    </dxf>
    <dxf>
      <font>
        <b/>
        <i val="0"/>
        <color theme="0" tint="-0.14996795556505021"/>
      </font>
    </dxf>
    <dxf>
      <font>
        <color theme="4" tint="0.79998168889431442"/>
      </font>
      <fill>
        <patternFill>
          <bgColor theme="4"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solid">
          <bgColor theme="0" tint="-0.24994659260841701"/>
        </patternFill>
      </fill>
    </dxf>
  </dxfs>
  <tableStyles count="0" defaultTableStyle="TableStyleMedium2" defaultPivotStyle="PivotStyleLight16"/>
  <colors>
    <mruColors>
      <color rgb="FF00FFFF"/>
      <color rgb="FF0000FF"/>
      <color rgb="FF99CCFF"/>
      <color rgb="FF0076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2"/>
  <sheetViews>
    <sheetView showGridLines="0" tabSelected="1" workbookViewId="0">
      <selection activeCell="D24" sqref="D24"/>
    </sheetView>
  </sheetViews>
  <sheetFormatPr defaultColWidth="8.85546875" defaultRowHeight="15" x14ac:dyDescent="0.25"/>
  <cols>
    <col min="1" max="1" width="8.85546875" style="78"/>
    <col min="2" max="2" width="42.85546875" style="78" bestFit="1" customWidth="1"/>
    <col min="3" max="3" width="8.85546875" style="78"/>
    <col min="4" max="4" width="31.140625" style="78" customWidth="1"/>
    <col min="5" max="5" width="10.5703125" style="78" customWidth="1"/>
    <col min="6" max="7" width="8.85546875" style="78"/>
    <col min="8" max="8" width="38.42578125" style="78" bestFit="1" customWidth="1"/>
    <col min="9" max="16384" width="8.85546875" style="78"/>
  </cols>
  <sheetData>
    <row r="1" spans="1:9" ht="23.25" x14ac:dyDescent="0.25">
      <c r="A1" s="88"/>
      <c r="B1" s="1" t="s">
        <v>0</v>
      </c>
      <c r="C1" s="2"/>
      <c r="D1" s="3"/>
      <c r="E1" s="2"/>
      <c r="F1" s="4"/>
      <c r="G1" s="2"/>
      <c r="H1" s="5" t="str">
        <f>IF(COUNTIF(F3:F21, "=Required")=0, "Section Complete!", COUNTIF(F3:F21, "=Required") &amp; " Fields still need to be Entered")</f>
        <v>16 Fields still need to be Entered</v>
      </c>
      <c r="I1" s="5"/>
    </row>
    <row r="2" spans="1:9" ht="16.5" thickBot="1" x14ac:dyDescent="0.3">
      <c r="A2" s="194"/>
      <c r="B2" s="195"/>
      <c r="C2" s="196"/>
      <c r="D2" s="197" t="s">
        <v>1</v>
      </c>
      <c r="E2" s="198"/>
      <c r="F2" s="199"/>
      <c r="G2" s="198"/>
      <c r="H2" s="200" t="s">
        <v>2</v>
      </c>
      <c r="I2" s="201"/>
    </row>
    <row r="3" spans="1:9" ht="15.75" x14ac:dyDescent="0.25">
      <c r="A3" s="82"/>
      <c r="B3" s="343" t="s">
        <v>3</v>
      </c>
      <c r="C3" s="89"/>
      <c r="D3" s="202"/>
      <c r="E3" s="157" t="str">
        <f t="shared" ref="E3:E21" si="0">IF(ISBLANK(D3), "&lt;&lt;&lt;", "")</f>
        <v>&lt;&lt;&lt;</v>
      </c>
      <c r="F3" s="131" t="str">
        <f>IF(ISBLANK(D3), "Required", "")</f>
        <v>Required</v>
      </c>
      <c r="G3" s="156"/>
      <c r="H3" s="203" t="s">
        <v>4</v>
      </c>
      <c r="I3" s="204"/>
    </row>
    <row r="4" spans="1:9" ht="15.75" x14ac:dyDescent="0.25">
      <c r="A4" s="82"/>
      <c r="B4" s="209" t="s">
        <v>631</v>
      </c>
      <c r="C4" s="307"/>
      <c r="D4" s="308"/>
      <c r="E4" s="157" t="str">
        <f t="shared" si="0"/>
        <v>&lt;&lt;&lt;</v>
      </c>
      <c r="F4" s="131" t="str">
        <f>IF(ISBLANK(D4), "Required", "")</f>
        <v>Required</v>
      </c>
      <c r="G4" s="156"/>
      <c r="H4" s="203" t="s">
        <v>34</v>
      </c>
      <c r="I4" s="204"/>
    </row>
    <row r="5" spans="1:9" ht="15.75" x14ac:dyDescent="0.25">
      <c r="A5" s="82"/>
      <c r="B5" s="191" t="s">
        <v>626</v>
      </c>
      <c r="C5" s="307"/>
      <c r="D5" s="308"/>
      <c r="E5" s="157" t="str">
        <f t="shared" ref="E5" si="1">IF(ISBLANK(D5), "&lt;&lt;&lt;", "")</f>
        <v>&lt;&lt;&lt;</v>
      </c>
      <c r="F5" s="131" t="str">
        <f>IF(ISBLANK(D5), "Required", "")</f>
        <v>Required</v>
      </c>
      <c r="G5" s="156"/>
      <c r="H5" s="203" t="s">
        <v>627</v>
      </c>
      <c r="I5" s="204"/>
    </row>
    <row r="6" spans="1:9" ht="15.75" x14ac:dyDescent="0.25">
      <c r="A6" s="82"/>
      <c r="B6" s="191" t="s">
        <v>5</v>
      </c>
      <c r="C6" s="89"/>
      <c r="D6" s="205"/>
      <c r="E6" s="157" t="str">
        <f t="shared" si="0"/>
        <v>&lt;&lt;&lt;</v>
      </c>
      <c r="F6" s="131" t="str">
        <f>IF(ISBLANK(D6), "Required", "")</f>
        <v>Required</v>
      </c>
      <c r="G6" s="156"/>
      <c r="H6" s="203" t="s">
        <v>6</v>
      </c>
      <c r="I6" s="204"/>
    </row>
    <row r="7" spans="1:9" ht="15.75" x14ac:dyDescent="0.25">
      <c r="A7" s="82"/>
      <c r="B7" s="206" t="s">
        <v>7</v>
      </c>
      <c r="C7" s="89"/>
      <c r="D7" s="205"/>
      <c r="E7" s="157" t="str">
        <f t="shared" si="0"/>
        <v>&lt;&lt;&lt;</v>
      </c>
      <c r="F7" s="131" t="str">
        <f t="shared" ref="F7:F19" si="2">IF(ISBLANK(D7), "Required", "")</f>
        <v>Required</v>
      </c>
      <c r="G7" s="156"/>
      <c r="H7" s="167" t="s">
        <v>8</v>
      </c>
      <c r="I7" s="207"/>
    </row>
    <row r="8" spans="1:9" ht="15.75" x14ac:dyDescent="0.25">
      <c r="A8" s="82"/>
      <c r="B8" s="206" t="s">
        <v>9</v>
      </c>
      <c r="C8" s="89"/>
      <c r="D8" s="208"/>
      <c r="E8" s="157" t="str">
        <f t="shared" si="0"/>
        <v>&lt;&lt;&lt;</v>
      </c>
      <c r="F8" s="131" t="str">
        <f t="shared" si="2"/>
        <v>Required</v>
      </c>
      <c r="G8" s="156"/>
      <c r="H8" s="203" t="s">
        <v>10</v>
      </c>
      <c r="I8" s="207"/>
    </row>
    <row r="9" spans="1:9" ht="16.5" thickBot="1" x14ac:dyDescent="0.3">
      <c r="A9" s="82"/>
      <c r="B9" s="209" t="s">
        <v>11</v>
      </c>
      <c r="C9" s="89"/>
      <c r="D9" s="210"/>
      <c r="E9" s="157" t="str">
        <f t="shared" si="0"/>
        <v>&lt;&lt;&lt;</v>
      </c>
      <c r="F9" s="131" t="str">
        <f t="shared" si="2"/>
        <v>Required</v>
      </c>
      <c r="G9" s="156"/>
      <c r="H9" s="167" t="s">
        <v>12</v>
      </c>
      <c r="I9" s="207"/>
    </row>
    <row r="10" spans="1:9" ht="15.75" x14ac:dyDescent="0.25">
      <c r="A10" s="82"/>
      <c r="B10" s="191" t="s">
        <v>13</v>
      </c>
      <c r="C10" s="89"/>
      <c r="D10" s="202"/>
      <c r="E10" s="157" t="str">
        <f t="shared" si="0"/>
        <v>&lt;&lt;&lt;</v>
      </c>
      <c r="F10" s="131" t="str">
        <f t="shared" si="2"/>
        <v>Required</v>
      </c>
      <c r="G10" s="156"/>
      <c r="H10" s="167" t="s">
        <v>14</v>
      </c>
      <c r="I10" s="207"/>
    </row>
    <row r="11" spans="1:9" ht="15.75" x14ac:dyDescent="0.25">
      <c r="A11" s="82"/>
      <c r="B11" s="191" t="s">
        <v>15</v>
      </c>
      <c r="C11" s="89"/>
      <c r="D11" s="211"/>
      <c r="E11" s="157" t="str">
        <f t="shared" si="0"/>
        <v>&lt;&lt;&lt;</v>
      </c>
      <c r="F11" s="131" t="str">
        <f t="shared" si="2"/>
        <v>Required</v>
      </c>
      <c r="G11" s="156"/>
      <c r="H11" s="167" t="s">
        <v>16</v>
      </c>
      <c r="I11" s="207"/>
    </row>
    <row r="12" spans="1:9" ht="15.75" x14ac:dyDescent="0.25">
      <c r="A12" s="82"/>
      <c r="B12" s="191" t="s">
        <v>17</v>
      </c>
      <c r="C12" s="89"/>
      <c r="D12" s="211"/>
      <c r="E12" s="157" t="str">
        <f t="shared" si="0"/>
        <v>&lt;&lt;&lt;</v>
      </c>
      <c r="F12" s="131" t="str">
        <f t="shared" si="2"/>
        <v>Required</v>
      </c>
      <c r="G12" s="156"/>
      <c r="H12" s="167" t="s">
        <v>18</v>
      </c>
      <c r="I12" s="207"/>
    </row>
    <row r="13" spans="1:9" ht="15.75" x14ac:dyDescent="0.25">
      <c r="A13" s="82"/>
      <c r="B13" s="191" t="s">
        <v>19</v>
      </c>
      <c r="C13" s="89"/>
      <c r="D13" s="211"/>
      <c r="E13" s="157" t="str">
        <f t="shared" si="0"/>
        <v>&lt;&lt;&lt;</v>
      </c>
      <c r="F13" s="131" t="str">
        <f t="shared" si="2"/>
        <v>Required</v>
      </c>
      <c r="G13" s="156"/>
      <c r="H13" s="167" t="s">
        <v>20</v>
      </c>
      <c r="I13" s="207"/>
    </row>
    <row r="14" spans="1:9" ht="15.75" x14ac:dyDescent="0.25">
      <c r="A14" s="82"/>
      <c r="B14" s="191" t="s">
        <v>21</v>
      </c>
      <c r="C14" s="89"/>
      <c r="D14" s="212"/>
      <c r="E14" s="157" t="str">
        <f t="shared" si="0"/>
        <v>&lt;&lt;&lt;</v>
      </c>
      <c r="F14" s="131" t="str">
        <f t="shared" si="2"/>
        <v>Required</v>
      </c>
      <c r="G14" s="156"/>
      <c r="H14" s="167">
        <v>94596</v>
      </c>
      <c r="I14" s="207"/>
    </row>
    <row r="15" spans="1:9" ht="16.5" thickBot="1" x14ac:dyDescent="0.3">
      <c r="A15" s="82"/>
      <c r="B15" s="209" t="s">
        <v>22</v>
      </c>
      <c r="C15" s="89"/>
      <c r="D15" s="213"/>
      <c r="E15" s="157" t="str">
        <f t="shared" si="0"/>
        <v>&lt;&lt;&lt;</v>
      </c>
      <c r="F15" s="131" t="str">
        <f>IF(ISBLANK(D15), "Optional", "")</f>
        <v>Optional</v>
      </c>
      <c r="G15" s="156"/>
      <c r="H15" s="167">
        <v>12345</v>
      </c>
      <c r="I15" s="207"/>
    </row>
    <row r="16" spans="1:9" ht="15.75" x14ac:dyDescent="0.25">
      <c r="A16" s="82"/>
      <c r="B16" s="191" t="s">
        <v>23</v>
      </c>
      <c r="C16" s="89"/>
      <c r="D16" s="205"/>
      <c r="E16" s="157" t="str">
        <f t="shared" si="0"/>
        <v>&lt;&lt;&lt;</v>
      </c>
      <c r="F16" s="131" t="str">
        <f t="shared" si="2"/>
        <v>Required</v>
      </c>
      <c r="G16" s="156"/>
      <c r="H16" s="167" t="s">
        <v>24</v>
      </c>
      <c r="I16" s="207"/>
    </row>
    <row r="17" spans="1:9" ht="15.75" x14ac:dyDescent="0.25">
      <c r="A17" s="82"/>
      <c r="B17" s="191" t="s">
        <v>25</v>
      </c>
      <c r="C17" s="89"/>
      <c r="D17" s="211"/>
      <c r="E17" s="157" t="str">
        <f t="shared" si="0"/>
        <v>&lt;&lt;&lt;</v>
      </c>
      <c r="F17" s="131" t="str">
        <f t="shared" si="2"/>
        <v>Required</v>
      </c>
      <c r="G17" s="156"/>
      <c r="H17" s="167" t="s">
        <v>26</v>
      </c>
      <c r="I17" s="207"/>
    </row>
    <row r="18" spans="1:9" ht="15.75" x14ac:dyDescent="0.25">
      <c r="A18" s="82"/>
      <c r="B18" s="191" t="s">
        <v>27</v>
      </c>
      <c r="C18" s="89"/>
      <c r="D18" s="214"/>
      <c r="E18" s="157" t="str">
        <f t="shared" si="0"/>
        <v>&lt;&lt;&lt;</v>
      </c>
      <c r="F18" s="131" t="str">
        <f t="shared" si="2"/>
        <v>Required</v>
      </c>
      <c r="G18" s="156"/>
      <c r="H18" s="167" t="s">
        <v>28</v>
      </c>
      <c r="I18" s="207"/>
    </row>
    <row r="19" spans="1:9" ht="15.75" x14ac:dyDescent="0.25">
      <c r="A19" s="82"/>
      <c r="B19" s="191" t="s">
        <v>29</v>
      </c>
      <c r="C19" s="89"/>
      <c r="D19" s="208"/>
      <c r="E19" s="157" t="str">
        <f t="shared" si="0"/>
        <v>&lt;&lt;&lt;</v>
      </c>
      <c r="F19" s="131" t="str">
        <f t="shared" si="2"/>
        <v>Required</v>
      </c>
      <c r="G19" s="156"/>
      <c r="H19" s="203" t="s">
        <v>10</v>
      </c>
      <c r="I19" s="215"/>
    </row>
    <row r="20" spans="1:9" ht="15.75" x14ac:dyDescent="0.25">
      <c r="A20" s="82"/>
      <c r="B20" s="191" t="s">
        <v>30</v>
      </c>
      <c r="C20" s="89"/>
      <c r="D20" s="211"/>
      <c r="E20" s="157" t="str">
        <f t="shared" si="0"/>
        <v>&lt;&lt;&lt;</v>
      </c>
      <c r="F20" s="131" t="str">
        <f>IF(ISBLANK(D20), "Optional", "")</f>
        <v>Optional</v>
      </c>
      <c r="G20" s="156"/>
      <c r="H20" s="203" t="s">
        <v>31</v>
      </c>
      <c r="I20" s="215"/>
    </row>
    <row r="21" spans="1:9" ht="16.5" thickBot="1" x14ac:dyDescent="0.3">
      <c r="A21" s="82"/>
      <c r="B21" s="191" t="s">
        <v>32</v>
      </c>
      <c r="C21" s="89"/>
      <c r="D21" s="216"/>
      <c r="E21" s="157" t="str">
        <f t="shared" si="0"/>
        <v>&lt;&lt;&lt;</v>
      </c>
      <c r="F21" s="131" t="str">
        <f>IF(ISBLANK(D21), "Optional", "")</f>
        <v>Optional</v>
      </c>
      <c r="G21" s="156"/>
      <c r="H21" s="203" t="s">
        <v>33</v>
      </c>
      <c r="I21" s="215"/>
    </row>
    <row r="22" spans="1:9" x14ac:dyDescent="0.25">
      <c r="A22" s="217"/>
      <c r="B22" s="218"/>
      <c r="C22" s="218"/>
      <c r="D22" s="218"/>
      <c r="E22" s="218"/>
      <c r="F22" s="218"/>
      <c r="G22" s="218"/>
      <c r="H22" s="218"/>
      <c r="I22" s="219"/>
    </row>
  </sheetData>
  <protectedRanges>
    <protectedRange sqref="D3:D21" name="All"/>
  </protectedRanges>
  <conditionalFormatting sqref="D3:D21">
    <cfRule type="cellIs" dxfId="4" priority="10" stopIfTrue="1" operator="notEqual">
      <formula>""</formula>
    </cfRule>
  </conditionalFormatting>
  <dataValidations count="3">
    <dataValidation type="whole" operator="greaterThan" allowBlank="1" showInputMessage="1" showErrorMessage="1" sqref="D14:D15">
      <formula1>0</formula1>
    </dataValidation>
    <dataValidation type="list" allowBlank="1" showInputMessage="1" showErrorMessage="1" sqref="D5">
      <formula1>"Commercial, Industrial"</formula1>
    </dataValidation>
    <dataValidation type="list" allowBlank="1" showInputMessage="1" showErrorMessage="1" sqref="D4">
      <formula1>"Year 1, Year 2"</formula1>
    </dataValidation>
  </dataValidations>
  <pageMargins left="0.7" right="0.7" top="0.75" bottom="0.75" header="0.3" footer="0.3"/>
  <pageSetup orientation="portrait" horizontalDpi="1200" verticalDpi="1200" r:id="rId1"/>
  <ignoredErrors>
    <ignoredError sqref="F1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'Utility List'!$B$5:$B$142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7"/>
  <sheetViews>
    <sheetView showGridLines="0" workbookViewId="0">
      <selection activeCell="D29" sqref="D29"/>
    </sheetView>
  </sheetViews>
  <sheetFormatPr defaultColWidth="8.85546875" defaultRowHeight="15" x14ac:dyDescent="0.25"/>
  <cols>
    <col min="1" max="1" width="8.85546875" style="78" customWidth="1"/>
    <col min="2" max="2" width="60.42578125" style="78" customWidth="1"/>
    <col min="3" max="3" width="0.140625" style="78" customWidth="1"/>
    <col min="4" max="4" width="31.42578125" style="78" customWidth="1"/>
    <col min="5" max="5" width="1.5703125" style="78" customWidth="1"/>
    <col min="6" max="6" width="0.42578125" style="78" customWidth="1"/>
    <col min="7" max="7" width="31.42578125" style="78" customWidth="1"/>
    <col min="8" max="8" width="5.140625" style="78" bestFit="1" customWidth="1"/>
    <col min="9" max="9" width="54.42578125" style="78" bestFit="1" customWidth="1"/>
    <col min="10" max="16384" width="8.85546875" style="78"/>
  </cols>
  <sheetData>
    <row r="1" spans="1:11" s="76" customFormat="1" ht="23.25" x14ac:dyDescent="0.25">
      <c r="A1" s="75"/>
      <c r="B1" s="27" t="str">
        <f>CONCATENATE("SEM Project: ",IF('Project Information'!D10="","Company Name?",'Project Information'!D10))</f>
        <v>SEM Project: Company Name?</v>
      </c>
      <c r="C1" s="25"/>
      <c r="D1" s="26"/>
      <c r="E1" s="26"/>
      <c r="F1" s="26"/>
      <c r="G1" s="26"/>
      <c r="H1" s="25"/>
      <c r="I1" s="28"/>
      <c r="J1" s="28"/>
    </row>
    <row r="2" spans="1:11" s="77" customFormat="1" ht="23.25" x14ac:dyDescent="0.25">
      <c r="A2" s="171"/>
      <c r="B2" s="172" t="s">
        <v>634</v>
      </c>
      <c r="C2" s="173"/>
      <c r="D2" s="174"/>
      <c r="E2" s="174"/>
      <c r="F2" s="174"/>
      <c r="G2" s="174"/>
      <c r="H2" s="173"/>
      <c r="I2" s="175"/>
      <c r="J2" s="175"/>
    </row>
    <row r="3" spans="1:11" s="77" customFormat="1" ht="15.95" customHeight="1" x14ac:dyDescent="0.25">
      <c r="A3" s="176"/>
      <c r="B3" s="177"/>
      <c r="C3" s="178"/>
      <c r="D3" s="179"/>
      <c r="E3" s="179"/>
      <c r="F3" s="179"/>
      <c r="G3" s="179"/>
      <c r="H3" s="178"/>
      <c r="I3" s="179"/>
      <c r="J3" s="193"/>
      <c r="K3" s="108"/>
    </row>
    <row r="4" spans="1:11" ht="39" x14ac:dyDescent="0.25">
      <c r="A4" s="180"/>
      <c r="B4" s="181" t="s">
        <v>589</v>
      </c>
      <c r="C4" s="182">
        <f t="array" ref="C4">SUM(1*(TRIM(C6:C13)="Required"))</f>
        <v>6</v>
      </c>
      <c r="D4" s="183" t="str">
        <f>CHOOSE(MIN(2,C4)+1,"Required fields are complete for Year 1!","Utility Use: 1 field still needs to be entered for Year 1.","Utility Use: "&amp;C4&amp;" fields still need to be entered for Year 1.")</f>
        <v>Utility Use: 6 fields still need to be entered for Year 1.</v>
      </c>
      <c r="E4" s="182"/>
      <c r="F4" s="182">
        <f t="array" ref="F4">SUM(1*(TRIM(F6:F13)="Required"))</f>
        <v>4</v>
      </c>
      <c r="G4" s="183" t="str">
        <f>IF(C4&gt;0,"",CHOOSE(MIN(2,F4)+1,"Required fields are complete for Year 2!","Utility Use: 1 field still needs to be entered for Year 2.","Utility Use: "&amp;F4&amp;" fields still need to be entered for Year 2."))</f>
        <v/>
      </c>
      <c r="H4" s="184"/>
      <c r="I4" s="184"/>
      <c r="J4" s="185"/>
    </row>
    <row r="5" spans="1:11" ht="15.95" customHeight="1" thickBot="1" x14ac:dyDescent="0.3">
      <c r="A5" s="117"/>
      <c r="B5" s="145"/>
      <c r="C5" s="145"/>
      <c r="D5" s="145"/>
      <c r="E5" s="145"/>
      <c r="F5" s="145"/>
      <c r="G5" s="122" t="s">
        <v>2</v>
      </c>
      <c r="H5" s="145"/>
      <c r="I5" s="114"/>
      <c r="J5" s="148"/>
    </row>
    <row r="6" spans="1:11" ht="15.95" customHeight="1" x14ac:dyDescent="0.25">
      <c r="A6" s="117"/>
      <c r="B6" s="146" t="s">
        <v>608</v>
      </c>
      <c r="C6" s="20" t="str">
        <f>IF(ISBLANK(D6), "                                   Required", "")</f>
        <v xml:space="preserve">                                   Required</v>
      </c>
      <c r="D6" s="72"/>
      <c r="E6" s="71"/>
      <c r="F6" s="149" t="str">
        <f>C6</f>
        <v xml:space="preserve">                                   Required</v>
      </c>
      <c r="G6" s="115">
        <v>41072</v>
      </c>
      <c r="H6" s="70"/>
      <c r="I6" s="115"/>
      <c r="J6" s="150"/>
    </row>
    <row r="7" spans="1:11" ht="15.95" customHeight="1" x14ac:dyDescent="0.25">
      <c r="A7" s="117"/>
      <c r="B7" s="84" t="s">
        <v>621</v>
      </c>
      <c r="C7" s="18" t="str">
        <f>IF(ISBLANK(D7), "                                   Required", "")</f>
        <v xml:space="preserve">                                   Required</v>
      </c>
      <c r="D7" s="221"/>
      <c r="E7" s="71"/>
      <c r="F7" s="149" t="str">
        <f>C7</f>
        <v xml:space="preserve">                                   Required</v>
      </c>
      <c r="G7" s="109" t="s">
        <v>153</v>
      </c>
      <c r="H7" s="70"/>
      <c r="I7" s="109"/>
      <c r="J7" s="120"/>
    </row>
    <row r="8" spans="1:11" ht="15.95" customHeight="1" x14ac:dyDescent="0.25">
      <c r="A8" s="117"/>
      <c r="B8" s="84" t="s">
        <v>588</v>
      </c>
      <c r="C8" s="18" t="str">
        <f>IF(ISBLANK(D8), "                                   Required", "")</f>
        <v xml:space="preserve">                                   Required</v>
      </c>
      <c r="D8" s="221"/>
      <c r="E8" s="71"/>
      <c r="F8" s="149"/>
      <c r="G8" s="228" t="s">
        <v>595</v>
      </c>
      <c r="H8" s="220"/>
      <c r="I8" s="109"/>
      <c r="J8" s="120"/>
    </row>
    <row r="9" spans="1:11" ht="15.95" customHeight="1" thickBot="1" x14ac:dyDescent="0.3">
      <c r="A9" s="117"/>
      <c r="B9" s="295" t="s">
        <v>605</v>
      </c>
      <c r="C9" s="21" t="str">
        <f>IF(ISBLANK(D9), "                                   Required", "")</f>
        <v xml:space="preserve">                                   Required</v>
      </c>
      <c r="D9" s="186"/>
      <c r="F9" s="149"/>
      <c r="G9" s="109" t="s">
        <v>44</v>
      </c>
      <c r="H9" s="140"/>
      <c r="I9" s="109"/>
      <c r="J9" s="120"/>
    </row>
    <row r="10" spans="1:11" ht="22.5" customHeight="1" x14ac:dyDescent="0.25">
      <c r="A10" s="117"/>
      <c r="B10" s="188" t="s">
        <v>606</v>
      </c>
      <c r="C10" s="16"/>
      <c r="D10" s="152"/>
      <c r="E10" s="121"/>
      <c r="F10" s="71"/>
      <c r="G10" s="151"/>
      <c r="H10" s="70"/>
      <c r="I10" s="109"/>
      <c r="J10" s="120"/>
    </row>
    <row r="11" spans="1:11" ht="15.95" customHeight="1" thickBot="1" x14ac:dyDescent="0.3">
      <c r="A11" s="117"/>
      <c r="B11" s="118" t="s">
        <v>582</v>
      </c>
      <c r="C11" s="16"/>
      <c r="D11" s="119" t="s">
        <v>34</v>
      </c>
      <c r="E11" s="119"/>
      <c r="F11" s="119"/>
      <c r="G11" s="119" t="s">
        <v>35</v>
      </c>
      <c r="H11" s="70"/>
      <c r="I11" s="109"/>
      <c r="J11" s="120"/>
    </row>
    <row r="12" spans="1:11" ht="15.95" customHeight="1" x14ac:dyDescent="0.25">
      <c r="A12" s="117"/>
      <c r="B12" s="296" t="s">
        <v>612</v>
      </c>
      <c r="C12" s="17" t="str">
        <f>IF(ISBLANK(D12), "                                   Required", "")</f>
        <v xml:space="preserve">                                   Required</v>
      </c>
      <c r="D12" s="73"/>
      <c r="E12" s="153"/>
      <c r="F12" s="17" t="str">
        <f>IF(ISBLANK(G12), "                                   Required", "")</f>
        <v xml:space="preserve">                                   Required</v>
      </c>
      <c r="G12" s="73"/>
      <c r="H12" s="151" t="s">
        <v>44</v>
      </c>
      <c r="I12" s="159">
        <v>10000000</v>
      </c>
      <c r="J12" s="160"/>
    </row>
    <row r="13" spans="1:11" ht="33" customHeight="1" thickBot="1" x14ac:dyDescent="0.3">
      <c r="A13" s="117"/>
      <c r="B13" s="147" t="s">
        <v>607</v>
      </c>
      <c r="C13" s="29" t="str">
        <f>IF(ISBLANK(D13), "                                   Required", "")</f>
        <v xml:space="preserve">                                   Required</v>
      </c>
      <c r="D13" s="74"/>
      <c r="E13" s="154"/>
      <c r="F13" s="29" t="str">
        <f>IF(ISBLANK(G13), "                                   Required", "")</f>
        <v xml:space="preserve">                                   Required</v>
      </c>
      <c r="G13" s="74"/>
      <c r="H13" s="131"/>
      <c r="I13" s="116" t="s">
        <v>585</v>
      </c>
      <c r="J13" s="161"/>
    </row>
    <row r="14" spans="1:11" ht="15.95" customHeight="1" x14ac:dyDescent="0.25">
      <c r="A14" s="117"/>
      <c r="B14" s="130"/>
      <c r="C14" s="79"/>
      <c r="D14" s="155"/>
      <c r="E14" s="155"/>
      <c r="F14" s="155"/>
      <c r="G14" s="155"/>
      <c r="H14" s="157"/>
      <c r="I14" s="130"/>
      <c r="J14" s="129"/>
    </row>
    <row r="15" spans="1:11" ht="15.95" customHeight="1" thickBot="1" x14ac:dyDescent="0.3">
      <c r="A15" s="117"/>
      <c r="B15" s="130" t="s">
        <v>43</v>
      </c>
      <c r="C15" s="79"/>
      <c r="D15" s="156"/>
      <c r="E15" s="156"/>
      <c r="F15" s="156"/>
      <c r="G15" s="156"/>
      <c r="H15" s="158"/>
      <c r="I15" s="130"/>
      <c r="J15" s="129"/>
    </row>
    <row r="16" spans="1:11" ht="15.95" customHeight="1" x14ac:dyDescent="0.25">
      <c r="A16" s="117"/>
      <c r="B16" s="344"/>
      <c r="C16" s="345"/>
      <c r="D16" s="345"/>
      <c r="E16" s="345"/>
      <c r="F16" s="345"/>
      <c r="G16" s="346"/>
      <c r="H16" s="158"/>
      <c r="I16" s="130"/>
      <c r="J16" s="129"/>
    </row>
    <row r="17" spans="1:10" ht="15.95" customHeight="1" x14ac:dyDescent="0.25">
      <c r="A17" s="117"/>
      <c r="B17" s="347"/>
      <c r="C17" s="348"/>
      <c r="D17" s="348"/>
      <c r="E17" s="348"/>
      <c r="F17" s="348"/>
      <c r="G17" s="349"/>
      <c r="H17" s="158"/>
      <c r="I17" s="130"/>
      <c r="J17" s="129"/>
    </row>
    <row r="18" spans="1:10" ht="15.95" customHeight="1" x14ac:dyDescent="0.25">
      <c r="A18" s="117"/>
      <c r="B18" s="347"/>
      <c r="C18" s="348"/>
      <c r="D18" s="348"/>
      <c r="E18" s="348"/>
      <c r="F18" s="348"/>
      <c r="G18" s="349"/>
      <c r="H18" s="158"/>
      <c r="I18" s="130"/>
      <c r="J18" s="129"/>
    </row>
    <row r="19" spans="1:10" ht="15.95" customHeight="1" thickBot="1" x14ac:dyDescent="0.3">
      <c r="A19" s="117"/>
      <c r="B19" s="350"/>
      <c r="C19" s="351"/>
      <c r="D19" s="351"/>
      <c r="E19" s="351"/>
      <c r="F19" s="351"/>
      <c r="G19" s="352"/>
      <c r="H19" s="158"/>
      <c r="I19" s="162"/>
      <c r="J19" s="129"/>
    </row>
    <row r="20" spans="1:10" ht="15.95" customHeight="1" x14ac:dyDescent="0.25">
      <c r="A20" s="166"/>
      <c r="B20" s="164"/>
      <c r="C20" s="164"/>
      <c r="D20" s="163"/>
      <c r="E20" s="163"/>
      <c r="F20" s="163"/>
      <c r="G20" s="163"/>
      <c r="H20" s="163"/>
      <c r="I20" s="164"/>
      <c r="J20" s="165"/>
    </row>
    <row r="21" spans="1:10" s="81" customFormat="1" ht="39" x14ac:dyDescent="0.25">
      <c r="A21" s="80"/>
      <c r="B21" s="110" t="s">
        <v>590</v>
      </c>
      <c r="C21" s="23"/>
      <c r="D21" s="11" t="s">
        <v>157</v>
      </c>
      <c r="E21" s="24"/>
      <c r="F21" s="24"/>
      <c r="G21" s="24"/>
      <c r="H21" s="23"/>
      <c r="I21" s="11"/>
      <c r="J21" s="22"/>
    </row>
    <row r="22" spans="1:10" ht="15.95" customHeight="1" x14ac:dyDescent="0.25">
      <c r="A22" s="121"/>
      <c r="B22" s="121"/>
      <c r="C22" s="121"/>
      <c r="D22" s="121"/>
      <c r="E22" s="121"/>
      <c r="F22" s="121"/>
      <c r="G22" s="121"/>
      <c r="H22" s="121"/>
      <c r="I22" s="122"/>
      <c r="J22" s="123"/>
    </row>
    <row r="23" spans="1:10" ht="23.25" x14ac:dyDescent="0.25">
      <c r="A23" s="121"/>
      <c r="B23" s="12" t="s">
        <v>596</v>
      </c>
      <c r="C23" s="13"/>
      <c r="D23" s="9"/>
      <c r="E23" s="9"/>
      <c r="F23" s="9"/>
      <c r="G23" s="9"/>
      <c r="H23" s="13"/>
      <c r="I23" s="10"/>
      <c r="J23" s="112"/>
    </row>
    <row r="24" spans="1:10" ht="41.25" customHeight="1" x14ac:dyDescent="0.25">
      <c r="A24" s="121"/>
      <c r="B24" s="353" t="s">
        <v>628</v>
      </c>
      <c r="C24" s="353"/>
      <c r="D24" s="353"/>
      <c r="E24" s="353"/>
      <c r="F24" s="353"/>
      <c r="G24" s="353"/>
      <c r="H24" s="143"/>
      <c r="I24" s="114"/>
      <c r="J24" s="124"/>
    </row>
    <row r="25" spans="1:10" ht="15.95" customHeight="1" x14ac:dyDescent="0.25">
      <c r="A25" s="121"/>
      <c r="B25" s="140" t="s">
        <v>38</v>
      </c>
      <c r="C25" s="141"/>
      <c r="D25" s="142" t="str">
        <f>IFERROR(TEXT(D6,"m/d/yy")&amp;"–"&amp;TEXT(DATEVALUE(MONTH(D6)&amp;"/"&amp;DAY(D6)&amp;"/"&amp;YEAR(D6)+1)-1,"m/d/yy"),"Not Set")</f>
        <v>Not Set</v>
      </c>
      <c r="E25" s="142"/>
      <c r="F25" s="142"/>
      <c r="G25" s="142" t="str">
        <f>IFERROR(TEXT(DATEVALUE(MONTH(D6)&amp;"/"&amp;DAY(D6)&amp;"/"&amp;YEAR(D6)+1),"m/d/yy")&amp;"–"&amp;TEXT(DATEVALUE(MONTH(D6)&amp;"/"&amp;DAY(D6)&amp;"/"&amp;YEAR(D6)+2)-1,"m/d/yy"),"Not Set")</f>
        <v>Not Set</v>
      </c>
      <c r="H25" s="141"/>
      <c r="I25" s="144"/>
      <c r="J25" s="125"/>
    </row>
    <row r="26" spans="1:10" ht="15.95" customHeight="1" thickBot="1" x14ac:dyDescent="0.3">
      <c r="A26" s="121"/>
      <c r="B26" s="140" t="s">
        <v>597</v>
      </c>
      <c r="C26" s="141"/>
      <c r="D26" s="222">
        <f>'Payment Tables'!D19</f>
        <v>0</v>
      </c>
      <c r="E26" s="133"/>
      <c r="F26" s="133"/>
      <c r="G26" s="222">
        <f>'Payment Tables'!E19</f>
        <v>0</v>
      </c>
      <c r="H26" s="141"/>
      <c r="I26" s="144"/>
      <c r="J26" s="125"/>
    </row>
    <row r="27" spans="1:10" ht="15.95" customHeight="1" thickBot="1" x14ac:dyDescent="0.3">
      <c r="A27" s="121"/>
      <c r="B27" s="189" t="s">
        <v>609</v>
      </c>
      <c r="C27" s="19" t="str">
        <f>IF(ISBLANK(D27), "                                   Optional", "")</f>
        <v xml:space="preserve">                                   Optional</v>
      </c>
      <c r="D27" s="223"/>
      <c r="E27" s="134"/>
      <c r="F27" s="19" t="str">
        <f>IF(ISBLANK(G27), "                                   Optional", "")</f>
        <v xml:space="preserve">                                   Optional</v>
      </c>
      <c r="G27" s="223"/>
      <c r="H27" s="87"/>
      <c r="I27" s="135">
        <v>2000</v>
      </c>
      <c r="J27" s="126"/>
    </row>
    <row r="28" spans="1:10" ht="15.95" customHeight="1" x14ac:dyDescent="0.25">
      <c r="A28" s="121"/>
      <c r="B28" s="190" t="s">
        <v>596</v>
      </c>
      <c r="C28" s="85"/>
      <c r="D28" s="224">
        <f>MIN(y1_max_sem_sav_pmt,y1_util_sav_cap)</f>
        <v>0</v>
      </c>
      <c r="E28" s="138"/>
      <c r="F28" s="137"/>
      <c r="G28" s="224">
        <f>MIN(y2_max_sem_sav_pmt,y2_util_sav_cap)</f>
        <v>0</v>
      </c>
      <c r="H28" s="87"/>
      <c r="I28" s="139"/>
      <c r="J28" s="127"/>
    </row>
    <row r="29" spans="1:10" s="77" customFormat="1" ht="15.95" customHeight="1" x14ac:dyDescent="0.25">
      <c r="A29" s="121"/>
      <c r="B29" s="299"/>
      <c r="C29" s="85"/>
      <c r="D29" s="137"/>
      <c r="E29" s="137"/>
      <c r="F29" s="137"/>
      <c r="G29" s="137"/>
      <c r="H29" s="87"/>
      <c r="I29" s="139"/>
      <c r="J29" s="127"/>
    </row>
    <row r="30" spans="1:10" ht="15.95" customHeight="1" thickBot="1" x14ac:dyDescent="0.3">
      <c r="A30" s="117"/>
      <c r="B30" s="130" t="s">
        <v>43</v>
      </c>
      <c r="C30" s="130"/>
      <c r="D30" s="156"/>
      <c r="E30" s="156"/>
      <c r="F30" s="156"/>
      <c r="G30" s="156"/>
      <c r="H30" s="158"/>
      <c r="I30" s="130"/>
      <c r="J30" s="129"/>
    </row>
    <row r="31" spans="1:10" ht="15.95" customHeight="1" x14ac:dyDescent="0.25">
      <c r="A31" s="117"/>
      <c r="B31" s="344"/>
      <c r="C31" s="345"/>
      <c r="D31" s="345"/>
      <c r="E31" s="345"/>
      <c r="F31" s="345"/>
      <c r="G31" s="346"/>
      <c r="H31" s="83"/>
      <c r="I31" s="79"/>
      <c r="J31" s="129"/>
    </row>
    <row r="32" spans="1:10" ht="15.95" customHeight="1" x14ac:dyDescent="0.25">
      <c r="A32" s="117"/>
      <c r="B32" s="347"/>
      <c r="C32" s="348"/>
      <c r="D32" s="348"/>
      <c r="E32" s="348"/>
      <c r="F32" s="348"/>
      <c r="G32" s="349"/>
      <c r="H32" s="83"/>
      <c r="I32" s="79"/>
      <c r="J32" s="129"/>
    </row>
    <row r="33" spans="1:10" ht="15.95" customHeight="1" x14ac:dyDescent="0.25">
      <c r="A33" s="117"/>
      <c r="B33" s="347"/>
      <c r="C33" s="348"/>
      <c r="D33" s="348"/>
      <c r="E33" s="348"/>
      <c r="F33" s="348"/>
      <c r="G33" s="349"/>
      <c r="H33" s="83"/>
      <c r="I33" s="79"/>
      <c r="J33" s="129"/>
    </row>
    <row r="34" spans="1:10" ht="15.95" customHeight="1" thickBot="1" x14ac:dyDescent="0.3">
      <c r="A34" s="117"/>
      <c r="B34" s="350"/>
      <c r="C34" s="351"/>
      <c r="D34" s="351"/>
      <c r="E34" s="351"/>
      <c r="F34" s="351"/>
      <c r="G34" s="352"/>
      <c r="H34" s="83"/>
      <c r="I34" s="79"/>
      <c r="J34" s="129"/>
    </row>
    <row r="35" spans="1:10" ht="15.95" customHeight="1" x14ac:dyDescent="0.25">
      <c r="A35" s="117"/>
      <c r="B35" s="170"/>
      <c r="C35" s="170"/>
      <c r="D35" s="170"/>
      <c r="E35" s="170"/>
      <c r="F35" s="170"/>
      <c r="G35" s="170"/>
      <c r="H35" s="158"/>
      <c r="I35" s="79"/>
      <c r="J35" s="129"/>
    </row>
    <row r="36" spans="1:10" ht="39" x14ac:dyDescent="0.25">
      <c r="A36" s="66"/>
      <c r="B36" s="66" t="s">
        <v>586</v>
      </c>
      <c r="C36" s="63">
        <f t="array" ref="C36">SUM(1*(TRIM(C39:C40)="Required"))</f>
        <v>2</v>
      </c>
      <c r="D36" s="64" t="str">
        <f>CHOOSE(MIN(2,C36)+1,"Required fields are complete for Year 1.","BPA Use: 1 field still needs to be entered for Year 1.","BPA Use: "&amp;C36&amp;" fields still need to be entered for Year 1.")</f>
        <v>BPA Use: 2 fields still need to be entered for Year 1.</v>
      </c>
      <c r="E36" s="67"/>
      <c r="F36" s="63">
        <f t="array" ref="F36">SUM(1*(TRIM(F39:F40)="Required"))</f>
        <v>2</v>
      </c>
      <c r="G36" s="65" t="str">
        <f>IF(SUM(C4,C36)&gt;0,"",CHOOSE(MIN(2,F36)+1,"Required fields are complete for Year 2!","BPA Use: 1 field still needs to be entered for Year 2.","BPA Use: "&amp;F36&amp;" fields still need to be entered for Year 2."))</f>
        <v/>
      </c>
      <c r="H36" s="62"/>
      <c r="I36" s="68"/>
      <c r="J36" s="69"/>
    </row>
    <row r="37" spans="1:10" ht="15.95" customHeight="1" x14ac:dyDescent="0.25">
      <c r="A37" s="121"/>
      <c r="B37" s="136"/>
      <c r="C37" s="70"/>
      <c r="D37" s="132"/>
      <c r="E37" s="132"/>
      <c r="F37" s="132"/>
      <c r="G37" s="132"/>
      <c r="H37" s="70"/>
      <c r="I37" s="122"/>
      <c r="J37" s="128"/>
    </row>
    <row r="38" spans="1:10" ht="15.95" customHeight="1" thickBot="1" x14ac:dyDescent="0.3">
      <c r="A38" s="121"/>
      <c r="B38" s="118" t="s">
        <v>582</v>
      </c>
      <c r="C38" s="70"/>
      <c r="D38" s="119" t="s">
        <v>34</v>
      </c>
      <c r="E38" s="119"/>
      <c r="F38" s="119"/>
      <c r="G38" s="119" t="s">
        <v>35</v>
      </c>
      <c r="H38" s="70"/>
      <c r="I38" s="122"/>
      <c r="J38" s="128"/>
    </row>
    <row r="39" spans="1:10" ht="15.95" customHeight="1" x14ac:dyDescent="0.25">
      <c r="A39" s="117"/>
      <c r="B39" s="84" t="s">
        <v>610</v>
      </c>
      <c r="C39" s="17" t="str">
        <f>IF(ISBLANK(D39), "                                   Required", "")</f>
        <v xml:space="preserve">                                   Required</v>
      </c>
      <c r="D39" s="59"/>
      <c r="E39" s="168"/>
      <c r="F39" s="17" t="str">
        <f>IF(ISBLANK(G39), "                                   Required", "")</f>
        <v xml:space="preserve">                                   Required</v>
      </c>
      <c r="G39" s="59"/>
      <c r="H39" s="131"/>
      <c r="I39" s="167" t="s">
        <v>584</v>
      </c>
      <c r="J39" s="161"/>
    </row>
    <row r="40" spans="1:10" ht="15.95" customHeight="1" thickBot="1" x14ac:dyDescent="0.3">
      <c r="A40" s="117"/>
      <c r="B40" s="84" t="s">
        <v>611</v>
      </c>
      <c r="C40" s="60" t="str">
        <f>IF(ISBLANK(D40), "                                   Required", "")</f>
        <v xml:space="preserve">                                   Required</v>
      </c>
      <c r="D40" s="61"/>
      <c r="E40" s="169"/>
      <c r="F40" s="60" t="str">
        <f>IF(ISBLANK(G40), "                                   Required", "")</f>
        <v xml:space="preserve">                                   Required</v>
      </c>
      <c r="G40" s="61"/>
      <c r="H40" s="131"/>
      <c r="I40" s="115">
        <v>41072</v>
      </c>
      <c r="J40" s="150"/>
    </row>
    <row r="41" spans="1:10" ht="15.95" customHeight="1" x14ac:dyDescent="0.25">
      <c r="A41" s="111"/>
      <c r="B41" s="84"/>
      <c r="C41" s="85"/>
      <c r="D41" s="187"/>
      <c r="E41" s="187"/>
      <c r="F41" s="86"/>
      <c r="G41" s="85"/>
      <c r="H41" s="85"/>
      <c r="I41" s="109"/>
      <c r="J41" s="113"/>
    </row>
    <row r="42" spans="1:10" ht="15.95" customHeight="1" thickBot="1" x14ac:dyDescent="0.3">
      <c r="A42" s="117"/>
      <c r="B42" s="130" t="s">
        <v>43</v>
      </c>
      <c r="C42" s="225"/>
      <c r="D42" s="156"/>
      <c r="E42" s="156"/>
      <c r="F42" s="156"/>
      <c r="G42" s="156"/>
      <c r="H42" s="158"/>
      <c r="I42" s="130"/>
      <c r="J42" s="129"/>
    </row>
    <row r="43" spans="1:10" ht="15.95" customHeight="1" x14ac:dyDescent="0.25">
      <c r="A43" s="117"/>
      <c r="B43" s="354"/>
      <c r="C43" s="355"/>
      <c r="D43" s="355"/>
      <c r="E43" s="355"/>
      <c r="F43" s="355"/>
      <c r="G43" s="356"/>
      <c r="H43" s="158"/>
      <c r="I43" s="130"/>
      <c r="J43" s="129"/>
    </row>
    <row r="44" spans="1:10" ht="15.95" customHeight="1" x14ac:dyDescent="0.25">
      <c r="A44" s="117"/>
      <c r="B44" s="357"/>
      <c r="C44" s="358"/>
      <c r="D44" s="358"/>
      <c r="E44" s="358"/>
      <c r="F44" s="358"/>
      <c r="G44" s="359"/>
      <c r="H44" s="158"/>
      <c r="I44" s="130"/>
      <c r="J44" s="129"/>
    </row>
    <row r="45" spans="1:10" ht="15.95" customHeight="1" x14ac:dyDescent="0.25">
      <c r="A45" s="117"/>
      <c r="B45" s="357"/>
      <c r="C45" s="358"/>
      <c r="D45" s="358"/>
      <c r="E45" s="358"/>
      <c r="F45" s="358"/>
      <c r="G45" s="359"/>
      <c r="H45" s="158"/>
      <c r="I45" s="130"/>
      <c r="J45" s="129"/>
    </row>
    <row r="46" spans="1:10" ht="15.95" customHeight="1" thickBot="1" x14ac:dyDescent="0.3">
      <c r="A46" s="117"/>
      <c r="B46" s="360"/>
      <c r="C46" s="361"/>
      <c r="D46" s="361"/>
      <c r="E46" s="361"/>
      <c r="F46" s="361"/>
      <c r="G46" s="362"/>
      <c r="H46" s="158"/>
      <c r="I46" s="162"/>
      <c r="J46" s="129"/>
    </row>
    <row r="47" spans="1:10" ht="15.95" customHeight="1" x14ac:dyDescent="0.25">
      <c r="A47" s="166"/>
      <c r="B47" s="164"/>
      <c r="C47" s="164"/>
      <c r="D47" s="163"/>
      <c r="E47" s="163"/>
      <c r="F47" s="163"/>
      <c r="G47" s="163"/>
      <c r="H47" s="163"/>
      <c r="I47" s="164"/>
      <c r="J47" s="165"/>
    </row>
  </sheetData>
  <sheetProtection algorithmName="SHA-512" hashValue="MgZjNn1SBsB5C4feFcH6kKI3jU+TY4pEnn2NXdr4tLUyJvk6vOizC8+CSrjXo3ZgdEpZo/Otdgz50WLly4LKHw==" saltValue="K2eosiJg53M0cR85q3K8/g==" spinCount="100000" sheet="1" objects="1" scenarios="1"/>
  <protectedRanges>
    <protectedRange password="E6D5" sqref="D39:D40 G39:G40 B43:G46" name="ECOTR"/>
    <protectedRange sqref="D6:D9 B16 D27 G27 D12:D13 G12:G13 B31" name="All"/>
  </protectedRanges>
  <mergeCells count="4">
    <mergeCell ref="B16:G19"/>
    <mergeCell ref="B31:G34"/>
    <mergeCell ref="B24:G24"/>
    <mergeCell ref="B43:G46"/>
  </mergeCells>
  <conditionalFormatting sqref="F39:G40 F27:G27 F12:G13">
    <cfRule type="expression" dxfId="3" priority="26">
      <formula>OR($C$4&lt;&gt;0,$C$36&lt;&gt;0)</formula>
    </cfRule>
  </conditionalFormatting>
  <conditionalFormatting sqref="G38 G11">
    <cfRule type="expression" dxfId="2" priority="3">
      <formula>OR($C$36&lt;&gt;0,$C$4&lt;&gt;0)</formula>
    </cfRule>
  </conditionalFormatting>
  <conditionalFormatting sqref="D6:D9 B16 D27 G27 B31 D39:D40 G39:G40 B43 D12:D13 G12:G13">
    <cfRule type="notContainsBlanks" dxfId="1" priority="1" stopIfTrue="1">
      <formula>LEN(TRIM(B6))&gt;0</formula>
    </cfRule>
  </conditionalFormatting>
  <conditionalFormatting sqref="C6:C9 F27 C27 C39:C40 F39:F40 C12:C13 F12:F13">
    <cfRule type="expression" dxfId="0" priority="2" stopIfTrue="1">
      <formula>D6&lt;&gt;""</formula>
    </cfRule>
  </conditionalFormatting>
  <dataValidations count="4">
    <dataValidation type="list" allowBlank="1" showInputMessage="1" showErrorMessage="1" sqref="D7:D8">
      <formula1>"Yes,No"</formula1>
    </dataValidation>
    <dataValidation type="decimal" operator="greaterThanOrEqual" allowBlank="1" showInputMessage="1" showErrorMessage="1" sqref="D9 D27 G27 G12 D12">
      <formula1>0</formula1>
    </dataValidation>
    <dataValidation type="date" operator="greaterThan" allowBlank="1" showInputMessage="1" showErrorMessage="1" sqref="G40 D40">
      <formula1>1</formula1>
    </dataValidation>
    <dataValidation type="date" operator="greaterThanOrEqual" allowBlank="1" showInputMessage="1" showErrorMessage="1" sqref="D6">
      <formula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H28"/>
  <sheetViews>
    <sheetView topLeftCell="A7" workbookViewId="0">
      <selection activeCell="F35" sqref="F35"/>
    </sheetView>
  </sheetViews>
  <sheetFormatPr defaultColWidth="9.140625" defaultRowHeight="15" x14ac:dyDescent="0.25"/>
  <cols>
    <col min="1" max="1" width="9.140625" style="236"/>
    <col min="2" max="2" width="50.42578125" style="236" customWidth="1"/>
    <col min="3" max="3" width="13.42578125" style="236" customWidth="1"/>
    <col min="4" max="4" width="17.5703125" style="236" bestFit="1" customWidth="1"/>
    <col min="5" max="5" width="30.42578125" style="236" bestFit="1" customWidth="1"/>
    <col min="6" max="7" width="22.140625" style="236" customWidth="1"/>
    <col min="8" max="8" width="11.42578125" style="236" bestFit="1" customWidth="1"/>
    <col min="9" max="16384" width="9.140625" style="236"/>
  </cols>
  <sheetData>
    <row r="1" spans="1:7" s="230" customFormat="1" ht="23.25" x14ac:dyDescent="0.25">
      <c r="A1" s="229"/>
      <c r="B1" s="365" t="str">
        <f>CONCATENATE("SEM Project: ",IF('Project Information'!D10="","Company Name?",'Project Information'!D10))</f>
        <v>SEM Project: Company Name?</v>
      </c>
      <c r="C1" s="365" t="str">
        <f>CONCATENATE("SEM Project: ",IF('Project Information'!E10="","Company Name?",'Project Information'!E10))</f>
        <v>SEM Project: &lt;&lt;&lt;</v>
      </c>
      <c r="D1" s="365" t="str">
        <f>CONCATENATE("SEM Project: ",IF('Project Information'!F10="","Company Name?",'Project Information'!F10))</f>
        <v>SEM Project: Required</v>
      </c>
      <c r="E1" s="365" t="str">
        <f>CONCATENATE("SEM Project: ",IF('Project Information'!G10="","Company Name?",'Project Information'!G10))</f>
        <v>SEM Project: Company Name?</v>
      </c>
      <c r="F1" s="8"/>
      <c r="G1" s="8"/>
    </row>
    <row r="2" spans="1:7" s="230" customFormat="1" ht="23.25" customHeight="1" x14ac:dyDescent="0.25">
      <c r="A2" s="229"/>
      <c r="B2" s="365" t="s">
        <v>156</v>
      </c>
      <c r="C2" s="365"/>
      <c r="D2" s="365"/>
      <c r="E2" s="365"/>
      <c r="F2" s="8"/>
      <c r="G2" s="8"/>
    </row>
    <row r="3" spans="1:7" s="232" customFormat="1" ht="23.25" customHeight="1" x14ac:dyDescent="0.25">
      <c r="A3" s="231"/>
      <c r="B3" s="105" t="s">
        <v>622</v>
      </c>
      <c r="C3" s="106"/>
      <c r="D3" s="106"/>
      <c r="E3" s="106"/>
      <c r="F3" s="107"/>
      <c r="G3" s="107"/>
    </row>
    <row r="4" spans="1:7" ht="23.25" customHeight="1" x14ac:dyDescent="0.25">
      <c r="A4" s="233"/>
      <c r="B4" s="234"/>
      <c r="C4" s="235"/>
      <c r="D4" s="234"/>
      <c r="E4" s="234"/>
      <c r="F4" s="234"/>
      <c r="G4" s="234"/>
    </row>
    <row r="5" spans="1:7" ht="15.75" x14ac:dyDescent="0.25">
      <c r="A5" s="233"/>
      <c r="B5" s="237" t="s">
        <v>613</v>
      </c>
      <c r="C5" s="238" t="str">
        <f>IF('Project Information'!D4="Year 1", 1,(IF('Project Information'!D4="Year 2",2,"")))</f>
        <v/>
      </c>
      <c r="D5" s="234"/>
      <c r="E5" s="234"/>
      <c r="F5" s="234"/>
      <c r="G5" s="234"/>
    </row>
    <row r="6" spans="1:7" ht="15.75" x14ac:dyDescent="0.25">
      <c r="A6" s="239"/>
      <c r="B6" s="240" t="s">
        <v>614</v>
      </c>
      <c r="C6" s="309" t="str">
        <f>IF(ISBLANK('Project Information'!D5),"",'Project Information'!D5)</f>
        <v/>
      </c>
      <c r="D6" s="239"/>
      <c r="E6" s="239"/>
      <c r="F6" s="239"/>
      <c r="G6" s="239"/>
    </row>
    <row r="7" spans="1:7" ht="15.75" x14ac:dyDescent="0.25">
      <c r="A7" s="242"/>
      <c r="B7" s="240" t="s">
        <v>615</v>
      </c>
      <c r="C7" s="241">
        <v>1.09056</v>
      </c>
      <c r="D7" s="234"/>
      <c r="E7" s="234"/>
      <c r="F7" s="234"/>
      <c r="G7" s="234"/>
    </row>
    <row r="8" spans="1:7" ht="15.75" x14ac:dyDescent="0.25">
      <c r="A8" s="242"/>
      <c r="B8" s="240" t="s">
        <v>587</v>
      </c>
      <c r="C8" s="241" t="e">
        <f>IF('Annual Completion Reports'!D8="Yes",1.09056,IF('Annual Completion Reports'!D8="No",1,NA()))</f>
        <v>#N/A</v>
      </c>
      <c r="D8" s="234"/>
      <c r="E8" s="234"/>
      <c r="F8" s="234"/>
      <c r="G8" s="234"/>
    </row>
    <row r="9" spans="1:7" ht="15.75" x14ac:dyDescent="0.25">
      <c r="A9" s="242"/>
      <c r="B9" s="240" t="s">
        <v>39</v>
      </c>
      <c r="C9" s="241" t="s">
        <v>40</v>
      </c>
      <c r="D9" s="234"/>
      <c r="E9" s="234"/>
      <c r="F9" s="234"/>
      <c r="G9" s="234"/>
    </row>
    <row r="10" spans="1:7" ht="31.35" customHeight="1" x14ac:dyDescent="0.25">
      <c r="A10" s="233"/>
      <c r="B10" s="294" t="s">
        <v>598</v>
      </c>
      <c r="C10" s="269">
        <f>previous_sem_savings</f>
        <v>0</v>
      </c>
      <c r="D10" s="234"/>
      <c r="E10" s="234"/>
      <c r="F10" s="234"/>
      <c r="G10" s="243"/>
    </row>
    <row r="11" spans="1:7" ht="15.75" x14ac:dyDescent="0.25">
      <c r="A11" s="233"/>
      <c r="B11" s="244"/>
      <c r="C11" s="243"/>
      <c r="D11" s="234"/>
      <c r="E11" s="234"/>
      <c r="F11" s="234"/>
      <c r="G11" s="243"/>
    </row>
    <row r="12" spans="1:7" ht="18.75" x14ac:dyDescent="0.3">
      <c r="A12" s="233"/>
      <c r="B12" s="245" t="s">
        <v>41</v>
      </c>
      <c r="C12" s="246"/>
      <c r="D12" s="249"/>
      <c r="E12" s="250"/>
      <c r="F12" s="250"/>
      <c r="G12" s="250"/>
    </row>
    <row r="13" spans="1:7" ht="18.75" x14ac:dyDescent="0.3">
      <c r="A13" s="233"/>
      <c r="B13" s="300"/>
      <c r="C13" s="301"/>
      <c r="D13" s="298" t="s">
        <v>34</v>
      </c>
      <c r="E13" s="251" t="s">
        <v>35</v>
      </c>
    </row>
    <row r="14" spans="1:7" ht="15.75" x14ac:dyDescent="0.25">
      <c r="A14" s="233"/>
      <c r="B14" s="252"/>
      <c r="C14" s="253" t="s">
        <v>155</v>
      </c>
      <c r="D14" s="302" t="str">
        <f>y1_perf_period</f>
        <v>Not Set</v>
      </c>
      <c r="E14" s="303" t="str">
        <f>y2_perf_period</f>
        <v>Not Set</v>
      </c>
    </row>
    <row r="15" spans="1:7" ht="47.25" x14ac:dyDescent="0.25">
      <c r="A15" s="233"/>
      <c r="B15" s="252"/>
      <c r="C15" s="254" t="s">
        <v>599</v>
      </c>
      <c r="D15" s="255" t="str">
        <f>IF(ISBLANK(y1_site_savings),"Not Entered",y1_site_savings)</f>
        <v>Not Entered</v>
      </c>
      <c r="E15" s="256" t="str">
        <f>IF(ISBLANK(y2_site_savings),"Not Entered",y2_site_savings)</f>
        <v>Not Entered</v>
      </c>
    </row>
    <row r="16" spans="1:7" ht="47.25" x14ac:dyDescent="0.25">
      <c r="A16" s="233"/>
      <c r="B16" s="252"/>
      <c r="C16" s="254" t="s">
        <v>600</v>
      </c>
      <c r="D16" s="255" t="str">
        <f>IF(ISBLANK(y1_site_savings),"Not Entered",y1_site_savings*busbar)</f>
        <v>Not Entered</v>
      </c>
      <c r="E16" s="256" t="str">
        <f>IF(ISBLANK(y2_site_savings),"Not Entered",y2_site_savings*busbar)</f>
        <v>Not Entered</v>
      </c>
    </row>
    <row r="17" spans="1:8" ht="15.75" x14ac:dyDescent="0.25">
      <c r="A17" s="243"/>
      <c r="B17" s="252"/>
      <c r="C17" s="254" t="s">
        <v>601</v>
      </c>
      <c r="D17" s="255">
        <f>MAX(0,y1_site_savings - previous_sem_savings)*busbar</f>
        <v>0</v>
      </c>
      <c r="E17" s="257">
        <f>MAX(0,y2_site_savings - previous_sem_savings)*busbar</f>
        <v>0</v>
      </c>
    </row>
    <row r="18" spans="1:8" ht="15.75" x14ac:dyDescent="0.25">
      <c r="A18" s="243"/>
      <c r="B18" s="252"/>
      <c r="C18" s="254" t="s">
        <v>620</v>
      </c>
      <c r="D18" s="255">
        <f>(y1_site_savings - previous_sem_savings)*busbar</f>
        <v>0</v>
      </c>
      <c r="E18" s="257">
        <f>(y2_site_savings - y1_site_savings)*busbar</f>
        <v>0</v>
      </c>
    </row>
    <row r="19" spans="1:8" ht="15.75" x14ac:dyDescent="0.25">
      <c r="A19" s="243"/>
      <c r="B19" s="304"/>
      <c r="C19" s="305" t="s">
        <v>602</v>
      </c>
      <c r="D19" s="297">
        <f>y1_sem_funding</f>
        <v>0</v>
      </c>
      <c r="E19" s="306">
        <f>y2_sem_funding</f>
        <v>0</v>
      </c>
    </row>
    <row r="20" spans="1:8" ht="15.75" x14ac:dyDescent="0.25">
      <c r="A20" s="243"/>
    </row>
    <row r="21" spans="1:8" ht="15.75" x14ac:dyDescent="0.25">
      <c r="A21" s="243"/>
      <c r="B21" s="259"/>
      <c r="C21" s="243"/>
      <c r="D21" s="258"/>
      <c r="E21" s="233"/>
      <c r="F21" s="248"/>
      <c r="G21" s="243"/>
    </row>
    <row r="22" spans="1:8" ht="19.5" thickBot="1" x14ac:dyDescent="0.35">
      <c r="A22" s="243"/>
      <c r="B22" s="324" t="s">
        <v>596</v>
      </c>
      <c r="C22" s="243"/>
      <c r="D22" s="268"/>
      <c r="E22" s="243"/>
      <c r="F22" s="258"/>
      <c r="G22" s="258"/>
    </row>
    <row r="23" spans="1:8" ht="18.75" x14ac:dyDescent="0.3">
      <c r="A23" s="243"/>
      <c r="B23" s="325"/>
      <c r="C23" s="326"/>
      <c r="D23" s="327"/>
      <c r="E23" s="326"/>
      <c r="F23" s="328" t="s">
        <v>34</v>
      </c>
      <c r="G23" s="329" t="s">
        <v>35</v>
      </c>
    </row>
    <row r="24" spans="1:8" ht="15.75" x14ac:dyDescent="0.25">
      <c r="A24" s="243"/>
      <c r="B24" s="330" t="s">
        <v>623</v>
      </c>
      <c r="C24" s="247"/>
      <c r="D24" s="260">
        <v>2.5000000000000001E-2</v>
      </c>
      <c r="E24" s="247" t="s">
        <v>154</v>
      </c>
      <c r="F24" s="331">
        <f>MAX(0,D24*(y1_site_savings - previous_sem_savings)*busbar)</f>
        <v>0</v>
      </c>
      <c r="G24" s="332">
        <f>MAX(0,D24*(y2_site_savings - previous_sem_savings)*busbar)</f>
        <v>0</v>
      </c>
    </row>
    <row r="25" spans="1:8" ht="15.75" x14ac:dyDescent="0.25">
      <c r="A25" s="243"/>
      <c r="B25" s="330" t="s">
        <v>624</v>
      </c>
      <c r="C25" s="85"/>
      <c r="D25" s="261">
        <v>2.5000000000000001E-2</v>
      </c>
      <c r="E25" s="85" t="s">
        <v>154</v>
      </c>
      <c r="F25" s="262" t="e">
        <f>IF(inc_site_busbar=1,MAX(0,D25*(y1_site_savings - previous_sem_savings)),NA())</f>
        <v>#N/A</v>
      </c>
      <c r="G25" s="333" t="e">
        <f>IF(inc_site_busbar=1,MAX(0,D25*(y2_site_savings - previous_sem_savings)),NA())</f>
        <v>#N/A</v>
      </c>
      <c r="H25" s="323"/>
    </row>
    <row r="26" spans="1:8" ht="15.75" x14ac:dyDescent="0.25">
      <c r="A26" s="243"/>
      <c r="B26" s="363" t="s">
        <v>591</v>
      </c>
      <c r="C26" s="364"/>
      <c r="D26" s="364"/>
      <c r="E26" s="364"/>
      <c r="F26" s="263" t="str">
        <f>IF(ISBLANK(y1_util_sav_cap),"None",y1_util_sav_cap)</f>
        <v>None</v>
      </c>
      <c r="G26" s="334" t="str">
        <f>IF(ISBLANK(y2_util_sav_cap),"None",y2_util_sav_cap)</f>
        <v>None</v>
      </c>
      <c r="H26" s="323"/>
    </row>
    <row r="27" spans="1:8" ht="15.75" x14ac:dyDescent="0.25">
      <c r="A27" s="243"/>
      <c r="B27" s="335"/>
      <c r="C27" s="264"/>
      <c r="D27" s="265"/>
      <c r="E27" s="266" t="s">
        <v>625</v>
      </c>
      <c r="F27" s="267">
        <f>IF('Annual Completion Reports'!D8="No",'Payment Tables'!F25,'Payment Tables'!F24)</f>
        <v>0</v>
      </c>
      <c r="G27" s="336">
        <f>IF('Annual Completion Reports'!D8="No",'Payment Tables'!G25,'Payment Tables'!G24)</f>
        <v>0</v>
      </c>
      <c r="H27" s="323"/>
    </row>
    <row r="28" spans="1:8" ht="16.5" thickBot="1" x14ac:dyDescent="0.3">
      <c r="B28" s="337"/>
      <c r="C28" s="338"/>
      <c r="D28" s="339"/>
      <c r="E28" s="340" t="s">
        <v>629</v>
      </c>
      <c r="F28" s="341">
        <f>MIN(F26:F27)</f>
        <v>0</v>
      </c>
      <c r="G28" s="342">
        <f>MIN(G26:G27)</f>
        <v>0</v>
      </c>
    </row>
  </sheetData>
  <mergeCells count="3">
    <mergeCell ref="B26:E26"/>
    <mergeCell ref="B1:E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2"/>
  <sheetViews>
    <sheetView showGridLines="0" workbookViewId="0">
      <selection activeCell="C2" sqref="C2"/>
    </sheetView>
  </sheetViews>
  <sheetFormatPr defaultColWidth="8.85546875" defaultRowHeight="15" x14ac:dyDescent="0.25"/>
  <cols>
    <col min="1" max="1" width="8.85546875" style="78"/>
    <col min="2" max="2" width="12.5703125" style="78" bestFit="1" customWidth="1"/>
    <col min="3" max="3" width="12.42578125" style="78" customWidth="1"/>
    <col min="4" max="6" width="8.85546875" style="78"/>
    <col min="7" max="7" width="24.7109375" style="78" bestFit="1" customWidth="1"/>
    <col min="8" max="8" width="8.85546875" style="78"/>
    <col min="9" max="9" width="13.42578125" style="78" customWidth="1"/>
    <col min="10" max="24" width="8.85546875" style="78"/>
    <col min="25" max="25" width="8" style="78" bestFit="1" customWidth="1"/>
    <col min="26" max="26" width="15.85546875" style="78" bestFit="1" customWidth="1"/>
    <col min="27" max="30" width="8.85546875" style="78"/>
    <col min="31" max="31" width="12.5703125" style="78" bestFit="1" customWidth="1"/>
    <col min="32" max="32" width="8.85546875" style="78"/>
    <col min="33" max="33" width="12.42578125" style="78" bestFit="1" customWidth="1"/>
    <col min="34" max="34" width="14" style="78" customWidth="1"/>
    <col min="35" max="35" width="11" style="78" bestFit="1" customWidth="1"/>
    <col min="36" max="36" width="8.85546875" style="78"/>
    <col min="37" max="37" width="16.5703125" style="78" customWidth="1"/>
    <col min="38" max="38" width="11.5703125" style="78" bestFit="1" customWidth="1"/>
    <col min="39" max="39" width="10.85546875" style="78" bestFit="1" customWidth="1"/>
    <col min="40" max="40" width="8.85546875" style="78"/>
    <col min="41" max="41" width="15" style="78" bestFit="1" customWidth="1"/>
    <col min="42" max="16384" width="8.85546875" style="78"/>
  </cols>
  <sheetData>
    <row r="1" spans="1:41" ht="15.75" x14ac:dyDescent="0.25">
      <c r="A1" s="90" t="s">
        <v>45</v>
      </c>
      <c r="B1" s="91" t="s">
        <v>46</v>
      </c>
      <c r="C1" s="91" t="s">
        <v>47</v>
      </c>
      <c r="D1" s="91" t="s">
        <v>48</v>
      </c>
      <c r="E1" s="92" t="s">
        <v>49</v>
      </c>
      <c r="F1" s="93" t="s">
        <v>50</v>
      </c>
      <c r="G1" s="94" t="s">
        <v>616</v>
      </c>
      <c r="H1" s="95" t="s">
        <v>51</v>
      </c>
      <c r="I1" s="96" t="s">
        <v>52</v>
      </c>
      <c r="J1" s="97" t="s">
        <v>53</v>
      </c>
      <c r="K1" s="98" t="s">
        <v>54</v>
      </c>
      <c r="L1" s="98" t="s">
        <v>55</v>
      </c>
      <c r="M1" s="95" t="s">
        <v>56</v>
      </c>
      <c r="N1" s="92" t="s">
        <v>57</v>
      </c>
      <c r="O1" s="92" t="s">
        <v>58</v>
      </c>
      <c r="P1" s="92" t="s">
        <v>59</v>
      </c>
      <c r="Q1" s="92" t="s">
        <v>60</v>
      </c>
      <c r="R1" s="99" t="s">
        <v>61</v>
      </c>
      <c r="S1" s="92" t="s">
        <v>62</v>
      </c>
      <c r="T1" s="100" t="s">
        <v>63</v>
      </c>
      <c r="U1" s="100" t="s">
        <v>64</v>
      </c>
      <c r="V1" s="100" t="s">
        <v>65</v>
      </c>
      <c r="W1" s="100" t="s">
        <v>66</v>
      </c>
      <c r="X1" s="100" t="s">
        <v>67</v>
      </c>
      <c r="Y1" s="100" t="s">
        <v>68</v>
      </c>
      <c r="Z1" s="100" t="s">
        <v>69</v>
      </c>
      <c r="AA1" s="100" t="s">
        <v>70</v>
      </c>
      <c r="AB1" s="100" t="s">
        <v>71</v>
      </c>
      <c r="AC1" s="95" t="s">
        <v>72</v>
      </c>
      <c r="AD1" s="95" t="s">
        <v>73</v>
      </c>
      <c r="AE1" s="100" t="s">
        <v>74</v>
      </c>
      <c r="AF1" s="100" t="s">
        <v>75</v>
      </c>
      <c r="AG1" s="100" t="s">
        <v>76</v>
      </c>
      <c r="AH1" s="100" t="s">
        <v>77</v>
      </c>
      <c r="AI1" s="100" t="s">
        <v>78</v>
      </c>
      <c r="AJ1" s="95" t="s">
        <v>79</v>
      </c>
      <c r="AK1" s="101" t="s">
        <v>603</v>
      </c>
      <c r="AL1" s="270" t="s">
        <v>617</v>
      </c>
      <c r="AM1" s="100" t="s">
        <v>80</v>
      </c>
      <c r="AN1" s="102" t="s">
        <v>81</v>
      </c>
      <c r="AO1" s="102" t="s">
        <v>82</v>
      </c>
    </row>
    <row r="2" spans="1:41" x14ac:dyDescent="0.25">
      <c r="A2" s="103">
        <f>up_version</f>
        <v>8.1999999999999993</v>
      </c>
      <c r="B2" s="78" t="s">
        <v>83</v>
      </c>
      <c r="C2" s="78">
        <f>up_projectno</f>
        <v>0</v>
      </c>
      <c r="D2" s="78" t="str">
        <f>submittal_no</f>
        <v/>
      </c>
      <c r="E2" s="78">
        <v>1</v>
      </c>
      <c r="G2" s="78" t="e">
        <f>INDEX(up_sub_incrsav,submittal_no)</f>
        <v>#VALUE!</v>
      </c>
      <c r="I2" s="78" t="e">
        <f>INDEX(up_sub_totcred,submittal_no)</f>
        <v>#VALUE!</v>
      </c>
      <c r="N2" s="78">
        <f>up_zip</f>
        <v>0</v>
      </c>
      <c r="O2" s="78">
        <f>up_facility</f>
        <v>0</v>
      </c>
      <c r="P2" s="78">
        <f>up_state</f>
        <v>0</v>
      </c>
      <c r="Q2" s="78">
        <f>up_projname</f>
        <v>0</v>
      </c>
      <c r="R2" s="78">
        <f>up_street</f>
        <v>0</v>
      </c>
      <c r="S2" s="78">
        <f>up_city</f>
        <v>0</v>
      </c>
      <c r="T2" s="78">
        <f>up_cont_name</f>
        <v>0</v>
      </c>
      <c r="U2" s="78">
        <f>up_cont_title</f>
        <v>0</v>
      </c>
      <c r="V2" s="78">
        <f>up_cont_phone</f>
        <v>0</v>
      </c>
      <c r="W2" s="78">
        <f>up_cont_email</f>
        <v>0</v>
      </c>
      <c r="X2" s="78" t="str">
        <f>'Payment Tables'!C6</f>
        <v/>
      </c>
      <c r="Y2" s="78">
        <f>up_NAICS</f>
        <v>0</v>
      </c>
      <c r="Z2" s="78" t="e">
        <f>INDEX(up_sub_subname,submittal_no)</f>
        <v>#VALUE!</v>
      </c>
      <c r="AA2" s="78" t="e">
        <f>INDEX(up_sub_emttsubmit,submittal_no)</f>
        <v>#VALUE!</v>
      </c>
      <c r="AB2" s="78" t="str">
        <f>'uploaddata collection'!E31</f>
        <v>Yes</v>
      </c>
      <c r="AF2" s="78" t="e">
        <f>INDEX(up_sub_compreport,submittal_no)</f>
        <v>#VALUE!</v>
      </c>
      <c r="AH2" s="78" t="e">
        <f>INDEX(up_sub_ttcredit,submittal_no)</f>
        <v>#VALUE!</v>
      </c>
      <c r="AK2" s="78" t="e">
        <f>INDEX(up_sub_eligsav,submittal_no)</f>
        <v>#VALUE!</v>
      </c>
      <c r="AL2" s="78" t="e">
        <f>INDEX(up_sub_versav,submittal_no)</f>
        <v>#VALUE!</v>
      </c>
      <c r="AN2" s="78" t="e">
        <f>up_BES</f>
        <v>#N/A</v>
      </c>
      <c r="AO2" s="104" t="e">
        <f>INDEX(up_sub_date,submittal_no)</f>
        <v>#VALUE!</v>
      </c>
    </row>
  </sheetData>
  <dataValidations count="1">
    <dataValidation type="custom" allowBlank="1" showInputMessage="1" showErrorMessage="1" sqref="A1:F1 H1:AJ1 AM1:AO1">
      <formula1>""</formula1>
    </dataValidation>
  </dataValidations>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41"/>
  <sheetViews>
    <sheetView showGridLines="0" workbookViewId="0">
      <selection activeCell="F7" sqref="F7"/>
    </sheetView>
  </sheetViews>
  <sheetFormatPr defaultRowHeight="15" x14ac:dyDescent="0.25"/>
  <cols>
    <col min="1" max="1" width="9.140625" style="192"/>
    <col min="2" max="2" width="20.5703125" bestFit="1" customWidth="1"/>
    <col min="3" max="3" width="17" bestFit="1" customWidth="1"/>
    <col min="4" max="4" width="17" customWidth="1"/>
    <col min="5" max="6" width="14.5703125" bestFit="1" customWidth="1"/>
  </cols>
  <sheetData>
    <row r="1" spans="2:6" x14ac:dyDescent="0.25">
      <c r="B1" s="374"/>
      <c r="C1" s="374"/>
      <c r="D1" s="374"/>
      <c r="E1" s="374"/>
      <c r="F1" s="374"/>
    </row>
    <row r="2" spans="2:6" ht="15.75" thickBot="1" x14ac:dyDescent="0.3">
      <c r="F2" s="14"/>
    </row>
    <row r="3" spans="2:6" ht="15.75" thickBot="1" x14ac:dyDescent="0.3">
      <c r="B3" s="283" t="s">
        <v>85</v>
      </c>
      <c r="C3" s="284" t="s">
        <v>86</v>
      </c>
      <c r="D3" s="285" t="s">
        <v>87</v>
      </c>
      <c r="E3" s="286">
        <v>1</v>
      </c>
      <c r="F3" s="287">
        <v>2</v>
      </c>
    </row>
    <row r="4" spans="2:6" x14ac:dyDescent="0.25">
      <c r="B4" s="274" t="s">
        <v>45</v>
      </c>
      <c r="C4" s="275" t="s">
        <v>88</v>
      </c>
      <c r="D4" s="276" t="s">
        <v>89</v>
      </c>
      <c r="E4" s="375">
        <f>'Revision History'!C2</f>
        <v>8.1999999999999993</v>
      </c>
      <c r="F4" s="376"/>
    </row>
    <row r="5" spans="2:6" x14ac:dyDescent="0.25">
      <c r="B5" s="277" t="s">
        <v>46</v>
      </c>
      <c r="C5" s="278" t="s">
        <v>88</v>
      </c>
      <c r="D5" s="279" t="s">
        <v>90</v>
      </c>
      <c r="E5" s="377" t="s">
        <v>83</v>
      </c>
      <c r="F5" s="378"/>
    </row>
    <row r="6" spans="2:6" x14ac:dyDescent="0.25">
      <c r="B6" s="277" t="s">
        <v>91</v>
      </c>
      <c r="C6" s="278" t="s">
        <v>92</v>
      </c>
      <c r="D6" s="279" t="s">
        <v>93</v>
      </c>
      <c r="E6" s="370">
        <f>'Project Information'!D21</f>
        <v>0</v>
      </c>
      <c r="F6" s="371"/>
    </row>
    <row r="7" spans="2:6" x14ac:dyDescent="0.25">
      <c r="B7" s="277" t="s">
        <v>48</v>
      </c>
      <c r="C7" s="278" t="s">
        <v>92</v>
      </c>
      <c r="D7" s="279" t="s">
        <v>94</v>
      </c>
      <c r="E7" s="311">
        <v>1</v>
      </c>
      <c r="F7" s="312">
        <v>2</v>
      </c>
    </row>
    <row r="8" spans="2:6" x14ac:dyDescent="0.25">
      <c r="B8" s="277" t="s">
        <v>49</v>
      </c>
      <c r="C8" s="278" t="s">
        <v>92</v>
      </c>
      <c r="D8" s="279" t="s">
        <v>95</v>
      </c>
      <c r="E8" s="311">
        <v>1</v>
      </c>
      <c r="F8" s="312">
        <v>1</v>
      </c>
    </row>
    <row r="9" spans="2:6" x14ac:dyDescent="0.25">
      <c r="B9" s="277" t="s">
        <v>50</v>
      </c>
      <c r="C9" s="278" t="s">
        <v>96</v>
      </c>
      <c r="D9" s="279" t="s">
        <v>97</v>
      </c>
      <c r="E9" s="366"/>
      <c r="F9" s="367"/>
    </row>
    <row r="10" spans="2:6" x14ac:dyDescent="0.25">
      <c r="B10" s="277" t="s">
        <v>616</v>
      </c>
      <c r="C10" s="278"/>
      <c r="D10" s="279" t="s">
        <v>98</v>
      </c>
      <c r="E10" s="313">
        <f>'Payment Tables'!D18</f>
        <v>0</v>
      </c>
      <c r="F10" s="314">
        <f>'Payment Tables'!E18</f>
        <v>0</v>
      </c>
    </row>
    <row r="11" spans="2:6" x14ac:dyDescent="0.25">
      <c r="B11" s="277" t="s">
        <v>51</v>
      </c>
      <c r="C11" s="278"/>
      <c r="D11" s="279" t="s">
        <v>99</v>
      </c>
      <c r="E11" s="366"/>
      <c r="F11" s="367"/>
    </row>
    <row r="12" spans="2:6" x14ac:dyDescent="0.25">
      <c r="B12" s="277" t="s">
        <v>52</v>
      </c>
      <c r="C12" s="278"/>
      <c r="D12" s="279" t="s">
        <v>100</v>
      </c>
      <c r="E12" s="315">
        <f>'Payment Tables'!F28</f>
        <v>0</v>
      </c>
      <c r="F12" s="316">
        <f>'Payment Tables'!G28</f>
        <v>0</v>
      </c>
    </row>
    <row r="13" spans="2:6" x14ac:dyDescent="0.25">
      <c r="B13" s="277" t="s">
        <v>53</v>
      </c>
      <c r="C13" s="278"/>
      <c r="D13" s="279" t="s">
        <v>101</v>
      </c>
      <c r="E13" s="366"/>
      <c r="F13" s="367"/>
    </row>
    <row r="14" spans="2:6" x14ac:dyDescent="0.25">
      <c r="B14" s="277" t="s">
        <v>54</v>
      </c>
      <c r="C14" s="278"/>
      <c r="D14" s="279" t="s">
        <v>102</v>
      </c>
      <c r="E14" s="366"/>
      <c r="F14" s="367"/>
    </row>
    <row r="15" spans="2:6" x14ac:dyDescent="0.25">
      <c r="B15" s="277" t="s">
        <v>55</v>
      </c>
      <c r="C15" s="278"/>
      <c r="D15" s="279" t="s">
        <v>103</v>
      </c>
      <c r="E15" s="366"/>
      <c r="F15" s="367"/>
    </row>
    <row r="16" spans="2:6" x14ac:dyDescent="0.25">
      <c r="B16" s="277" t="s">
        <v>56</v>
      </c>
      <c r="C16" s="278"/>
      <c r="D16" s="279" t="s">
        <v>104</v>
      </c>
      <c r="E16" s="366"/>
      <c r="F16" s="367"/>
    </row>
    <row r="17" spans="2:6" x14ac:dyDescent="0.25">
      <c r="B17" s="277" t="s">
        <v>57</v>
      </c>
      <c r="C17" s="278" t="s">
        <v>88</v>
      </c>
      <c r="D17" s="279" t="s">
        <v>105</v>
      </c>
      <c r="E17" s="368">
        <f>'Project Information'!D14</f>
        <v>0</v>
      </c>
      <c r="F17" s="369"/>
    </row>
    <row r="18" spans="2:6" x14ac:dyDescent="0.25">
      <c r="B18" s="277" t="s">
        <v>58</v>
      </c>
      <c r="C18" s="278" t="s">
        <v>88</v>
      </c>
      <c r="D18" s="279" t="s">
        <v>106</v>
      </c>
      <c r="E18" s="370">
        <f>'Project Information'!D10</f>
        <v>0</v>
      </c>
      <c r="F18" s="371"/>
    </row>
    <row r="19" spans="2:6" x14ac:dyDescent="0.25">
      <c r="B19" s="277" t="s">
        <v>59</v>
      </c>
      <c r="C19" s="278" t="s">
        <v>88</v>
      </c>
      <c r="D19" s="279" t="s">
        <v>107</v>
      </c>
      <c r="E19" s="370">
        <f>'Project Information'!D13</f>
        <v>0</v>
      </c>
      <c r="F19" s="371"/>
    </row>
    <row r="20" spans="2:6" x14ac:dyDescent="0.25">
      <c r="B20" s="277" t="s">
        <v>60</v>
      </c>
      <c r="C20" s="278" t="s">
        <v>88</v>
      </c>
      <c r="D20" s="279" t="s">
        <v>108</v>
      </c>
      <c r="E20" s="370">
        <f>'Project Information'!D3</f>
        <v>0</v>
      </c>
      <c r="F20" s="371"/>
    </row>
    <row r="21" spans="2:6" x14ac:dyDescent="0.25">
      <c r="B21" s="277" t="s">
        <v>61</v>
      </c>
      <c r="C21" s="278" t="s">
        <v>88</v>
      </c>
      <c r="D21" s="279" t="s">
        <v>109</v>
      </c>
      <c r="E21" s="370">
        <f>'Project Information'!D11</f>
        <v>0</v>
      </c>
      <c r="F21" s="371"/>
    </row>
    <row r="22" spans="2:6" x14ac:dyDescent="0.25">
      <c r="B22" s="277" t="s">
        <v>62</v>
      </c>
      <c r="C22" s="278" t="s">
        <v>88</v>
      </c>
      <c r="D22" s="279" t="s">
        <v>110</v>
      </c>
      <c r="E22" s="370">
        <f>'Project Information'!D12</f>
        <v>0</v>
      </c>
      <c r="F22" s="371"/>
    </row>
    <row r="23" spans="2:6" x14ac:dyDescent="0.25">
      <c r="B23" s="277" t="s">
        <v>63</v>
      </c>
      <c r="C23" s="278" t="s">
        <v>88</v>
      </c>
      <c r="D23" s="279" t="s">
        <v>111</v>
      </c>
      <c r="E23" s="370">
        <f>'Project Information'!D16</f>
        <v>0</v>
      </c>
      <c r="F23" s="371"/>
    </row>
    <row r="24" spans="2:6" x14ac:dyDescent="0.25">
      <c r="B24" s="277" t="s">
        <v>64</v>
      </c>
      <c r="C24" s="278" t="s">
        <v>88</v>
      </c>
      <c r="D24" s="279" t="s">
        <v>112</v>
      </c>
      <c r="E24" s="370">
        <f>'Project Information'!D17</f>
        <v>0</v>
      </c>
      <c r="F24" s="371"/>
    </row>
    <row r="25" spans="2:6" x14ac:dyDescent="0.25">
      <c r="B25" s="277" t="s">
        <v>65</v>
      </c>
      <c r="C25" s="278" t="s">
        <v>88</v>
      </c>
      <c r="D25" s="279" t="s">
        <v>113</v>
      </c>
      <c r="E25" s="368">
        <f>'Project Information'!D18</f>
        <v>0</v>
      </c>
      <c r="F25" s="369"/>
    </row>
    <row r="26" spans="2:6" x14ac:dyDescent="0.25">
      <c r="B26" s="277" t="s">
        <v>66</v>
      </c>
      <c r="C26" s="278" t="s">
        <v>88</v>
      </c>
      <c r="D26" s="279" t="s">
        <v>114</v>
      </c>
      <c r="E26" s="370">
        <f>'Project Information'!D19</f>
        <v>0</v>
      </c>
      <c r="F26" s="371"/>
    </row>
    <row r="27" spans="2:6" x14ac:dyDescent="0.25">
      <c r="B27" s="277" t="s">
        <v>67</v>
      </c>
      <c r="C27" s="278" t="s">
        <v>88</v>
      </c>
      <c r="D27" s="279" t="s">
        <v>115</v>
      </c>
      <c r="E27" s="368" t="s">
        <v>37</v>
      </c>
      <c r="F27" s="369"/>
    </row>
    <row r="28" spans="2:6" x14ac:dyDescent="0.25">
      <c r="B28" s="277" t="s">
        <v>68</v>
      </c>
      <c r="C28" s="278" t="s">
        <v>92</v>
      </c>
      <c r="D28" s="279" t="s">
        <v>116</v>
      </c>
      <c r="E28" s="372">
        <f>'Project Information'!D15</f>
        <v>0</v>
      </c>
      <c r="F28" s="373"/>
    </row>
    <row r="29" spans="2:6" x14ac:dyDescent="0.25">
      <c r="B29" s="277" t="s">
        <v>69</v>
      </c>
      <c r="C29" s="278" t="s">
        <v>88</v>
      </c>
      <c r="D29" s="279" t="s">
        <v>117</v>
      </c>
      <c r="E29" s="311" t="s">
        <v>34</v>
      </c>
      <c r="F29" s="312" t="s">
        <v>35</v>
      </c>
    </row>
    <row r="30" spans="2:6" x14ac:dyDescent="0.25">
      <c r="B30" s="277" t="s">
        <v>118</v>
      </c>
      <c r="C30" s="278" t="s">
        <v>88</v>
      </c>
      <c r="D30" s="279" t="s">
        <v>119</v>
      </c>
      <c r="E30" s="317" t="s">
        <v>84</v>
      </c>
      <c r="F30" s="318" t="s">
        <v>84</v>
      </c>
    </row>
    <row r="31" spans="2:6" x14ac:dyDescent="0.25">
      <c r="B31" s="277" t="s">
        <v>120</v>
      </c>
      <c r="C31" s="278" t="s">
        <v>88</v>
      </c>
      <c r="D31" s="279" t="s">
        <v>121</v>
      </c>
      <c r="E31" s="368" t="s">
        <v>84</v>
      </c>
      <c r="F31" s="369"/>
    </row>
    <row r="32" spans="2:6" x14ac:dyDescent="0.25">
      <c r="B32" s="277" t="s">
        <v>72</v>
      </c>
      <c r="C32" s="278" t="s">
        <v>96</v>
      </c>
      <c r="D32" s="279" t="s">
        <v>122</v>
      </c>
      <c r="E32" s="366"/>
      <c r="F32" s="367"/>
    </row>
    <row r="33" spans="2:7" x14ac:dyDescent="0.25">
      <c r="B33" s="277" t="s">
        <v>73</v>
      </c>
      <c r="C33" s="278" t="s">
        <v>96</v>
      </c>
      <c r="D33" s="279" t="s">
        <v>123</v>
      </c>
      <c r="E33" s="366"/>
      <c r="F33" s="367"/>
    </row>
    <row r="34" spans="2:7" x14ac:dyDescent="0.25">
      <c r="B34" s="277" t="s">
        <v>74</v>
      </c>
      <c r="C34" s="278" t="s">
        <v>88</v>
      </c>
      <c r="D34" s="279" t="s">
        <v>124</v>
      </c>
      <c r="E34" s="280" t="s">
        <v>84</v>
      </c>
      <c r="F34" s="281" t="str">
        <f>""</f>
        <v/>
      </c>
      <c r="G34" s="310"/>
    </row>
    <row r="35" spans="2:7" x14ac:dyDescent="0.25">
      <c r="B35" s="277" t="s">
        <v>75</v>
      </c>
      <c r="C35" s="278" t="s">
        <v>88</v>
      </c>
      <c r="D35" s="279" t="s">
        <v>125</v>
      </c>
      <c r="E35" s="311" t="str">
        <f>""</f>
        <v/>
      </c>
      <c r="F35" s="312" t="s">
        <v>84</v>
      </c>
    </row>
    <row r="36" spans="2:7" x14ac:dyDescent="0.25">
      <c r="B36" s="277" t="s">
        <v>77</v>
      </c>
      <c r="C36" s="278" t="s">
        <v>96</v>
      </c>
      <c r="D36" s="279" t="s">
        <v>126</v>
      </c>
      <c r="E36" s="319">
        <f>y1_sem_funding</f>
        <v>0</v>
      </c>
      <c r="F36" s="320">
        <f>y2_sem_funding</f>
        <v>0</v>
      </c>
    </row>
    <row r="37" spans="2:7" x14ac:dyDescent="0.25">
      <c r="B37" s="277" t="s">
        <v>79</v>
      </c>
      <c r="C37" s="278"/>
      <c r="D37" s="279" t="s">
        <v>127</v>
      </c>
      <c r="E37" s="366"/>
      <c r="F37" s="367"/>
    </row>
    <row r="38" spans="2:7" x14ac:dyDescent="0.25">
      <c r="B38" s="277" t="s">
        <v>603</v>
      </c>
      <c r="C38" s="278" t="s">
        <v>128</v>
      </c>
      <c r="D38" s="279" t="s">
        <v>129</v>
      </c>
      <c r="E38" s="321">
        <f>'Payment Tables'!D17</f>
        <v>0</v>
      </c>
      <c r="F38" s="314">
        <f>'Payment Tables'!E17</f>
        <v>0</v>
      </c>
    </row>
    <row r="39" spans="2:7" x14ac:dyDescent="0.25">
      <c r="B39" s="277" t="s">
        <v>617</v>
      </c>
      <c r="C39" s="278" t="s">
        <v>128</v>
      </c>
      <c r="D39" s="279" t="s">
        <v>130</v>
      </c>
      <c r="E39" s="313" t="str">
        <f>'Payment Tables'!D16</f>
        <v>Not Entered</v>
      </c>
      <c r="F39" s="312" t="str">
        <f>'Payment Tables'!E16</f>
        <v>Not Entered</v>
      </c>
    </row>
    <row r="40" spans="2:7" x14ac:dyDescent="0.25">
      <c r="B40" s="288" t="s">
        <v>81</v>
      </c>
      <c r="C40" s="291" t="s">
        <v>131</v>
      </c>
      <c r="D40" s="292" t="s">
        <v>132</v>
      </c>
      <c r="E40" s="368" t="e">
        <f>INDEX('Utility List'!$A:$A,MATCH('Project Information'!D6,'Utility List'!$B:$B,0))</f>
        <v>#N/A</v>
      </c>
      <c r="F40" s="369"/>
    </row>
    <row r="41" spans="2:7" ht="15.75" thickBot="1" x14ac:dyDescent="0.3">
      <c r="B41" s="289" t="s">
        <v>82</v>
      </c>
      <c r="C41" s="290" t="s">
        <v>133</v>
      </c>
      <c r="D41" s="293" t="s">
        <v>134</v>
      </c>
      <c r="E41" s="322" t="str">
        <f>IF(ISBLANK('Annual Completion Reports'!D40),"Not entered",'Annual Completion Reports'!D40)</f>
        <v>Not entered</v>
      </c>
      <c r="F41" s="282" t="str">
        <f>IF(ISBLANK('Annual Completion Reports'!G40),"Not entered",'Annual Completion Reports'!G40)</f>
        <v>Not entered</v>
      </c>
    </row>
  </sheetData>
  <mergeCells count="27">
    <mergeCell ref="E11:F11"/>
    <mergeCell ref="B1:F1"/>
    <mergeCell ref="E4:F4"/>
    <mergeCell ref="E5:F5"/>
    <mergeCell ref="E6:F6"/>
    <mergeCell ref="E9:F9"/>
    <mergeCell ref="E24:F24"/>
    <mergeCell ref="E13:F13"/>
    <mergeCell ref="E14:F14"/>
    <mergeCell ref="E15:F15"/>
    <mergeCell ref="E16:F16"/>
    <mergeCell ref="E17:F17"/>
    <mergeCell ref="E18:F18"/>
    <mergeCell ref="E19:F19"/>
    <mergeCell ref="E20:F20"/>
    <mergeCell ref="E21:F21"/>
    <mergeCell ref="E22:F22"/>
    <mergeCell ref="E23:F23"/>
    <mergeCell ref="E33:F33"/>
    <mergeCell ref="E37:F37"/>
    <mergeCell ref="E40:F40"/>
    <mergeCell ref="E25:F25"/>
    <mergeCell ref="E26:F26"/>
    <mergeCell ref="E27:F27"/>
    <mergeCell ref="E28:F28"/>
    <mergeCell ref="E31:F31"/>
    <mergeCell ref="E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25"/>
  <sheetViews>
    <sheetView showGridLines="0" topLeftCell="A19" workbookViewId="0">
      <selection activeCell="B29" sqref="B29"/>
    </sheetView>
  </sheetViews>
  <sheetFormatPr defaultColWidth="9.140625" defaultRowHeight="12.75" x14ac:dyDescent="0.2"/>
  <cols>
    <col min="1" max="1" width="8.5703125" style="42" customWidth="1"/>
    <col min="2" max="2" width="10.5703125" style="42" customWidth="1"/>
    <col min="3" max="3" width="87.140625" style="42" customWidth="1"/>
    <col min="4" max="16384" width="9.140625" style="42"/>
  </cols>
  <sheetData>
    <row r="1" spans="1:3" x14ac:dyDescent="0.2">
      <c r="A1" s="40"/>
      <c r="B1" s="41" t="s">
        <v>36</v>
      </c>
      <c r="C1" s="41"/>
    </row>
    <row r="2" spans="1:3" ht="15.75" customHeight="1" x14ac:dyDescent="0.2">
      <c r="A2" s="43" t="s">
        <v>135</v>
      </c>
      <c r="B2" s="44"/>
      <c r="C2" s="45">
        <f>MAX(A:A)</f>
        <v>8.1999999999999993</v>
      </c>
    </row>
    <row r="3" spans="1:3" ht="25.5" x14ac:dyDescent="0.2">
      <c r="A3" s="46" t="s">
        <v>136</v>
      </c>
      <c r="B3" s="47" t="s">
        <v>137</v>
      </c>
      <c r="C3" s="48" t="s">
        <v>138</v>
      </c>
    </row>
    <row r="4" spans="1:3" ht="76.5" x14ac:dyDescent="0.2">
      <c r="A4" s="49">
        <v>2</v>
      </c>
      <c r="B4" s="50"/>
      <c r="C4" s="15" t="s">
        <v>139</v>
      </c>
    </row>
    <row r="5" spans="1:3" ht="63.75" x14ac:dyDescent="0.2">
      <c r="A5" s="49">
        <v>2.1</v>
      </c>
      <c r="B5" s="50"/>
      <c r="C5" s="15" t="s">
        <v>140</v>
      </c>
    </row>
    <row r="6" spans="1:3" ht="25.5" x14ac:dyDescent="0.2">
      <c r="A6" s="49">
        <v>2.2000000000000002</v>
      </c>
      <c r="B6" s="50"/>
      <c r="C6" s="15" t="s">
        <v>141</v>
      </c>
    </row>
    <row r="7" spans="1:3" ht="76.5" x14ac:dyDescent="0.2">
      <c r="A7" s="49">
        <v>3</v>
      </c>
      <c r="B7" s="50"/>
      <c r="C7" s="15" t="s">
        <v>142</v>
      </c>
    </row>
    <row r="8" spans="1:3" ht="63.75" x14ac:dyDescent="0.2">
      <c r="A8" s="49">
        <v>4</v>
      </c>
      <c r="B8" s="50"/>
      <c r="C8" s="15" t="s">
        <v>143</v>
      </c>
    </row>
    <row r="9" spans="1:3" ht="51" x14ac:dyDescent="0.2">
      <c r="A9" s="51">
        <v>4.0999999999999996</v>
      </c>
      <c r="B9" s="50"/>
      <c r="C9" s="15" t="s">
        <v>144</v>
      </c>
    </row>
    <row r="10" spans="1:3" ht="89.25" x14ac:dyDescent="0.2">
      <c r="A10" s="51">
        <v>4.2</v>
      </c>
      <c r="B10" s="50"/>
      <c r="C10" s="15" t="s">
        <v>145</v>
      </c>
    </row>
    <row r="11" spans="1:3" ht="127.5" x14ac:dyDescent="0.2">
      <c r="A11" s="51">
        <v>4.3</v>
      </c>
      <c r="B11" s="50"/>
      <c r="C11" s="15" t="s">
        <v>146</v>
      </c>
    </row>
    <row r="12" spans="1:3" ht="25.5" x14ac:dyDescent="0.2">
      <c r="A12" s="51">
        <v>4.4000000000000004</v>
      </c>
      <c r="B12" s="50"/>
      <c r="C12" s="15" t="s">
        <v>147</v>
      </c>
    </row>
    <row r="13" spans="1:3" ht="76.5" x14ac:dyDescent="0.2">
      <c r="A13" s="49">
        <v>5</v>
      </c>
      <c r="B13" s="52">
        <v>41109</v>
      </c>
      <c r="C13" s="53" t="s">
        <v>618</v>
      </c>
    </row>
    <row r="14" spans="1:3" ht="63.75" x14ac:dyDescent="0.2">
      <c r="A14" s="49">
        <v>5</v>
      </c>
      <c r="B14" s="52">
        <v>41122</v>
      </c>
      <c r="C14" s="53" t="s">
        <v>619</v>
      </c>
    </row>
    <row r="15" spans="1:3" ht="51" x14ac:dyDescent="0.2">
      <c r="A15" s="49">
        <v>5</v>
      </c>
      <c r="B15" s="52">
        <v>41142</v>
      </c>
      <c r="C15" s="54" t="s">
        <v>148</v>
      </c>
    </row>
    <row r="16" spans="1:3" x14ac:dyDescent="0.2">
      <c r="A16" s="49">
        <v>6</v>
      </c>
      <c r="B16" s="55">
        <v>41913</v>
      </c>
      <c r="C16" s="50" t="s">
        <v>149</v>
      </c>
    </row>
    <row r="17" spans="1:3" x14ac:dyDescent="0.2">
      <c r="A17" s="49">
        <v>7</v>
      </c>
      <c r="B17" s="55">
        <v>42278</v>
      </c>
      <c r="C17" s="50" t="s">
        <v>150</v>
      </c>
    </row>
    <row r="18" spans="1:3" x14ac:dyDescent="0.2">
      <c r="A18" s="51">
        <v>7.1</v>
      </c>
      <c r="B18" s="55">
        <v>42321</v>
      </c>
      <c r="C18" s="50" t="s">
        <v>151</v>
      </c>
    </row>
    <row r="19" spans="1:3" x14ac:dyDescent="0.2">
      <c r="A19" s="51">
        <v>7.1</v>
      </c>
      <c r="B19" s="55">
        <v>43010</v>
      </c>
      <c r="C19" s="50" t="s">
        <v>152</v>
      </c>
    </row>
    <row r="20" spans="1:3" ht="153" x14ac:dyDescent="0.2">
      <c r="A20" s="56">
        <v>8</v>
      </c>
      <c r="B20" s="58">
        <v>43357</v>
      </c>
      <c r="C20" s="57" t="s">
        <v>583</v>
      </c>
    </row>
    <row r="21" spans="1:3" ht="207" customHeight="1" x14ac:dyDescent="0.2">
      <c r="A21" s="51">
        <v>8.1</v>
      </c>
      <c r="B21" s="52">
        <v>43672</v>
      </c>
      <c r="C21" s="227" t="s">
        <v>593</v>
      </c>
    </row>
    <row r="22" spans="1:3" ht="233.1" customHeight="1" x14ac:dyDescent="0.2">
      <c r="A22" s="51" t="s">
        <v>592</v>
      </c>
      <c r="B22" s="272">
        <v>43672</v>
      </c>
      <c r="C22" s="273" t="s">
        <v>594</v>
      </c>
    </row>
    <row r="23" spans="1:3" ht="63.75" x14ac:dyDescent="0.2">
      <c r="A23" s="271" t="s">
        <v>592</v>
      </c>
      <c r="B23" s="52">
        <v>43714</v>
      </c>
      <c r="C23" s="226" t="s">
        <v>604</v>
      </c>
    </row>
    <row r="24" spans="1:3" ht="12" customHeight="1" x14ac:dyDescent="0.2">
      <c r="A24" s="50">
        <v>8.1999999999999993</v>
      </c>
      <c r="B24" s="55">
        <v>44652</v>
      </c>
      <c r="C24" s="50" t="s">
        <v>630</v>
      </c>
    </row>
    <row r="25" spans="1:3" x14ac:dyDescent="0.2">
      <c r="A25" s="50" t="s">
        <v>632</v>
      </c>
      <c r="B25" s="55">
        <v>44659</v>
      </c>
      <c r="C25" s="50" t="s">
        <v>633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2"/>
  <sheetViews>
    <sheetView workbookViewId="0"/>
  </sheetViews>
  <sheetFormatPr defaultColWidth="9.140625" defaultRowHeight="15.75" x14ac:dyDescent="0.25"/>
  <cols>
    <col min="1" max="1" width="14.42578125" style="7" customWidth="1"/>
    <col min="2" max="2" width="32.85546875" style="7" customWidth="1"/>
    <col min="3" max="3" width="54.85546875" style="7" bestFit="1" customWidth="1"/>
    <col min="4" max="5" width="15.5703125" style="7" customWidth="1"/>
    <col min="6" max="6" width="8.5703125" style="7" customWidth="1"/>
    <col min="7" max="7" width="20.5703125" style="7" customWidth="1"/>
    <col min="8" max="8" width="15.5703125" style="7" bestFit="1" customWidth="1"/>
    <col min="9" max="9" width="11.42578125" style="7" customWidth="1"/>
    <col min="10" max="10" width="15.5703125" style="7" customWidth="1"/>
    <col min="11" max="11" width="9" style="6" bestFit="1" customWidth="1"/>
    <col min="12" max="16384" width="9.140625" style="6"/>
  </cols>
  <sheetData>
    <row r="1" spans="1:12" x14ac:dyDescent="0.25">
      <c r="B1" s="30"/>
    </row>
    <row r="2" spans="1:12" ht="23.25" x14ac:dyDescent="0.35">
      <c r="A2" s="31"/>
      <c r="B2" s="32" t="s">
        <v>158</v>
      </c>
      <c r="C2" s="31"/>
      <c r="D2" s="31"/>
      <c r="E2" s="31"/>
      <c r="F2" s="31"/>
      <c r="G2" s="31"/>
      <c r="H2" s="31"/>
      <c r="I2" s="31"/>
      <c r="J2" s="31"/>
      <c r="K2" s="31"/>
      <c r="L2" s="31"/>
    </row>
    <row r="4" spans="1:12" ht="63" x14ac:dyDescent="0.25">
      <c r="A4" s="33" t="s">
        <v>159</v>
      </c>
      <c r="B4" s="33" t="s">
        <v>160</v>
      </c>
      <c r="C4" s="33" t="s">
        <v>138</v>
      </c>
      <c r="D4" s="33" t="s">
        <v>161</v>
      </c>
      <c r="E4" s="33" t="s">
        <v>42</v>
      </c>
      <c r="F4" s="33" t="s">
        <v>162</v>
      </c>
      <c r="G4" s="33" t="s">
        <v>163</v>
      </c>
      <c r="H4" s="33" t="s">
        <v>164</v>
      </c>
      <c r="I4" s="33" t="s">
        <v>165</v>
      </c>
      <c r="J4" s="33" t="s">
        <v>166</v>
      </c>
      <c r="K4" s="33" t="s">
        <v>167</v>
      </c>
      <c r="L4" s="33" t="s">
        <v>168</v>
      </c>
    </row>
    <row r="5" spans="1:12" x14ac:dyDescent="0.25">
      <c r="A5" s="34" t="s">
        <v>169</v>
      </c>
      <c r="B5" s="34" t="s">
        <v>170</v>
      </c>
      <c r="C5" s="34" t="s">
        <v>171</v>
      </c>
      <c r="D5" s="34" t="s">
        <v>84</v>
      </c>
      <c r="E5" s="35">
        <v>0.08</v>
      </c>
      <c r="F5" s="36">
        <v>0.3</v>
      </c>
      <c r="G5" s="37">
        <v>2</v>
      </c>
      <c r="H5" s="38">
        <v>2</v>
      </c>
      <c r="I5" s="34"/>
      <c r="J5" s="38"/>
      <c r="K5" s="38"/>
      <c r="L5" s="39" t="s">
        <v>172</v>
      </c>
    </row>
    <row r="6" spans="1:12" x14ac:dyDescent="0.25">
      <c r="A6" s="34" t="s">
        <v>173</v>
      </c>
      <c r="B6" s="34" t="s">
        <v>174</v>
      </c>
      <c r="C6" s="34" t="s">
        <v>175</v>
      </c>
      <c r="D6" s="34" t="s">
        <v>84</v>
      </c>
      <c r="E6" s="35">
        <v>0.08</v>
      </c>
      <c r="F6" s="36">
        <v>0.3</v>
      </c>
      <c r="G6" s="38">
        <v>1</v>
      </c>
      <c r="H6" s="38">
        <v>1</v>
      </c>
      <c r="I6" s="34"/>
      <c r="J6" s="38"/>
      <c r="K6" s="38"/>
      <c r="L6" s="34" t="s">
        <v>172</v>
      </c>
    </row>
    <row r="7" spans="1:12" x14ac:dyDescent="0.25">
      <c r="A7" s="34" t="s">
        <v>176</v>
      </c>
      <c r="B7" s="34" t="s">
        <v>177</v>
      </c>
      <c r="C7" s="34" t="s">
        <v>178</v>
      </c>
      <c r="D7" s="34" t="s">
        <v>179</v>
      </c>
      <c r="E7" s="35">
        <v>0.04</v>
      </c>
      <c r="F7" s="36">
        <v>0.2</v>
      </c>
      <c r="G7" s="38">
        <v>3</v>
      </c>
      <c r="H7" s="38">
        <v>1</v>
      </c>
      <c r="I7" s="34"/>
      <c r="J7" s="38"/>
      <c r="K7" s="38"/>
      <c r="L7" s="34" t="s">
        <v>172</v>
      </c>
    </row>
    <row r="8" spans="1:12" x14ac:dyDescent="0.25">
      <c r="A8" s="34" t="s">
        <v>180</v>
      </c>
      <c r="B8" s="34" t="s">
        <v>181</v>
      </c>
      <c r="C8" s="34" t="s">
        <v>182</v>
      </c>
      <c r="D8" s="34" t="s">
        <v>84</v>
      </c>
      <c r="E8" s="35">
        <v>0.08</v>
      </c>
      <c r="F8" s="36">
        <v>0.3</v>
      </c>
      <c r="G8" s="38">
        <v>3</v>
      </c>
      <c r="H8" s="38">
        <v>1</v>
      </c>
      <c r="I8" s="39"/>
      <c r="J8" s="38"/>
      <c r="K8" s="38"/>
      <c r="L8" s="34" t="s">
        <v>172</v>
      </c>
    </row>
    <row r="9" spans="1:12" x14ac:dyDescent="0.25">
      <c r="A9" s="34" t="s">
        <v>183</v>
      </c>
      <c r="B9" s="34" t="s">
        <v>184</v>
      </c>
      <c r="C9" s="34" t="s">
        <v>185</v>
      </c>
      <c r="D9" s="34" t="s">
        <v>84</v>
      </c>
      <c r="E9" s="35">
        <v>0.08</v>
      </c>
      <c r="F9" s="36">
        <v>0.3</v>
      </c>
      <c r="G9" s="38">
        <v>1</v>
      </c>
      <c r="H9" s="38">
        <v>1</v>
      </c>
      <c r="I9" s="34"/>
      <c r="J9" s="38"/>
      <c r="K9" s="38"/>
      <c r="L9" s="34" t="s">
        <v>172</v>
      </c>
    </row>
    <row r="10" spans="1:12" x14ac:dyDescent="0.25">
      <c r="A10" s="34" t="s">
        <v>186</v>
      </c>
      <c r="B10" s="34" t="s">
        <v>187</v>
      </c>
      <c r="C10" s="34" t="s">
        <v>188</v>
      </c>
      <c r="D10" s="34" t="s">
        <v>179</v>
      </c>
      <c r="E10" s="35">
        <v>0.04</v>
      </c>
      <c r="F10" s="36">
        <v>0.2</v>
      </c>
      <c r="G10" s="38">
        <v>3</v>
      </c>
      <c r="H10" s="38">
        <v>1</v>
      </c>
      <c r="I10" s="34"/>
      <c r="J10" s="38"/>
      <c r="K10" s="38"/>
      <c r="L10" s="34" t="s">
        <v>172</v>
      </c>
    </row>
    <row r="11" spans="1:12" x14ac:dyDescent="0.25">
      <c r="A11" s="34" t="s">
        <v>189</v>
      </c>
      <c r="B11" s="34" t="s">
        <v>190</v>
      </c>
      <c r="C11" s="34" t="s">
        <v>191</v>
      </c>
      <c r="D11" s="34" t="s">
        <v>84</v>
      </c>
      <c r="E11" s="35">
        <v>0.08</v>
      </c>
      <c r="F11" s="36">
        <v>0.3</v>
      </c>
      <c r="G11" s="38">
        <v>3</v>
      </c>
      <c r="H11" s="38">
        <v>1</v>
      </c>
      <c r="I11" s="34"/>
      <c r="J11" s="38"/>
      <c r="K11" s="38"/>
      <c r="L11" s="34" t="s">
        <v>172</v>
      </c>
    </row>
    <row r="12" spans="1:12" x14ac:dyDescent="0.25">
      <c r="A12" s="34" t="s">
        <v>192</v>
      </c>
      <c r="B12" s="34" t="s">
        <v>193</v>
      </c>
      <c r="C12" s="34" t="s">
        <v>194</v>
      </c>
      <c r="D12" s="34" t="s">
        <v>84</v>
      </c>
      <c r="E12" s="35">
        <v>0.08</v>
      </c>
      <c r="F12" s="36">
        <v>0.3</v>
      </c>
      <c r="G12" s="38">
        <v>2</v>
      </c>
      <c r="H12" s="38">
        <v>2</v>
      </c>
      <c r="I12" s="34"/>
      <c r="J12" s="38"/>
      <c r="K12" s="38"/>
      <c r="L12" s="34" t="s">
        <v>172</v>
      </c>
    </row>
    <row r="13" spans="1:12" x14ac:dyDescent="0.25">
      <c r="A13" s="34" t="s">
        <v>195</v>
      </c>
      <c r="B13" s="34" t="s">
        <v>196</v>
      </c>
      <c r="C13" s="34" t="s">
        <v>197</v>
      </c>
      <c r="D13" s="34" t="s">
        <v>84</v>
      </c>
      <c r="E13" s="35">
        <v>0.08</v>
      </c>
      <c r="F13" s="36">
        <v>0.3</v>
      </c>
      <c r="G13" s="38">
        <v>1</v>
      </c>
      <c r="H13" s="38">
        <v>1</v>
      </c>
      <c r="I13" s="34" t="s">
        <v>198</v>
      </c>
      <c r="J13" s="38" t="s">
        <v>198</v>
      </c>
      <c r="K13" s="38"/>
      <c r="L13" s="34" t="s">
        <v>172</v>
      </c>
    </row>
    <row r="14" spans="1:12" x14ac:dyDescent="0.25">
      <c r="A14" s="34" t="s">
        <v>199</v>
      </c>
      <c r="B14" s="34" t="s">
        <v>200</v>
      </c>
      <c r="C14" s="34" t="s">
        <v>201</v>
      </c>
      <c r="D14" s="34" t="s">
        <v>84</v>
      </c>
      <c r="E14" s="35">
        <v>0.08</v>
      </c>
      <c r="F14" s="36">
        <v>0.3</v>
      </c>
      <c r="G14" s="38">
        <v>1</v>
      </c>
      <c r="H14" s="38">
        <v>1</v>
      </c>
      <c r="I14" s="34"/>
      <c r="J14" s="38"/>
      <c r="K14" s="38"/>
      <c r="L14" s="34" t="s">
        <v>172</v>
      </c>
    </row>
    <row r="15" spans="1:12" x14ac:dyDescent="0.25">
      <c r="A15" s="34" t="s">
        <v>202</v>
      </c>
      <c r="B15" s="34" t="s">
        <v>203</v>
      </c>
      <c r="C15" s="34" t="s">
        <v>204</v>
      </c>
      <c r="D15" s="34" t="s">
        <v>84</v>
      </c>
      <c r="E15" s="35">
        <v>0.08</v>
      </c>
      <c r="F15" s="36">
        <v>0.3</v>
      </c>
      <c r="G15" s="38">
        <v>1</v>
      </c>
      <c r="H15" s="38">
        <v>2</v>
      </c>
      <c r="I15" s="34"/>
      <c r="J15" s="38"/>
      <c r="K15" s="38"/>
      <c r="L15" s="34" t="s">
        <v>172</v>
      </c>
    </row>
    <row r="16" spans="1:12" x14ac:dyDescent="0.25">
      <c r="A16" s="34" t="s">
        <v>205</v>
      </c>
      <c r="B16" s="34" t="s">
        <v>206</v>
      </c>
      <c r="C16" s="34" t="s">
        <v>207</v>
      </c>
      <c r="D16" s="34" t="s">
        <v>172</v>
      </c>
      <c r="E16" s="35">
        <v>0.04</v>
      </c>
      <c r="F16" s="36">
        <v>0.2</v>
      </c>
      <c r="G16" s="38" t="s">
        <v>208</v>
      </c>
      <c r="H16" s="38" t="s">
        <v>209</v>
      </c>
      <c r="I16" s="34"/>
      <c r="J16" s="38"/>
      <c r="K16" s="38"/>
      <c r="L16" s="34" t="s">
        <v>172</v>
      </c>
    </row>
    <row r="17" spans="1:12" x14ac:dyDescent="0.25">
      <c r="A17" s="34" t="s">
        <v>210</v>
      </c>
      <c r="B17" s="34" t="s">
        <v>211</v>
      </c>
      <c r="C17" s="34" t="s">
        <v>212</v>
      </c>
      <c r="D17" s="34" t="s">
        <v>179</v>
      </c>
      <c r="E17" s="35">
        <v>0.04</v>
      </c>
      <c r="F17" s="36">
        <v>0.2</v>
      </c>
      <c r="G17" s="38">
        <v>2</v>
      </c>
      <c r="H17" s="38">
        <v>2</v>
      </c>
      <c r="I17" s="34"/>
      <c r="J17" s="38"/>
      <c r="K17" s="38"/>
      <c r="L17" s="34" t="s">
        <v>172</v>
      </c>
    </row>
    <row r="18" spans="1:12" x14ac:dyDescent="0.25">
      <c r="A18" s="34" t="s">
        <v>213</v>
      </c>
      <c r="B18" s="34" t="s">
        <v>214</v>
      </c>
      <c r="C18" s="34" t="s">
        <v>215</v>
      </c>
      <c r="D18" s="34" t="s">
        <v>179</v>
      </c>
      <c r="E18" s="35">
        <v>0.04</v>
      </c>
      <c r="F18" s="36">
        <v>0.2</v>
      </c>
      <c r="G18" s="38">
        <v>2</v>
      </c>
      <c r="H18" s="38">
        <v>1</v>
      </c>
      <c r="I18" s="34"/>
      <c r="J18" s="38"/>
      <c r="K18" s="38"/>
      <c r="L18" s="34" t="s">
        <v>172</v>
      </c>
    </row>
    <row r="19" spans="1:12" x14ac:dyDescent="0.25">
      <c r="A19" s="34" t="s">
        <v>216</v>
      </c>
      <c r="B19" s="34" t="s">
        <v>217</v>
      </c>
      <c r="C19" s="34" t="s">
        <v>218</v>
      </c>
      <c r="D19" s="34" t="s">
        <v>84</v>
      </c>
      <c r="E19" s="35">
        <v>0.08</v>
      </c>
      <c r="F19" s="36">
        <v>0.3</v>
      </c>
      <c r="G19" s="38">
        <v>1</v>
      </c>
      <c r="H19" s="38">
        <v>1</v>
      </c>
      <c r="I19" s="34"/>
      <c r="J19" s="38"/>
      <c r="K19" s="38"/>
      <c r="L19" s="34" t="s">
        <v>172</v>
      </c>
    </row>
    <row r="20" spans="1:12" x14ac:dyDescent="0.25">
      <c r="A20" s="34" t="s">
        <v>219</v>
      </c>
      <c r="B20" s="34" t="s">
        <v>220</v>
      </c>
      <c r="C20" s="34" t="s">
        <v>221</v>
      </c>
      <c r="D20" s="34" t="s">
        <v>84</v>
      </c>
      <c r="E20" s="35">
        <v>0.08</v>
      </c>
      <c r="F20" s="36">
        <v>0.3</v>
      </c>
      <c r="G20" s="38">
        <v>2</v>
      </c>
      <c r="H20" s="38">
        <v>2</v>
      </c>
      <c r="I20" s="34" t="s">
        <v>198</v>
      </c>
      <c r="J20" s="38" t="s">
        <v>198</v>
      </c>
      <c r="K20" s="38"/>
      <c r="L20" s="34" t="s">
        <v>172</v>
      </c>
    </row>
    <row r="21" spans="1:12" x14ac:dyDescent="0.25">
      <c r="A21" s="34" t="s">
        <v>222</v>
      </c>
      <c r="B21" s="34" t="s">
        <v>223</v>
      </c>
      <c r="C21" s="34" t="s">
        <v>224</v>
      </c>
      <c r="D21" s="34" t="s">
        <v>179</v>
      </c>
      <c r="E21" s="35">
        <v>0.04</v>
      </c>
      <c r="F21" s="36">
        <v>0.2</v>
      </c>
      <c r="G21" s="38">
        <v>1</v>
      </c>
      <c r="H21" s="38">
        <v>1</v>
      </c>
      <c r="I21" s="34"/>
      <c r="J21" s="38"/>
      <c r="K21" s="38"/>
      <c r="L21" s="34" t="s">
        <v>172</v>
      </c>
    </row>
    <row r="22" spans="1:12" x14ac:dyDescent="0.25">
      <c r="A22" s="34" t="s">
        <v>225</v>
      </c>
      <c r="B22" s="34" t="s">
        <v>226</v>
      </c>
      <c r="C22" s="34" t="s">
        <v>227</v>
      </c>
      <c r="D22" s="34" t="s">
        <v>179</v>
      </c>
      <c r="E22" s="35">
        <v>0.04</v>
      </c>
      <c r="F22" s="36">
        <v>0.2</v>
      </c>
      <c r="G22" s="38">
        <v>1</v>
      </c>
      <c r="H22" s="38">
        <v>1</v>
      </c>
      <c r="I22" s="34"/>
      <c r="J22" s="38"/>
      <c r="K22" s="38"/>
      <c r="L22" s="34" t="s">
        <v>172</v>
      </c>
    </row>
    <row r="23" spans="1:12" x14ac:dyDescent="0.25">
      <c r="A23" s="34" t="s">
        <v>228</v>
      </c>
      <c r="B23" s="34" t="s">
        <v>229</v>
      </c>
      <c r="C23" s="34" t="s">
        <v>230</v>
      </c>
      <c r="D23" s="34" t="s">
        <v>179</v>
      </c>
      <c r="E23" s="35">
        <v>0.04</v>
      </c>
      <c r="F23" s="36">
        <v>0.2</v>
      </c>
      <c r="G23" s="38">
        <v>3</v>
      </c>
      <c r="H23" s="38">
        <v>2</v>
      </c>
      <c r="I23" s="34"/>
      <c r="J23" s="38"/>
      <c r="K23" s="38"/>
      <c r="L23" s="34" t="s">
        <v>172</v>
      </c>
    </row>
    <row r="24" spans="1:12" x14ac:dyDescent="0.25">
      <c r="A24" s="34" t="s">
        <v>231</v>
      </c>
      <c r="B24" s="34" t="s">
        <v>232</v>
      </c>
      <c r="C24" s="34" t="s">
        <v>233</v>
      </c>
      <c r="D24" s="34" t="s">
        <v>84</v>
      </c>
      <c r="E24" s="35">
        <v>0.08</v>
      </c>
      <c r="F24" s="36">
        <v>0.3</v>
      </c>
      <c r="G24" s="38">
        <v>1</v>
      </c>
      <c r="H24" s="38">
        <v>2</v>
      </c>
      <c r="I24" s="34"/>
      <c r="J24" s="38"/>
      <c r="K24" s="38"/>
      <c r="L24" s="34" t="s">
        <v>172</v>
      </c>
    </row>
    <row r="25" spans="1:12" x14ac:dyDescent="0.25">
      <c r="A25" s="34" t="s">
        <v>234</v>
      </c>
      <c r="B25" s="34" t="s">
        <v>235</v>
      </c>
      <c r="C25" s="34" t="s">
        <v>236</v>
      </c>
      <c r="D25" s="34" t="s">
        <v>84</v>
      </c>
      <c r="E25" s="35">
        <v>0.08</v>
      </c>
      <c r="F25" s="36">
        <v>0.3</v>
      </c>
      <c r="G25" s="38">
        <v>1</v>
      </c>
      <c r="H25" s="38">
        <v>1</v>
      </c>
      <c r="I25" s="34"/>
      <c r="J25" s="38"/>
      <c r="K25" s="38"/>
      <c r="L25" s="34" t="s">
        <v>172</v>
      </c>
    </row>
    <row r="26" spans="1:12" x14ac:dyDescent="0.25">
      <c r="A26" s="34" t="s">
        <v>237</v>
      </c>
      <c r="B26" s="34" t="s">
        <v>238</v>
      </c>
      <c r="C26" s="34" t="s">
        <v>239</v>
      </c>
      <c r="D26" s="34" t="s">
        <v>179</v>
      </c>
      <c r="E26" s="35">
        <v>0.04</v>
      </c>
      <c r="F26" s="36">
        <v>0.2</v>
      </c>
      <c r="G26" s="38">
        <v>1</v>
      </c>
      <c r="H26" s="38">
        <v>1</v>
      </c>
      <c r="I26" s="34"/>
      <c r="J26" s="38"/>
      <c r="K26" s="38"/>
      <c r="L26" s="34" t="s">
        <v>172</v>
      </c>
    </row>
    <row r="27" spans="1:12" x14ac:dyDescent="0.25">
      <c r="A27" s="34" t="s">
        <v>240</v>
      </c>
      <c r="B27" s="34" t="s">
        <v>241</v>
      </c>
      <c r="C27" s="34" t="s">
        <v>242</v>
      </c>
      <c r="D27" s="34" t="s">
        <v>179</v>
      </c>
      <c r="E27" s="35">
        <v>0.04</v>
      </c>
      <c r="F27" s="36">
        <v>0.2</v>
      </c>
      <c r="G27" s="38">
        <v>1</v>
      </c>
      <c r="H27" s="38">
        <v>1</v>
      </c>
      <c r="I27" s="34"/>
      <c r="J27" s="38"/>
      <c r="K27" s="38"/>
      <c r="L27" s="34" t="s">
        <v>172</v>
      </c>
    </row>
    <row r="28" spans="1:12" x14ac:dyDescent="0.25">
      <c r="A28" s="34" t="s">
        <v>243</v>
      </c>
      <c r="B28" s="34" t="s">
        <v>244</v>
      </c>
      <c r="C28" s="34" t="s">
        <v>245</v>
      </c>
      <c r="D28" s="34" t="s">
        <v>84</v>
      </c>
      <c r="E28" s="35">
        <v>0.08</v>
      </c>
      <c r="F28" s="36">
        <v>0.3</v>
      </c>
      <c r="G28" s="38">
        <v>2</v>
      </c>
      <c r="H28" s="38">
        <v>2</v>
      </c>
      <c r="I28" s="34" t="s">
        <v>198</v>
      </c>
      <c r="J28" s="38" t="s">
        <v>198</v>
      </c>
      <c r="K28" s="38"/>
      <c r="L28" s="34" t="s">
        <v>172</v>
      </c>
    </row>
    <row r="29" spans="1:12" x14ac:dyDescent="0.25">
      <c r="A29" s="34" t="s">
        <v>246</v>
      </c>
      <c r="B29" s="34" t="s">
        <v>247</v>
      </c>
      <c r="C29" s="34" t="s">
        <v>248</v>
      </c>
      <c r="D29" s="34" t="s">
        <v>84</v>
      </c>
      <c r="E29" s="35">
        <v>0.08</v>
      </c>
      <c r="F29" s="36">
        <v>0.3</v>
      </c>
      <c r="G29" s="38">
        <v>2</v>
      </c>
      <c r="H29" s="38">
        <v>1</v>
      </c>
      <c r="I29" s="34"/>
      <c r="J29" s="38"/>
      <c r="K29" s="38"/>
      <c r="L29" s="34" t="s">
        <v>172</v>
      </c>
    </row>
    <row r="30" spans="1:12" x14ac:dyDescent="0.25">
      <c r="A30" s="34" t="s">
        <v>249</v>
      </c>
      <c r="B30" s="34" t="s">
        <v>250</v>
      </c>
      <c r="C30" s="34" t="s">
        <v>251</v>
      </c>
      <c r="D30" s="34" t="s">
        <v>84</v>
      </c>
      <c r="E30" s="35">
        <v>0.08</v>
      </c>
      <c r="F30" s="36">
        <v>0.3</v>
      </c>
      <c r="G30" s="38">
        <v>2</v>
      </c>
      <c r="H30" s="38">
        <v>2</v>
      </c>
      <c r="I30" s="34"/>
      <c r="J30" s="38"/>
      <c r="K30" s="38"/>
      <c r="L30" s="34" t="s">
        <v>172</v>
      </c>
    </row>
    <row r="31" spans="1:12" x14ac:dyDescent="0.25">
      <c r="A31" s="34" t="s">
        <v>252</v>
      </c>
      <c r="B31" s="34" t="s">
        <v>253</v>
      </c>
      <c r="C31" s="34" t="s">
        <v>254</v>
      </c>
      <c r="D31" s="34" t="s">
        <v>84</v>
      </c>
      <c r="E31" s="35">
        <v>0.08</v>
      </c>
      <c r="F31" s="36">
        <v>0.3</v>
      </c>
      <c r="G31" s="38">
        <v>3</v>
      </c>
      <c r="H31" s="38">
        <v>1</v>
      </c>
      <c r="I31" s="34"/>
      <c r="J31" s="38"/>
      <c r="K31" s="38"/>
      <c r="L31" s="34" t="s">
        <v>172</v>
      </c>
    </row>
    <row r="32" spans="1:12" x14ac:dyDescent="0.25">
      <c r="A32" s="34" t="s">
        <v>255</v>
      </c>
      <c r="B32" s="34" t="s">
        <v>256</v>
      </c>
      <c r="C32" s="34" t="s">
        <v>257</v>
      </c>
      <c r="D32" s="34" t="s">
        <v>179</v>
      </c>
      <c r="E32" s="35">
        <v>0.04</v>
      </c>
      <c r="F32" s="36">
        <v>0.2</v>
      </c>
      <c r="G32" s="38">
        <v>1</v>
      </c>
      <c r="H32" s="38">
        <v>1</v>
      </c>
      <c r="I32" s="34"/>
      <c r="J32" s="38"/>
      <c r="K32" s="38"/>
      <c r="L32" s="34" t="s">
        <v>172</v>
      </c>
    </row>
    <row r="33" spans="1:12" x14ac:dyDescent="0.25">
      <c r="A33" s="34" t="s">
        <v>258</v>
      </c>
      <c r="B33" s="34" t="s">
        <v>259</v>
      </c>
      <c r="C33" s="34" t="s">
        <v>260</v>
      </c>
      <c r="D33" s="34" t="s">
        <v>84</v>
      </c>
      <c r="E33" s="35">
        <v>0.08</v>
      </c>
      <c r="F33" s="36">
        <v>0.3</v>
      </c>
      <c r="G33" s="38">
        <v>2</v>
      </c>
      <c r="H33" s="38">
        <v>2</v>
      </c>
      <c r="I33" s="34"/>
      <c r="J33" s="38"/>
      <c r="K33" s="38"/>
      <c r="L33" s="34" t="s">
        <v>172</v>
      </c>
    </row>
    <row r="34" spans="1:12" x14ac:dyDescent="0.25">
      <c r="A34" s="34" t="s">
        <v>261</v>
      </c>
      <c r="B34" s="34" t="s">
        <v>262</v>
      </c>
      <c r="C34" s="34" t="s">
        <v>263</v>
      </c>
      <c r="D34" s="34" t="s">
        <v>84</v>
      </c>
      <c r="E34" s="35">
        <v>0.08</v>
      </c>
      <c r="F34" s="36">
        <v>0.3</v>
      </c>
      <c r="G34" s="38">
        <v>1</v>
      </c>
      <c r="H34" s="38">
        <v>1</v>
      </c>
      <c r="I34" s="34" t="s">
        <v>198</v>
      </c>
      <c r="J34" s="38" t="s">
        <v>198</v>
      </c>
      <c r="K34" s="38"/>
      <c r="L34" s="34" t="s">
        <v>172</v>
      </c>
    </row>
    <row r="35" spans="1:12" x14ac:dyDescent="0.25">
      <c r="A35" s="34" t="s">
        <v>264</v>
      </c>
      <c r="B35" s="34" t="s">
        <v>265</v>
      </c>
      <c r="C35" s="34" t="s">
        <v>266</v>
      </c>
      <c r="D35" s="34" t="s">
        <v>84</v>
      </c>
      <c r="E35" s="35">
        <v>0.08</v>
      </c>
      <c r="F35" s="36">
        <v>0.3</v>
      </c>
      <c r="G35" s="38">
        <v>2</v>
      </c>
      <c r="H35" s="38">
        <v>1</v>
      </c>
      <c r="I35" s="34" t="s">
        <v>198</v>
      </c>
      <c r="J35" s="38" t="s">
        <v>198</v>
      </c>
      <c r="K35" s="38"/>
      <c r="L35" s="34" t="s">
        <v>172</v>
      </c>
    </row>
    <row r="36" spans="1:12" x14ac:dyDescent="0.25">
      <c r="A36" s="34" t="s">
        <v>267</v>
      </c>
      <c r="B36" s="34" t="s">
        <v>268</v>
      </c>
      <c r="C36" s="34" t="s">
        <v>269</v>
      </c>
      <c r="D36" s="34" t="s">
        <v>84</v>
      </c>
      <c r="E36" s="35">
        <v>0.08</v>
      </c>
      <c r="F36" s="36">
        <v>0.3</v>
      </c>
      <c r="G36" s="38">
        <v>3</v>
      </c>
      <c r="H36" s="38">
        <v>2</v>
      </c>
      <c r="I36" s="34"/>
      <c r="J36" s="38"/>
      <c r="K36" s="38"/>
      <c r="L36" s="34" t="s">
        <v>172</v>
      </c>
    </row>
    <row r="37" spans="1:12" x14ac:dyDescent="0.25">
      <c r="A37" s="34" t="s">
        <v>270</v>
      </c>
      <c r="B37" s="34" t="s">
        <v>271</v>
      </c>
      <c r="C37" s="34" t="s">
        <v>272</v>
      </c>
      <c r="D37" s="34" t="s">
        <v>179</v>
      </c>
      <c r="E37" s="35">
        <v>0.04</v>
      </c>
      <c r="F37" s="36">
        <v>0.2</v>
      </c>
      <c r="G37" s="38">
        <v>1</v>
      </c>
      <c r="H37" s="38">
        <v>1</v>
      </c>
      <c r="I37" s="34"/>
      <c r="J37" s="38"/>
      <c r="K37" s="38"/>
      <c r="L37" s="34" t="s">
        <v>172</v>
      </c>
    </row>
    <row r="38" spans="1:12" x14ac:dyDescent="0.25">
      <c r="A38" s="34" t="s">
        <v>273</v>
      </c>
      <c r="B38" s="34" t="s">
        <v>274</v>
      </c>
      <c r="C38" s="34" t="s">
        <v>275</v>
      </c>
      <c r="D38" s="34" t="s">
        <v>84</v>
      </c>
      <c r="E38" s="35">
        <v>0.08</v>
      </c>
      <c r="F38" s="36">
        <v>0.3</v>
      </c>
      <c r="G38" s="38">
        <v>2</v>
      </c>
      <c r="H38" s="38">
        <v>2</v>
      </c>
      <c r="I38" s="34"/>
      <c r="J38" s="38"/>
      <c r="K38" s="38"/>
      <c r="L38" s="34" t="s">
        <v>172</v>
      </c>
    </row>
    <row r="39" spans="1:12" x14ac:dyDescent="0.25">
      <c r="A39" s="34" t="s">
        <v>276</v>
      </c>
      <c r="B39" s="34" t="s">
        <v>277</v>
      </c>
      <c r="C39" s="34" t="s">
        <v>278</v>
      </c>
      <c r="D39" s="34" t="s">
        <v>179</v>
      </c>
      <c r="E39" s="35">
        <v>0.04</v>
      </c>
      <c r="F39" s="36">
        <v>0.2</v>
      </c>
      <c r="G39" s="38">
        <v>3</v>
      </c>
      <c r="H39" s="38">
        <v>1</v>
      </c>
      <c r="I39" s="34"/>
      <c r="J39" s="38"/>
      <c r="K39" s="38"/>
      <c r="L39" s="34" t="s">
        <v>172</v>
      </c>
    </row>
    <row r="40" spans="1:12" x14ac:dyDescent="0.25">
      <c r="A40" s="34" t="s">
        <v>279</v>
      </c>
      <c r="B40" s="34" t="s">
        <v>280</v>
      </c>
      <c r="C40" s="34" t="s">
        <v>281</v>
      </c>
      <c r="D40" s="34" t="s">
        <v>84</v>
      </c>
      <c r="E40" s="35">
        <v>0.08</v>
      </c>
      <c r="F40" s="36">
        <v>0.3</v>
      </c>
      <c r="G40" s="38">
        <v>2</v>
      </c>
      <c r="H40" s="38">
        <v>1</v>
      </c>
      <c r="I40" s="34" t="s">
        <v>198</v>
      </c>
      <c r="J40" s="38" t="s">
        <v>198</v>
      </c>
      <c r="K40" s="38"/>
      <c r="L40" s="34" t="s">
        <v>172</v>
      </c>
    </row>
    <row r="41" spans="1:12" x14ac:dyDescent="0.25">
      <c r="A41" s="34" t="s">
        <v>282</v>
      </c>
      <c r="B41" s="34" t="s">
        <v>283</v>
      </c>
      <c r="C41" s="34" t="s">
        <v>284</v>
      </c>
      <c r="D41" s="34" t="s">
        <v>84</v>
      </c>
      <c r="E41" s="35">
        <v>0.08</v>
      </c>
      <c r="F41" s="36">
        <v>0.3</v>
      </c>
      <c r="G41" s="38">
        <v>2</v>
      </c>
      <c r="H41" s="38">
        <v>1</v>
      </c>
      <c r="I41" s="34"/>
      <c r="J41" s="38"/>
      <c r="K41" s="38"/>
      <c r="L41" s="34" t="s">
        <v>172</v>
      </c>
    </row>
    <row r="42" spans="1:12" x14ac:dyDescent="0.25">
      <c r="A42" s="34" t="s">
        <v>285</v>
      </c>
      <c r="B42" s="34" t="s">
        <v>286</v>
      </c>
      <c r="C42" s="34" t="s">
        <v>287</v>
      </c>
      <c r="D42" s="34" t="s">
        <v>84</v>
      </c>
      <c r="E42" s="35">
        <v>0.08</v>
      </c>
      <c r="F42" s="36">
        <v>0.3</v>
      </c>
      <c r="G42" s="38">
        <v>2</v>
      </c>
      <c r="H42" s="38">
        <v>2</v>
      </c>
      <c r="I42" s="34"/>
      <c r="J42" s="38"/>
      <c r="K42" s="38"/>
      <c r="L42" s="34" t="s">
        <v>172</v>
      </c>
    </row>
    <row r="43" spans="1:12" x14ac:dyDescent="0.25">
      <c r="A43" s="34" t="s">
        <v>288</v>
      </c>
      <c r="B43" s="34" t="s">
        <v>289</v>
      </c>
      <c r="C43" s="34" t="s">
        <v>290</v>
      </c>
      <c r="D43" s="34" t="s">
        <v>84</v>
      </c>
      <c r="E43" s="35">
        <v>0.08</v>
      </c>
      <c r="F43" s="36">
        <v>0.3</v>
      </c>
      <c r="G43" s="38">
        <v>1</v>
      </c>
      <c r="H43" s="38">
        <v>1</v>
      </c>
      <c r="I43" s="34"/>
      <c r="J43" s="38"/>
      <c r="K43" s="38"/>
      <c r="L43" s="34" t="s">
        <v>172</v>
      </c>
    </row>
    <row r="44" spans="1:12" x14ac:dyDescent="0.25">
      <c r="A44" s="34" t="s">
        <v>291</v>
      </c>
      <c r="B44" s="34" t="s">
        <v>292</v>
      </c>
      <c r="C44" s="34" t="s">
        <v>293</v>
      </c>
      <c r="D44" s="34" t="s">
        <v>179</v>
      </c>
      <c r="E44" s="35">
        <v>0.04</v>
      </c>
      <c r="F44" s="36">
        <v>0.2</v>
      </c>
      <c r="G44" s="38">
        <v>2</v>
      </c>
      <c r="H44" s="38">
        <v>2</v>
      </c>
      <c r="I44" s="34"/>
      <c r="J44" s="38"/>
      <c r="K44" s="38"/>
      <c r="L44" s="34" t="s">
        <v>172</v>
      </c>
    </row>
    <row r="45" spans="1:12" x14ac:dyDescent="0.25">
      <c r="A45" s="34" t="s">
        <v>294</v>
      </c>
      <c r="B45" s="34" t="s">
        <v>295</v>
      </c>
      <c r="C45" s="34" t="s">
        <v>296</v>
      </c>
      <c r="D45" s="34" t="s">
        <v>84</v>
      </c>
      <c r="E45" s="35">
        <v>0.08</v>
      </c>
      <c r="F45" s="36">
        <v>0.3</v>
      </c>
      <c r="G45" s="38">
        <v>1</v>
      </c>
      <c r="H45" s="38">
        <v>1</v>
      </c>
      <c r="I45" s="34"/>
      <c r="J45" s="38"/>
      <c r="K45" s="38"/>
      <c r="L45" s="34" t="s">
        <v>172</v>
      </c>
    </row>
    <row r="46" spans="1:12" x14ac:dyDescent="0.25">
      <c r="A46" s="34" t="s">
        <v>297</v>
      </c>
      <c r="B46" s="34" t="s">
        <v>298</v>
      </c>
      <c r="C46" s="34" t="s">
        <v>299</v>
      </c>
      <c r="D46" s="34" t="s">
        <v>179</v>
      </c>
      <c r="E46" s="35">
        <v>0.04</v>
      </c>
      <c r="F46" s="36">
        <v>0.2</v>
      </c>
      <c r="G46" s="38">
        <v>2</v>
      </c>
      <c r="H46" s="38">
        <v>1</v>
      </c>
      <c r="I46" s="34"/>
      <c r="J46" s="38"/>
      <c r="K46" s="38"/>
      <c r="L46" s="34" t="s">
        <v>172</v>
      </c>
    </row>
    <row r="47" spans="1:12" x14ac:dyDescent="0.25">
      <c r="A47" s="34" t="s">
        <v>300</v>
      </c>
      <c r="B47" s="34" t="s">
        <v>301</v>
      </c>
      <c r="C47" s="34" t="s">
        <v>301</v>
      </c>
      <c r="D47" s="34" t="s">
        <v>84</v>
      </c>
      <c r="E47" s="35">
        <v>0.08</v>
      </c>
      <c r="F47" s="36">
        <v>0.3</v>
      </c>
      <c r="G47" s="38">
        <v>3</v>
      </c>
      <c r="H47" s="38">
        <v>1</v>
      </c>
      <c r="I47" s="34"/>
      <c r="J47" s="38"/>
      <c r="K47" s="38"/>
      <c r="L47" s="34" t="s">
        <v>172</v>
      </c>
    </row>
    <row r="48" spans="1:12" x14ac:dyDescent="0.25">
      <c r="A48" s="34" t="s">
        <v>302</v>
      </c>
      <c r="B48" s="34" t="s">
        <v>303</v>
      </c>
      <c r="C48" s="34" t="s">
        <v>304</v>
      </c>
      <c r="D48" s="34" t="s">
        <v>179</v>
      </c>
      <c r="E48" s="35">
        <v>0.04</v>
      </c>
      <c r="F48" s="36">
        <v>0.2</v>
      </c>
      <c r="G48" s="38">
        <v>2</v>
      </c>
      <c r="H48" s="38">
        <v>1</v>
      </c>
      <c r="I48" s="34"/>
      <c r="J48" s="38"/>
      <c r="K48" s="38"/>
      <c r="L48" s="34" t="s">
        <v>84</v>
      </c>
    </row>
    <row r="49" spans="1:12" x14ac:dyDescent="0.25">
      <c r="A49" s="34" t="s">
        <v>305</v>
      </c>
      <c r="B49" s="34" t="s">
        <v>306</v>
      </c>
      <c r="C49" s="34" t="s">
        <v>307</v>
      </c>
      <c r="D49" s="34" t="s">
        <v>84</v>
      </c>
      <c r="E49" s="35">
        <v>0.08</v>
      </c>
      <c r="F49" s="36">
        <v>0.3</v>
      </c>
      <c r="G49" s="38">
        <v>2</v>
      </c>
      <c r="H49" s="38">
        <v>2</v>
      </c>
      <c r="I49" s="34"/>
      <c r="J49" s="38"/>
      <c r="K49" s="38"/>
      <c r="L49" s="34" t="s">
        <v>172</v>
      </c>
    </row>
    <row r="50" spans="1:12" x14ac:dyDescent="0.25">
      <c r="A50" s="34" t="s">
        <v>308</v>
      </c>
      <c r="B50" s="34" t="s">
        <v>309</v>
      </c>
      <c r="C50" s="34" t="s">
        <v>310</v>
      </c>
      <c r="D50" s="34" t="s">
        <v>84</v>
      </c>
      <c r="E50" s="35">
        <v>0.08</v>
      </c>
      <c r="F50" s="36">
        <v>0.3</v>
      </c>
      <c r="G50" s="38">
        <v>1</v>
      </c>
      <c r="H50" s="38">
        <v>3</v>
      </c>
      <c r="I50" s="34" t="s">
        <v>198</v>
      </c>
      <c r="J50" s="38" t="s">
        <v>198</v>
      </c>
      <c r="K50" s="38"/>
      <c r="L50" s="34" t="s">
        <v>172</v>
      </c>
    </row>
    <row r="51" spans="1:12" x14ac:dyDescent="0.25">
      <c r="A51" s="34" t="s">
        <v>311</v>
      </c>
      <c r="B51" s="34" t="s">
        <v>312</v>
      </c>
      <c r="C51" s="34" t="s">
        <v>313</v>
      </c>
      <c r="D51" s="34" t="s">
        <v>84</v>
      </c>
      <c r="E51" s="35">
        <v>0.08</v>
      </c>
      <c r="F51" s="36">
        <v>0.3</v>
      </c>
      <c r="G51" s="38">
        <v>2</v>
      </c>
      <c r="H51" s="38">
        <v>2</v>
      </c>
      <c r="I51" s="34"/>
      <c r="J51" s="38"/>
      <c r="K51" s="38"/>
      <c r="L51" s="34" t="s">
        <v>172</v>
      </c>
    </row>
    <row r="52" spans="1:12" x14ac:dyDescent="0.25">
      <c r="A52" s="34" t="s">
        <v>314</v>
      </c>
      <c r="B52" s="34" t="s">
        <v>315</v>
      </c>
      <c r="C52" s="34" t="s">
        <v>316</v>
      </c>
      <c r="D52" s="34" t="s">
        <v>84</v>
      </c>
      <c r="E52" s="35">
        <v>0.08</v>
      </c>
      <c r="F52" s="36">
        <v>0.3</v>
      </c>
      <c r="G52" s="38">
        <v>1</v>
      </c>
      <c r="H52" s="38">
        <v>3</v>
      </c>
      <c r="I52" s="34"/>
      <c r="J52" s="38"/>
      <c r="K52" s="38"/>
      <c r="L52" s="34" t="s">
        <v>172</v>
      </c>
    </row>
    <row r="53" spans="1:12" x14ac:dyDescent="0.25">
      <c r="A53" s="34" t="s">
        <v>317</v>
      </c>
      <c r="B53" s="34" t="s">
        <v>318</v>
      </c>
      <c r="C53" s="34" t="s">
        <v>319</v>
      </c>
      <c r="D53" s="34" t="s">
        <v>179</v>
      </c>
      <c r="E53" s="35">
        <v>0.04</v>
      </c>
      <c r="F53" s="36">
        <v>0.2</v>
      </c>
      <c r="G53" s="38">
        <v>1</v>
      </c>
      <c r="H53" s="38">
        <v>3</v>
      </c>
      <c r="I53" s="34"/>
      <c r="J53" s="38"/>
      <c r="K53" s="38"/>
      <c r="L53" s="34" t="s">
        <v>172</v>
      </c>
    </row>
    <row r="54" spans="1:12" x14ac:dyDescent="0.25">
      <c r="A54" s="34" t="s">
        <v>320</v>
      </c>
      <c r="B54" s="34" t="s">
        <v>321</v>
      </c>
      <c r="C54" s="34" t="s">
        <v>322</v>
      </c>
      <c r="D54" s="34" t="s">
        <v>179</v>
      </c>
      <c r="E54" s="35">
        <v>0.04</v>
      </c>
      <c r="F54" s="36">
        <v>0.2</v>
      </c>
      <c r="G54" s="38">
        <v>1</v>
      </c>
      <c r="H54" s="38">
        <v>1</v>
      </c>
      <c r="I54" s="34"/>
      <c r="J54" s="38"/>
      <c r="K54" s="38"/>
      <c r="L54" s="34" t="s">
        <v>172</v>
      </c>
    </row>
    <row r="55" spans="1:12" x14ac:dyDescent="0.25">
      <c r="A55" s="34" t="s">
        <v>323</v>
      </c>
      <c r="B55" s="34" t="s">
        <v>324</v>
      </c>
      <c r="C55" s="34" t="s">
        <v>325</v>
      </c>
      <c r="D55" s="34" t="s">
        <v>179</v>
      </c>
      <c r="E55" s="35">
        <v>0.04</v>
      </c>
      <c r="F55" s="36">
        <v>0.2</v>
      </c>
      <c r="G55" s="38">
        <v>3</v>
      </c>
      <c r="H55" s="38">
        <v>1</v>
      </c>
      <c r="I55" s="34"/>
      <c r="J55" s="38"/>
      <c r="K55" s="38"/>
      <c r="L55" s="34" t="s">
        <v>172</v>
      </c>
    </row>
    <row r="56" spans="1:12" x14ac:dyDescent="0.25">
      <c r="A56" s="34" t="s">
        <v>326</v>
      </c>
      <c r="B56" s="34" t="s">
        <v>327</v>
      </c>
      <c r="C56" s="34" t="s">
        <v>328</v>
      </c>
      <c r="D56" s="34" t="s">
        <v>84</v>
      </c>
      <c r="E56" s="35">
        <v>0.08</v>
      </c>
      <c r="F56" s="36">
        <v>0.3</v>
      </c>
      <c r="G56" s="38">
        <v>1</v>
      </c>
      <c r="H56" s="38">
        <v>3</v>
      </c>
      <c r="I56" s="34"/>
      <c r="J56" s="38"/>
      <c r="K56" s="38"/>
      <c r="L56" s="34" t="s">
        <v>172</v>
      </c>
    </row>
    <row r="57" spans="1:12" x14ac:dyDescent="0.25">
      <c r="A57" s="34" t="s">
        <v>329</v>
      </c>
      <c r="B57" s="34" t="s">
        <v>330</v>
      </c>
      <c r="C57" s="34" t="s">
        <v>331</v>
      </c>
      <c r="D57" s="34" t="s">
        <v>84</v>
      </c>
      <c r="E57" s="35">
        <v>0.08</v>
      </c>
      <c r="F57" s="36">
        <v>0.3</v>
      </c>
      <c r="G57" s="38">
        <v>3</v>
      </c>
      <c r="H57" s="38">
        <v>2</v>
      </c>
      <c r="I57" s="34"/>
      <c r="J57" s="38"/>
      <c r="K57" s="38"/>
      <c r="L57" s="34" t="s">
        <v>172</v>
      </c>
    </row>
    <row r="58" spans="1:12" x14ac:dyDescent="0.25">
      <c r="A58" s="34" t="s">
        <v>332</v>
      </c>
      <c r="B58" s="34" t="s">
        <v>333</v>
      </c>
      <c r="C58" s="34" t="s">
        <v>334</v>
      </c>
      <c r="D58" s="34" t="s">
        <v>179</v>
      </c>
      <c r="E58" s="35">
        <v>0.04</v>
      </c>
      <c r="F58" s="36">
        <v>0.2</v>
      </c>
      <c r="G58" s="38">
        <v>1</v>
      </c>
      <c r="H58" s="38">
        <v>1</v>
      </c>
      <c r="I58" s="34"/>
      <c r="J58" s="38"/>
      <c r="K58" s="38"/>
      <c r="L58" s="34" t="s">
        <v>172</v>
      </c>
    </row>
    <row r="59" spans="1:12" x14ac:dyDescent="0.25">
      <c r="A59" s="34" t="s">
        <v>335</v>
      </c>
      <c r="B59" s="34" t="s">
        <v>336</v>
      </c>
      <c r="C59" s="34" t="s">
        <v>337</v>
      </c>
      <c r="D59" s="34" t="s">
        <v>84</v>
      </c>
      <c r="E59" s="35">
        <v>0.08</v>
      </c>
      <c r="F59" s="36">
        <v>0.3</v>
      </c>
      <c r="G59" s="38">
        <v>3</v>
      </c>
      <c r="H59" s="38">
        <v>3</v>
      </c>
      <c r="I59" s="34"/>
      <c r="J59" s="38"/>
      <c r="K59" s="38"/>
      <c r="L59" s="34" t="s">
        <v>172</v>
      </c>
    </row>
    <row r="60" spans="1:12" x14ac:dyDescent="0.25">
      <c r="A60" s="34" t="s">
        <v>338</v>
      </c>
      <c r="B60" s="34" t="s">
        <v>339</v>
      </c>
      <c r="C60" s="34" t="s">
        <v>340</v>
      </c>
      <c r="D60" s="34" t="s">
        <v>179</v>
      </c>
      <c r="E60" s="35">
        <v>0.04</v>
      </c>
      <c r="F60" s="36">
        <v>0.2</v>
      </c>
      <c r="G60" s="38">
        <v>3</v>
      </c>
      <c r="H60" s="38">
        <v>1</v>
      </c>
      <c r="I60" s="34"/>
      <c r="J60" s="38"/>
      <c r="K60" s="38"/>
      <c r="L60" s="34" t="s">
        <v>172</v>
      </c>
    </row>
    <row r="61" spans="1:12" x14ac:dyDescent="0.25">
      <c r="A61" s="34" t="s">
        <v>341</v>
      </c>
      <c r="B61" s="34" t="s">
        <v>342</v>
      </c>
      <c r="C61" s="34" t="s">
        <v>343</v>
      </c>
      <c r="D61" s="34" t="s">
        <v>84</v>
      </c>
      <c r="E61" s="35">
        <v>0.08</v>
      </c>
      <c r="F61" s="36">
        <v>0.3</v>
      </c>
      <c r="G61" s="38">
        <v>2</v>
      </c>
      <c r="H61" s="38">
        <v>2</v>
      </c>
      <c r="I61" s="34"/>
      <c r="J61" s="38"/>
      <c r="K61" s="38"/>
      <c r="L61" s="34" t="s">
        <v>172</v>
      </c>
    </row>
    <row r="62" spans="1:12" x14ac:dyDescent="0.25">
      <c r="A62" s="34" t="s">
        <v>344</v>
      </c>
      <c r="B62" s="34" t="s">
        <v>345</v>
      </c>
      <c r="C62" s="34" t="s">
        <v>346</v>
      </c>
      <c r="D62" s="34" t="s">
        <v>179</v>
      </c>
      <c r="E62" s="35">
        <v>0.04</v>
      </c>
      <c r="F62" s="36">
        <v>0.2</v>
      </c>
      <c r="G62" s="38">
        <v>1</v>
      </c>
      <c r="H62" s="38">
        <v>1</v>
      </c>
      <c r="I62" s="34"/>
      <c r="J62" s="38"/>
      <c r="K62" s="38"/>
      <c r="L62" s="34" t="s">
        <v>172</v>
      </c>
    </row>
    <row r="63" spans="1:12" x14ac:dyDescent="0.25">
      <c r="A63" s="34" t="s">
        <v>347</v>
      </c>
      <c r="B63" s="34" t="s">
        <v>348</v>
      </c>
      <c r="C63" s="34" t="s">
        <v>349</v>
      </c>
      <c r="D63" s="34" t="s">
        <v>84</v>
      </c>
      <c r="E63" s="35">
        <v>0.08</v>
      </c>
      <c r="F63" s="36">
        <v>0.3</v>
      </c>
      <c r="G63" s="38">
        <v>1</v>
      </c>
      <c r="H63" s="38">
        <v>2</v>
      </c>
      <c r="I63" s="34"/>
      <c r="J63" s="38"/>
      <c r="K63" s="38"/>
      <c r="L63" s="34" t="s">
        <v>172</v>
      </c>
    </row>
    <row r="64" spans="1:12" x14ac:dyDescent="0.25">
      <c r="A64" s="34" t="s">
        <v>350</v>
      </c>
      <c r="B64" s="34" t="s">
        <v>351</v>
      </c>
      <c r="C64" s="34" t="s">
        <v>352</v>
      </c>
      <c r="D64" s="34" t="s">
        <v>179</v>
      </c>
      <c r="E64" s="35">
        <v>0.04</v>
      </c>
      <c r="F64" s="36">
        <v>0.2</v>
      </c>
      <c r="G64" s="38">
        <v>2</v>
      </c>
      <c r="H64" s="38">
        <v>3</v>
      </c>
      <c r="I64" s="34"/>
      <c r="J64" s="38"/>
      <c r="K64" s="38"/>
      <c r="L64" s="34" t="s">
        <v>172</v>
      </c>
    </row>
    <row r="65" spans="1:12" x14ac:dyDescent="0.25">
      <c r="A65" s="34" t="s">
        <v>353</v>
      </c>
      <c r="B65" s="34" t="s">
        <v>354</v>
      </c>
      <c r="C65" s="34" t="s">
        <v>355</v>
      </c>
      <c r="D65" s="34" t="s">
        <v>84</v>
      </c>
      <c r="E65" s="35">
        <v>0.08</v>
      </c>
      <c r="F65" s="36">
        <v>0.3</v>
      </c>
      <c r="G65" s="38">
        <v>2</v>
      </c>
      <c r="H65" s="38">
        <v>2</v>
      </c>
      <c r="I65" s="34"/>
      <c r="J65" s="38"/>
      <c r="K65" s="38"/>
      <c r="L65" s="34" t="s">
        <v>172</v>
      </c>
    </row>
    <row r="66" spans="1:12" x14ac:dyDescent="0.25">
      <c r="A66" s="34" t="s">
        <v>356</v>
      </c>
      <c r="B66" s="34" t="s">
        <v>357</v>
      </c>
      <c r="C66" s="34" t="s">
        <v>358</v>
      </c>
      <c r="D66" s="34" t="s">
        <v>179</v>
      </c>
      <c r="E66" s="35">
        <v>0</v>
      </c>
      <c r="F66" s="36">
        <v>0</v>
      </c>
      <c r="G66" s="38"/>
      <c r="H66" s="38"/>
      <c r="I66" s="34"/>
      <c r="J66" s="38"/>
      <c r="K66" s="38"/>
      <c r="L66" s="34" t="s">
        <v>172</v>
      </c>
    </row>
    <row r="67" spans="1:12" x14ac:dyDescent="0.25">
      <c r="A67" s="34" t="s">
        <v>359</v>
      </c>
      <c r="B67" s="34" t="s">
        <v>360</v>
      </c>
      <c r="C67" s="34" t="s">
        <v>361</v>
      </c>
      <c r="D67" s="34" t="s">
        <v>179</v>
      </c>
      <c r="E67" s="35">
        <v>0.04</v>
      </c>
      <c r="F67" s="36">
        <v>0.2</v>
      </c>
      <c r="G67" s="38">
        <v>1</v>
      </c>
      <c r="H67" s="38">
        <v>1</v>
      </c>
      <c r="I67" s="34"/>
      <c r="J67" s="38"/>
      <c r="K67" s="38"/>
      <c r="L67" s="34" t="s">
        <v>172</v>
      </c>
    </row>
    <row r="68" spans="1:12" x14ac:dyDescent="0.25">
      <c r="A68" s="34" t="s">
        <v>362</v>
      </c>
      <c r="B68" s="34" t="s">
        <v>363</v>
      </c>
      <c r="C68" s="34" t="s">
        <v>364</v>
      </c>
      <c r="D68" s="34" t="s">
        <v>84</v>
      </c>
      <c r="E68" s="35">
        <v>0.08</v>
      </c>
      <c r="F68" s="36">
        <v>0.3</v>
      </c>
      <c r="G68" s="38">
        <v>3</v>
      </c>
      <c r="H68" s="38">
        <v>2</v>
      </c>
      <c r="I68" s="34"/>
      <c r="J68" s="38"/>
      <c r="K68" s="38"/>
      <c r="L68" s="34" t="s">
        <v>172</v>
      </c>
    </row>
    <row r="69" spans="1:12" x14ac:dyDescent="0.25">
      <c r="A69" s="34" t="s">
        <v>365</v>
      </c>
      <c r="B69" s="34" t="s">
        <v>366</v>
      </c>
      <c r="C69" s="34" t="s">
        <v>367</v>
      </c>
      <c r="D69" s="34" t="s">
        <v>84</v>
      </c>
      <c r="E69" s="35">
        <v>0.08</v>
      </c>
      <c r="F69" s="36">
        <v>0.3</v>
      </c>
      <c r="G69" s="38">
        <v>2</v>
      </c>
      <c r="H69" s="38">
        <v>2</v>
      </c>
      <c r="I69" s="34"/>
      <c r="J69" s="38"/>
      <c r="K69" s="38"/>
      <c r="L69" s="34" t="s">
        <v>172</v>
      </c>
    </row>
    <row r="70" spans="1:12" x14ac:dyDescent="0.25">
      <c r="A70" s="34" t="s">
        <v>368</v>
      </c>
      <c r="B70" s="34" t="s">
        <v>369</v>
      </c>
      <c r="C70" s="34" t="s">
        <v>370</v>
      </c>
      <c r="D70" s="34" t="s">
        <v>84</v>
      </c>
      <c r="E70" s="35">
        <v>0.08</v>
      </c>
      <c r="F70" s="36">
        <v>0.3</v>
      </c>
      <c r="G70" s="38">
        <v>2</v>
      </c>
      <c r="H70" s="38">
        <v>2</v>
      </c>
      <c r="I70" s="34"/>
      <c r="J70" s="38"/>
      <c r="K70" s="38"/>
      <c r="L70" s="34" t="s">
        <v>172</v>
      </c>
    </row>
    <row r="71" spans="1:12" x14ac:dyDescent="0.25">
      <c r="A71" s="34" t="s">
        <v>371</v>
      </c>
      <c r="B71" s="34" t="s">
        <v>372</v>
      </c>
      <c r="C71" s="34" t="s">
        <v>373</v>
      </c>
      <c r="D71" s="34" t="s">
        <v>179</v>
      </c>
      <c r="E71" s="35">
        <v>0.04</v>
      </c>
      <c r="F71" s="36">
        <v>0.2</v>
      </c>
      <c r="G71" s="38">
        <v>2</v>
      </c>
      <c r="H71" s="38">
        <v>2</v>
      </c>
      <c r="I71" s="34"/>
      <c r="J71" s="38"/>
      <c r="K71" s="38"/>
      <c r="L71" s="34" t="s">
        <v>172</v>
      </c>
    </row>
    <row r="72" spans="1:12" x14ac:dyDescent="0.25">
      <c r="A72" s="34" t="s">
        <v>374</v>
      </c>
      <c r="B72" s="34" t="s">
        <v>375</v>
      </c>
      <c r="C72" s="34" t="s">
        <v>376</v>
      </c>
      <c r="D72" s="34" t="s">
        <v>179</v>
      </c>
      <c r="E72" s="35">
        <v>0.04</v>
      </c>
      <c r="F72" s="36">
        <v>0.2</v>
      </c>
      <c r="G72" s="38">
        <v>1</v>
      </c>
      <c r="H72" s="38">
        <v>1</v>
      </c>
      <c r="I72" s="34"/>
      <c r="J72" s="38"/>
      <c r="K72" s="38"/>
      <c r="L72" s="34" t="s">
        <v>172</v>
      </c>
    </row>
    <row r="73" spans="1:12" x14ac:dyDescent="0.25">
      <c r="A73" s="34" t="s">
        <v>377</v>
      </c>
      <c r="B73" s="34" t="s">
        <v>378</v>
      </c>
      <c r="C73" s="34" t="s">
        <v>379</v>
      </c>
      <c r="D73" s="34" t="s">
        <v>84</v>
      </c>
      <c r="E73" s="35">
        <v>0.08</v>
      </c>
      <c r="F73" s="36">
        <v>0.3</v>
      </c>
      <c r="G73" s="38">
        <v>2</v>
      </c>
      <c r="H73" s="38">
        <v>1</v>
      </c>
      <c r="I73" s="34" t="s">
        <v>198</v>
      </c>
      <c r="J73" s="38" t="s">
        <v>198</v>
      </c>
      <c r="K73" s="38"/>
      <c r="L73" s="34" t="s">
        <v>172</v>
      </c>
    </row>
    <row r="74" spans="1:12" x14ac:dyDescent="0.25">
      <c r="A74" s="34" t="s">
        <v>380</v>
      </c>
      <c r="B74" s="34" t="s">
        <v>381</v>
      </c>
      <c r="C74" s="34" t="s">
        <v>382</v>
      </c>
      <c r="D74" s="34" t="s">
        <v>84</v>
      </c>
      <c r="E74" s="35">
        <v>0.08</v>
      </c>
      <c r="F74" s="36">
        <v>0.3</v>
      </c>
      <c r="G74" s="38">
        <v>1</v>
      </c>
      <c r="H74" s="38">
        <v>1</v>
      </c>
      <c r="I74" s="34"/>
      <c r="J74" s="38"/>
      <c r="K74" s="38"/>
      <c r="L74" s="34" t="s">
        <v>172</v>
      </c>
    </row>
    <row r="75" spans="1:12" x14ac:dyDescent="0.25">
      <c r="A75" s="34" t="s">
        <v>383</v>
      </c>
      <c r="B75" s="34" t="s">
        <v>384</v>
      </c>
      <c r="C75" s="34" t="s">
        <v>385</v>
      </c>
      <c r="D75" s="34" t="s">
        <v>84</v>
      </c>
      <c r="E75" s="35">
        <v>0.08</v>
      </c>
      <c r="F75" s="36">
        <v>0.3</v>
      </c>
      <c r="G75" s="38">
        <v>1</v>
      </c>
      <c r="H75" s="38">
        <v>3</v>
      </c>
      <c r="I75" s="34" t="s">
        <v>198</v>
      </c>
      <c r="J75" s="38" t="s">
        <v>198</v>
      </c>
      <c r="K75" s="38"/>
      <c r="L75" s="34" t="s">
        <v>172</v>
      </c>
    </row>
    <row r="76" spans="1:12" x14ac:dyDescent="0.25">
      <c r="A76" s="34" t="s">
        <v>386</v>
      </c>
      <c r="B76" s="34" t="s">
        <v>387</v>
      </c>
      <c r="C76" s="34" t="s">
        <v>388</v>
      </c>
      <c r="D76" s="34" t="s">
        <v>84</v>
      </c>
      <c r="E76" s="35">
        <v>0.08</v>
      </c>
      <c r="F76" s="36">
        <v>0.3</v>
      </c>
      <c r="G76" s="38">
        <v>2</v>
      </c>
      <c r="H76" s="38">
        <v>3</v>
      </c>
      <c r="I76" s="34"/>
      <c r="J76" s="38"/>
      <c r="K76" s="38"/>
      <c r="L76" s="34" t="s">
        <v>172</v>
      </c>
    </row>
    <row r="77" spans="1:12" x14ac:dyDescent="0.25">
      <c r="A77" s="34" t="s">
        <v>389</v>
      </c>
      <c r="B77" s="34" t="s">
        <v>390</v>
      </c>
      <c r="C77" s="34" t="s">
        <v>391</v>
      </c>
      <c r="D77" s="34" t="s">
        <v>84</v>
      </c>
      <c r="E77" s="35">
        <v>0.08</v>
      </c>
      <c r="F77" s="36">
        <v>0.3</v>
      </c>
      <c r="G77" s="38">
        <v>1</v>
      </c>
      <c r="H77" s="38">
        <v>3</v>
      </c>
      <c r="I77" s="34"/>
      <c r="J77" s="38"/>
      <c r="K77" s="38"/>
      <c r="L77" s="34" t="s">
        <v>172</v>
      </c>
    </row>
    <row r="78" spans="1:12" x14ac:dyDescent="0.25">
      <c r="A78" s="34" t="s">
        <v>392</v>
      </c>
      <c r="B78" s="34" t="s">
        <v>393</v>
      </c>
      <c r="C78" s="34" t="s">
        <v>394</v>
      </c>
      <c r="D78" s="34" t="s">
        <v>84</v>
      </c>
      <c r="E78" s="35">
        <v>0.08</v>
      </c>
      <c r="F78" s="36">
        <v>0.3</v>
      </c>
      <c r="G78" s="38">
        <v>1</v>
      </c>
      <c r="H78" s="38">
        <v>1</v>
      </c>
      <c r="I78" s="34"/>
      <c r="J78" s="38"/>
      <c r="K78" s="38"/>
      <c r="L78" s="34" t="s">
        <v>172</v>
      </c>
    </row>
    <row r="79" spans="1:12" x14ac:dyDescent="0.25">
      <c r="A79" s="34" t="s">
        <v>395</v>
      </c>
      <c r="B79" s="34" t="s">
        <v>396</v>
      </c>
      <c r="C79" s="34" t="s">
        <v>397</v>
      </c>
      <c r="D79" s="34" t="s">
        <v>179</v>
      </c>
      <c r="E79" s="35">
        <v>0.04</v>
      </c>
      <c r="F79" s="36">
        <v>0.2</v>
      </c>
      <c r="G79" s="38">
        <v>1</v>
      </c>
      <c r="H79" s="38">
        <v>1</v>
      </c>
      <c r="I79" s="34"/>
      <c r="J79" s="38"/>
      <c r="K79" s="38"/>
      <c r="L79" s="34" t="s">
        <v>172</v>
      </c>
    </row>
    <row r="80" spans="1:12" x14ac:dyDescent="0.25">
      <c r="A80" s="34" t="s">
        <v>398</v>
      </c>
      <c r="B80" s="34" t="s">
        <v>399</v>
      </c>
      <c r="C80" s="34" t="s">
        <v>400</v>
      </c>
      <c r="D80" s="34" t="s">
        <v>84</v>
      </c>
      <c r="E80" s="35">
        <v>0.08</v>
      </c>
      <c r="F80" s="36">
        <v>0.3</v>
      </c>
      <c r="G80" s="38">
        <v>1</v>
      </c>
      <c r="H80" s="38">
        <v>1</v>
      </c>
      <c r="I80" s="34"/>
      <c r="J80" s="38"/>
      <c r="K80" s="38"/>
      <c r="L80" s="34" t="s">
        <v>172</v>
      </c>
    </row>
    <row r="81" spans="1:12" x14ac:dyDescent="0.25">
      <c r="A81" s="34" t="s">
        <v>401</v>
      </c>
      <c r="B81" s="34" t="s">
        <v>402</v>
      </c>
      <c r="C81" s="34" t="s">
        <v>403</v>
      </c>
      <c r="D81" s="34" t="s">
        <v>179</v>
      </c>
      <c r="E81" s="35">
        <v>0.04</v>
      </c>
      <c r="F81" s="36">
        <v>0.2</v>
      </c>
      <c r="G81" s="38">
        <v>1</v>
      </c>
      <c r="H81" s="38">
        <v>1</v>
      </c>
      <c r="I81" s="34"/>
      <c r="J81" s="38"/>
      <c r="K81" s="38"/>
      <c r="L81" s="34" t="s">
        <v>172</v>
      </c>
    </row>
    <row r="82" spans="1:12" x14ac:dyDescent="0.25">
      <c r="A82" s="34" t="s">
        <v>404</v>
      </c>
      <c r="B82" s="34" t="s">
        <v>405</v>
      </c>
      <c r="C82" s="34" t="s">
        <v>406</v>
      </c>
      <c r="D82" s="34" t="s">
        <v>84</v>
      </c>
      <c r="E82" s="35">
        <v>0.08</v>
      </c>
      <c r="F82" s="36">
        <v>0.3</v>
      </c>
      <c r="G82" s="38">
        <v>2</v>
      </c>
      <c r="H82" s="38">
        <v>2</v>
      </c>
      <c r="I82" s="34"/>
      <c r="J82" s="38"/>
      <c r="K82" s="38"/>
      <c r="L82" s="34" t="s">
        <v>172</v>
      </c>
    </row>
    <row r="83" spans="1:12" x14ac:dyDescent="0.25">
      <c r="A83" s="34" t="s">
        <v>407</v>
      </c>
      <c r="B83" s="34" t="s">
        <v>408</v>
      </c>
      <c r="C83" s="34" t="s">
        <v>409</v>
      </c>
      <c r="D83" s="34" t="s">
        <v>84</v>
      </c>
      <c r="E83" s="35">
        <v>0.08</v>
      </c>
      <c r="F83" s="36">
        <v>0.3</v>
      </c>
      <c r="G83" s="38">
        <v>1</v>
      </c>
      <c r="H83" s="38">
        <v>1</v>
      </c>
      <c r="I83" s="34"/>
      <c r="J83" s="38"/>
      <c r="K83" s="38"/>
      <c r="L83" s="34" t="s">
        <v>172</v>
      </c>
    </row>
    <row r="84" spans="1:12" x14ac:dyDescent="0.25">
      <c r="A84" s="34" t="s">
        <v>410</v>
      </c>
      <c r="B84" s="34" t="s">
        <v>411</v>
      </c>
      <c r="C84" s="34" t="s">
        <v>412</v>
      </c>
      <c r="D84" s="34" t="s">
        <v>84</v>
      </c>
      <c r="E84" s="35">
        <v>0.08</v>
      </c>
      <c r="F84" s="36">
        <v>0.3</v>
      </c>
      <c r="G84" s="38">
        <v>3</v>
      </c>
      <c r="H84" s="38">
        <v>1</v>
      </c>
      <c r="I84" s="34"/>
      <c r="J84" s="38"/>
      <c r="K84" s="38"/>
      <c r="L84" s="34" t="s">
        <v>172</v>
      </c>
    </row>
    <row r="85" spans="1:12" x14ac:dyDescent="0.25">
      <c r="A85" s="34" t="s">
        <v>413</v>
      </c>
      <c r="B85" s="34" t="s">
        <v>414</v>
      </c>
      <c r="C85" s="34" t="s">
        <v>415</v>
      </c>
      <c r="D85" s="34" t="s">
        <v>84</v>
      </c>
      <c r="E85" s="35">
        <v>0.08</v>
      </c>
      <c r="F85" s="36">
        <v>0.3</v>
      </c>
      <c r="G85" s="38">
        <v>2</v>
      </c>
      <c r="H85" s="38">
        <v>2</v>
      </c>
      <c r="I85" s="34"/>
      <c r="J85" s="38"/>
      <c r="K85" s="38"/>
      <c r="L85" s="34" t="s">
        <v>172</v>
      </c>
    </row>
    <row r="86" spans="1:12" x14ac:dyDescent="0.25">
      <c r="A86" s="34" t="s">
        <v>416</v>
      </c>
      <c r="B86" s="34" t="s">
        <v>417</v>
      </c>
      <c r="C86" s="34" t="s">
        <v>418</v>
      </c>
      <c r="D86" s="34" t="s">
        <v>84</v>
      </c>
      <c r="E86" s="35">
        <v>0.08</v>
      </c>
      <c r="F86" s="36">
        <v>0.3</v>
      </c>
      <c r="G86" s="38">
        <v>1</v>
      </c>
      <c r="H86" s="38">
        <v>2</v>
      </c>
      <c r="I86" s="34"/>
      <c r="J86" s="38"/>
      <c r="K86" s="38"/>
      <c r="L86" s="34" t="s">
        <v>172</v>
      </c>
    </row>
    <row r="87" spans="1:12" x14ac:dyDescent="0.25">
      <c r="A87" s="34" t="s">
        <v>419</v>
      </c>
      <c r="B87" s="34" t="s">
        <v>420</v>
      </c>
      <c r="C87" s="34" t="s">
        <v>421</v>
      </c>
      <c r="D87" s="34" t="s">
        <v>84</v>
      </c>
      <c r="E87" s="35">
        <v>0.08</v>
      </c>
      <c r="F87" s="36">
        <v>0.3</v>
      </c>
      <c r="G87" s="38">
        <v>2</v>
      </c>
      <c r="H87" s="38">
        <v>3</v>
      </c>
      <c r="I87" s="34"/>
      <c r="J87" s="38"/>
      <c r="K87" s="38"/>
      <c r="L87" s="34" t="s">
        <v>172</v>
      </c>
    </row>
    <row r="88" spans="1:12" x14ac:dyDescent="0.25">
      <c r="A88" s="34" t="s">
        <v>422</v>
      </c>
      <c r="B88" s="34" t="s">
        <v>423</v>
      </c>
      <c r="C88" s="34" t="s">
        <v>424</v>
      </c>
      <c r="D88" s="34" t="s">
        <v>179</v>
      </c>
      <c r="E88" s="35">
        <v>0.04</v>
      </c>
      <c r="F88" s="36">
        <v>0.2</v>
      </c>
      <c r="G88" s="38">
        <v>3</v>
      </c>
      <c r="H88" s="38">
        <v>2</v>
      </c>
      <c r="I88" s="34"/>
      <c r="J88" s="38"/>
      <c r="K88" s="38"/>
      <c r="L88" s="34" t="s">
        <v>172</v>
      </c>
    </row>
    <row r="89" spans="1:12" x14ac:dyDescent="0.25">
      <c r="A89" s="34" t="s">
        <v>425</v>
      </c>
      <c r="B89" s="34" t="s">
        <v>426</v>
      </c>
      <c r="C89" s="34" t="s">
        <v>427</v>
      </c>
      <c r="D89" s="34" t="s">
        <v>84</v>
      </c>
      <c r="E89" s="35">
        <v>0.08</v>
      </c>
      <c r="F89" s="36">
        <v>0.3</v>
      </c>
      <c r="G89" s="38">
        <v>2</v>
      </c>
      <c r="H89" s="38">
        <v>1</v>
      </c>
      <c r="I89" s="34"/>
      <c r="J89" s="38"/>
      <c r="K89" s="38"/>
      <c r="L89" s="34" t="s">
        <v>172</v>
      </c>
    </row>
    <row r="90" spans="1:12" x14ac:dyDescent="0.25">
      <c r="A90" s="34" t="s">
        <v>428</v>
      </c>
      <c r="B90" s="34" t="s">
        <v>429</v>
      </c>
      <c r="C90" s="34" t="s">
        <v>430</v>
      </c>
      <c r="D90" s="34" t="s">
        <v>84</v>
      </c>
      <c r="E90" s="35">
        <v>0.08</v>
      </c>
      <c r="F90" s="36">
        <v>0.3</v>
      </c>
      <c r="G90" s="38">
        <v>2</v>
      </c>
      <c r="H90" s="38">
        <v>2</v>
      </c>
      <c r="I90" s="34"/>
      <c r="J90" s="38"/>
      <c r="K90" s="38"/>
      <c r="L90" s="34" t="s">
        <v>172</v>
      </c>
    </row>
    <row r="91" spans="1:12" x14ac:dyDescent="0.25">
      <c r="A91" s="34" t="s">
        <v>431</v>
      </c>
      <c r="B91" s="34" t="s">
        <v>432</v>
      </c>
      <c r="C91" s="34" t="s">
        <v>433</v>
      </c>
      <c r="D91" s="34" t="s">
        <v>84</v>
      </c>
      <c r="E91" s="35">
        <v>0.08</v>
      </c>
      <c r="F91" s="36">
        <v>0.3</v>
      </c>
      <c r="G91" s="38">
        <v>2</v>
      </c>
      <c r="H91" s="38">
        <v>1</v>
      </c>
      <c r="I91" s="34"/>
      <c r="J91" s="38"/>
      <c r="K91" s="38"/>
      <c r="L91" s="34" t="s">
        <v>172</v>
      </c>
    </row>
    <row r="92" spans="1:12" x14ac:dyDescent="0.25">
      <c r="A92" s="34" t="s">
        <v>434</v>
      </c>
      <c r="B92" s="34" t="s">
        <v>435</v>
      </c>
      <c r="C92" s="34" t="s">
        <v>436</v>
      </c>
      <c r="D92" s="34" t="s">
        <v>84</v>
      </c>
      <c r="E92" s="35">
        <v>0.08</v>
      </c>
      <c r="F92" s="36">
        <v>0.3</v>
      </c>
      <c r="G92" s="38">
        <v>1</v>
      </c>
      <c r="H92" s="38">
        <v>2</v>
      </c>
      <c r="I92" s="34" t="s">
        <v>198</v>
      </c>
      <c r="J92" s="38" t="s">
        <v>198</v>
      </c>
      <c r="K92" s="38"/>
      <c r="L92" s="34" t="s">
        <v>172</v>
      </c>
    </row>
    <row r="93" spans="1:12" x14ac:dyDescent="0.25">
      <c r="A93" s="34" t="s">
        <v>437</v>
      </c>
      <c r="B93" s="34" t="s">
        <v>438</v>
      </c>
      <c r="C93" s="34" t="s">
        <v>439</v>
      </c>
      <c r="D93" s="34" t="s">
        <v>179</v>
      </c>
      <c r="E93" s="35">
        <v>0.04</v>
      </c>
      <c r="F93" s="36">
        <v>0.2</v>
      </c>
      <c r="G93" s="38">
        <v>3</v>
      </c>
      <c r="H93" s="38">
        <v>1</v>
      </c>
      <c r="I93" s="34"/>
      <c r="J93" s="38"/>
      <c r="K93" s="38"/>
      <c r="L93" s="34" t="s">
        <v>172</v>
      </c>
    </row>
    <row r="94" spans="1:12" x14ac:dyDescent="0.25">
      <c r="A94" s="34" t="s">
        <v>440</v>
      </c>
      <c r="B94" s="34" t="s">
        <v>441</v>
      </c>
      <c r="C94" s="34" t="s">
        <v>442</v>
      </c>
      <c r="D94" s="34" t="s">
        <v>84</v>
      </c>
      <c r="E94" s="35">
        <v>0.08</v>
      </c>
      <c r="F94" s="36">
        <v>0.3</v>
      </c>
      <c r="G94" s="38">
        <v>1</v>
      </c>
      <c r="H94" s="38">
        <v>1</v>
      </c>
      <c r="I94" s="34"/>
      <c r="J94" s="38"/>
      <c r="K94" s="38"/>
      <c r="L94" s="34" t="s">
        <v>172</v>
      </c>
    </row>
    <row r="95" spans="1:12" x14ac:dyDescent="0.25">
      <c r="A95" s="34" t="s">
        <v>443</v>
      </c>
      <c r="B95" s="34" t="s">
        <v>444</v>
      </c>
      <c r="C95" s="34" t="s">
        <v>445</v>
      </c>
      <c r="D95" s="34" t="s">
        <v>84</v>
      </c>
      <c r="E95" s="35">
        <v>0.08</v>
      </c>
      <c r="F95" s="36">
        <v>0.3</v>
      </c>
      <c r="G95" s="38">
        <v>2</v>
      </c>
      <c r="H95" s="38">
        <v>2</v>
      </c>
      <c r="I95" s="34" t="s">
        <v>198</v>
      </c>
      <c r="J95" s="38" t="s">
        <v>198</v>
      </c>
      <c r="K95" s="38"/>
      <c r="L95" s="34" t="s">
        <v>172</v>
      </c>
    </row>
    <row r="96" spans="1:12" x14ac:dyDescent="0.25">
      <c r="A96" s="34" t="s">
        <v>446</v>
      </c>
      <c r="B96" s="34" t="s">
        <v>447</v>
      </c>
      <c r="C96" s="34" t="s">
        <v>448</v>
      </c>
      <c r="D96" s="34" t="s">
        <v>179</v>
      </c>
      <c r="E96" s="35">
        <v>0.04</v>
      </c>
      <c r="F96" s="36">
        <v>0.2</v>
      </c>
      <c r="G96" s="38">
        <v>2</v>
      </c>
      <c r="H96" s="38">
        <v>2</v>
      </c>
      <c r="I96" s="34"/>
      <c r="J96" s="38"/>
      <c r="K96" s="38"/>
      <c r="L96" s="34" t="s">
        <v>172</v>
      </c>
    </row>
    <row r="97" spans="1:12" x14ac:dyDescent="0.25">
      <c r="A97" s="34" t="s">
        <v>449</v>
      </c>
      <c r="B97" s="34" t="s">
        <v>450</v>
      </c>
      <c r="C97" s="34" t="s">
        <v>451</v>
      </c>
      <c r="D97" s="34" t="s">
        <v>84</v>
      </c>
      <c r="E97" s="35">
        <v>0.08</v>
      </c>
      <c r="F97" s="36">
        <v>0.3</v>
      </c>
      <c r="G97" s="38">
        <v>1</v>
      </c>
      <c r="H97" s="38">
        <v>1</v>
      </c>
      <c r="I97" s="34" t="s">
        <v>198</v>
      </c>
      <c r="J97" s="38" t="s">
        <v>198</v>
      </c>
      <c r="K97" s="38"/>
      <c r="L97" s="34" t="s">
        <v>172</v>
      </c>
    </row>
    <row r="98" spans="1:12" x14ac:dyDescent="0.25">
      <c r="A98" s="34" t="s">
        <v>452</v>
      </c>
      <c r="B98" s="34" t="s">
        <v>453</v>
      </c>
      <c r="C98" s="34" t="s">
        <v>454</v>
      </c>
      <c r="D98" s="34" t="s">
        <v>179</v>
      </c>
      <c r="E98" s="35">
        <v>0.04</v>
      </c>
      <c r="F98" s="36">
        <v>0.2</v>
      </c>
      <c r="G98" s="38">
        <v>2</v>
      </c>
      <c r="H98" s="38">
        <v>2</v>
      </c>
      <c r="I98" s="34"/>
      <c r="J98" s="38"/>
      <c r="K98" s="38"/>
      <c r="L98" s="34" t="s">
        <v>172</v>
      </c>
    </row>
    <row r="99" spans="1:12" x14ac:dyDescent="0.25">
      <c r="A99" s="34" t="s">
        <v>455</v>
      </c>
      <c r="B99" s="34" t="s">
        <v>456</v>
      </c>
      <c r="C99" s="34" t="s">
        <v>457</v>
      </c>
      <c r="D99" s="34" t="s">
        <v>179</v>
      </c>
      <c r="E99" s="35">
        <v>0.04</v>
      </c>
      <c r="F99" s="36">
        <v>0.2</v>
      </c>
      <c r="G99" s="38">
        <v>1</v>
      </c>
      <c r="H99" s="38">
        <v>1</v>
      </c>
      <c r="I99" s="34"/>
      <c r="J99" s="38"/>
      <c r="K99" s="38"/>
      <c r="L99" s="34" t="s">
        <v>172</v>
      </c>
    </row>
    <row r="100" spans="1:12" x14ac:dyDescent="0.25">
      <c r="A100" s="34" t="s">
        <v>458</v>
      </c>
      <c r="B100" s="34" t="s">
        <v>459</v>
      </c>
      <c r="C100" s="34" t="s">
        <v>460</v>
      </c>
      <c r="D100" s="34" t="s">
        <v>179</v>
      </c>
      <c r="E100" s="35">
        <v>0.04</v>
      </c>
      <c r="F100" s="36">
        <v>0.2</v>
      </c>
      <c r="G100" s="38">
        <v>1</v>
      </c>
      <c r="H100" s="38">
        <v>1</v>
      </c>
      <c r="I100" s="34"/>
      <c r="J100" s="38"/>
      <c r="K100" s="38"/>
      <c r="L100" s="34" t="s">
        <v>172</v>
      </c>
    </row>
    <row r="101" spans="1:12" x14ac:dyDescent="0.25">
      <c r="A101" s="34" t="s">
        <v>461</v>
      </c>
      <c r="B101" s="34" t="s">
        <v>462</v>
      </c>
      <c r="C101" s="34" t="s">
        <v>463</v>
      </c>
      <c r="D101" s="34" t="s">
        <v>84</v>
      </c>
      <c r="E101" s="35">
        <v>0.08</v>
      </c>
      <c r="F101" s="36">
        <v>0.3</v>
      </c>
      <c r="G101" s="38">
        <v>1</v>
      </c>
      <c r="H101" s="38">
        <v>2</v>
      </c>
      <c r="I101" s="34"/>
      <c r="J101" s="38"/>
      <c r="K101" s="38"/>
      <c r="L101" s="34" t="s">
        <v>172</v>
      </c>
    </row>
    <row r="102" spans="1:12" x14ac:dyDescent="0.25">
      <c r="A102" s="34" t="s">
        <v>464</v>
      </c>
      <c r="B102" s="34" t="s">
        <v>465</v>
      </c>
      <c r="C102" s="34" t="s">
        <v>466</v>
      </c>
      <c r="D102" s="34" t="s">
        <v>84</v>
      </c>
      <c r="E102" s="35">
        <v>0.08</v>
      </c>
      <c r="F102" s="36">
        <v>0.3</v>
      </c>
      <c r="G102" s="38">
        <v>1</v>
      </c>
      <c r="H102" s="38">
        <v>1</v>
      </c>
      <c r="I102" s="34"/>
      <c r="J102" s="38"/>
      <c r="K102" s="38"/>
      <c r="L102" s="34" t="s">
        <v>172</v>
      </c>
    </row>
    <row r="103" spans="1:12" x14ac:dyDescent="0.25">
      <c r="A103" s="34" t="s">
        <v>467</v>
      </c>
      <c r="B103" s="34" t="s">
        <v>468</v>
      </c>
      <c r="C103" s="34" t="s">
        <v>469</v>
      </c>
      <c r="D103" s="34" t="s">
        <v>84</v>
      </c>
      <c r="E103" s="35">
        <v>0.08</v>
      </c>
      <c r="F103" s="36">
        <v>0.3</v>
      </c>
      <c r="G103" s="38">
        <v>2</v>
      </c>
      <c r="H103" s="38">
        <v>2</v>
      </c>
      <c r="I103" s="34"/>
      <c r="J103" s="38"/>
      <c r="K103" s="38"/>
      <c r="L103" s="34" t="s">
        <v>172</v>
      </c>
    </row>
    <row r="104" spans="1:12" x14ac:dyDescent="0.25">
      <c r="A104" s="34" t="s">
        <v>470</v>
      </c>
      <c r="B104" s="34" t="s">
        <v>198</v>
      </c>
      <c r="C104" s="34" t="s">
        <v>471</v>
      </c>
      <c r="D104" s="34" t="s">
        <v>84</v>
      </c>
      <c r="E104" s="35">
        <v>0.08</v>
      </c>
      <c r="F104" s="36">
        <v>0.3</v>
      </c>
      <c r="G104" s="38" t="s">
        <v>208</v>
      </c>
      <c r="H104" s="38" t="s">
        <v>209</v>
      </c>
      <c r="I104" s="34"/>
      <c r="J104" s="38"/>
      <c r="K104" s="38"/>
      <c r="L104" s="34" t="s">
        <v>172</v>
      </c>
    </row>
    <row r="105" spans="1:12" x14ac:dyDescent="0.25">
      <c r="A105" s="34" t="s">
        <v>472</v>
      </c>
      <c r="B105" s="34" t="s">
        <v>473</v>
      </c>
      <c r="C105" s="34" t="s">
        <v>474</v>
      </c>
      <c r="D105" s="34" t="s">
        <v>179</v>
      </c>
      <c r="E105" s="35">
        <v>0.04</v>
      </c>
      <c r="F105" s="36">
        <v>0.2</v>
      </c>
      <c r="G105" s="38">
        <v>1</v>
      </c>
      <c r="H105" s="38">
        <v>1</v>
      </c>
      <c r="I105" s="34"/>
      <c r="J105" s="38"/>
      <c r="K105" s="38"/>
      <c r="L105" s="34" t="s">
        <v>172</v>
      </c>
    </row>
    <row r="106" spans="1:12" x14ac:dyDescent="0.25">
      <c r="A106" s="34" t="s">
        <v>475</v>
      </c>
      <c r="B106" s="34" t="s">
        <v>476</v>
      </c>
      <c r="C106" s="34" t="s">
        <v>477</v>
      </c>
      <c r="D106" s="34" t="s">
        <v>179</v>
      </c>
      <c r="E106" s="35">
        <v>0.04</v>
      </c>
      <c r="F106" s="36">
        <v>0.2</v>
      </c>
      <c r="G106" s="38">
        <v>1</v>
      </c>
      <c r="H106" s="38">
        <v>1</v>
      </c>
      <c r="I106" s="34"/>
      <c r="J106" s="38"/>
      <c r="K106" s="38"/>
      <c r="L106" s="34" t="s">
        <v>172</v>
      </c>
    </row>
    <row r="107" spans="1:12" x14ac:dyDescent="0.25">
      <c r="A107" s="34" t="s">
        <v>478</v>
      </c>
      <c r="B107" s="34" t="s">
        <v>479</v>
      </c>
      <c r="C107" s="34" t="s">
        <v>480</v>
      </c>
      <c r="D107" s="34" t="s">
        <v>84</v>
      </c>
      <c r="E107" s="35">
        <v>0.08</v>
      </c>
      <c r="F107" s="36">
        <v>0.3</v>
      </c>
      <c r="G107" s="38">
        <v>2</v>
      </c>
      <c r="H107" s="38">
        <v>2</v>
      </c>
      <c r="I107" s="34" t="s">
        <v>198</v>
      </c>
      <c r="J107" s="38" t="s">
        <v>198</v>
      </c>
      <c r="K107" s="38"/>
      <c r="L107" s="34" t="s">
        <v>172</v>
      </c>
    </row>
    <row r="108" spans="1:12" x14ac:dyDescent="0.25">
      <c r="A108" s="34" t="s">
        <v>481</v>
      </c>
      <c r="B108" s="34" t="s">
        <v>482</v>
      </c>
      <c r="C108" s="34" t="s">
        <v>483</v>
      </c>
      <c r="D108" s="34" t="s">
        <v>84</v>
      </c>
      <c r="E108" s="35">
        <v>0.08</v>
      </c>
      <c r="F108" s="36">
        <v>0.3</v>
      </c>
      <c r="G108" s="38">
        <v>1</v>
      </c>
      <c r="H108" s="38">
        <v>3</v>
      </c>
      <c r="I108" s="34"/>
      <c r="J108" s="38"/>
      <c r="K108" s="38"/>
      <c r="L108" s="34" t="s">
        <v>172</v>
      </c>
    </row>
    <row r="109" spans="1:12" x14ac:dyDescent="0.25">
      <c r="A109" s="34" t="s">
        <v>484</v>
      </c>
      <c r="B109" s="34" t="s">
        <v>485</v>
      </c>
      <c r="C109" s="34" t="s">
        <v>486</v>
      </c>
      <c r="D109" s="34" t="s">
        <v>179</v>
      </c>
      <c r="E109" s="35">
        <v>0.04</v>
      </c>
      <c r="F109" s="36">
        <v>0.2</v>
      </c>
      <c r="G109" s="38">
        <v>3</v>
      </c>
      <c r="H109" s="38">
        <v>1</v>
      </c>
      <c r="I109" s="34"/>
      <c r="J109" s="38"/>
      <c r="K109" s="38"/>
      <c r="L109" s="34" t="s">
        <v>172</v>
      </c>
    </row>
    <row r="110" spans="1:12" x14ac:dyDescent="0.25">
      <c r="A110" s="34" t="s">
        <v>487</v>
      </c>
      <c r="B110" s="34" t="s">
        <v>488</v>
      </c>
      <c r="C110" s="34" t="s">
        <v>489</v>
      </c>
      <c r="D110" s="34" t="s">
        <v>84</v>
      </c>
      <c r="E110" s="35">
        <v>0.08</v>
      </c>
      <c r="F110" s="36">
        <v>0.3</v>
      </c>
      <c r="G110" s="38">
        <v>2</v>
      </c>
      <c r="H110" s="38">
        <v>2</v>
      </c>
      <c r="I110" s="34"/>
      <c r="J110" s="38"/>
      <c r="K110" s="38"/>
      <c r="L110" s="34" t="s">
        <v>172</v>
      </c>
    </row>
    <row r="111" spans="1:12" x14ac:dyDescent="0.25">
      <c r="A111" s="34" t="s">
        <v>490</v>
      </c>
      <c r="B111" s="34" t="s">
        <v>491</v>
      </c>
      <c r="C111" s="34" t="s">
        <v>492</v>
      </c>
      <c r="D111" s="34" t="s">
        <v>84</v>
      </c>
      <c r="E111" s="35">
        <v>0.08</v>
      </c>
      <c r="F111" s="36">
        <v>0.3</v>
      </c>
      <c r="G111" s="38">
        <v>2</v>
      </c>
      <c r="H111" s="38">
        <v>2</v>
      </c>
      <c r="I111" s="34"/>
      <c r="J111" s="38"/>
      <c r="K111" s="38"/>
      <c r="L111" s="34" t="s">
        <v>172</v>
      </c>
    </row>
    <row r="112" spans="1:12" x14ac:dyDescent="0.25">
      <c r="A112" s="34" t="s">
        <v>493</v>
      </c>
      <c r="B112" s="34" t="s">
        <v>494</v>
      </c>
      <c r="C112" s="34" t="s">
        <v>495</v>
      </c>
      <c r="D112" s="34" t="s">
        <v>179</v>
      </c>
      <c r="E112" s="35">
        <v>0.04</v>
      </c>
      <c r="F112" s="36">
        <v>0.2</v>
      </c>
      <c r="G112" s="38">
        <v>2</v>
      </c>
      <c r="H112" s="38">
        <v>1</v>
      </c>
      <c r="I112" s="34"/>
      <c r="J112" s="38"/>
      <c r="K112" s="38"/>
      <c r="L112" s="34" t="s">
        <v>172</v>
      </c>
    </row>
    <row r="113" spans="1:12" x14ac:dyDescent="0.25">
      <c r="A113" s="34" t="s">
        <v>496</v>
      </c>
      <c r="B113" s="34" t="s">
        <v>497</v>
      </c>
      <c r="C113" s="34" t="s">
        <v>498</v>
      </c>
      <c r="D113" s="34" t="s">
        <v>84</v>
      </c>
      <c r="E113" s="35">
        <v>0.08</v>
      </c>
      <c r="F113" s="36">
        <v>0.3</v>
      </c>
      <c r="G113" s="38">
        <v>1</v>
      </c>
      <c r="H113" s="38">
        <v>3</v>
      </c>
      <c r="I113" s="34" t="s">
        <v>198</v>
      </c>
      <c r="J113" s="38" t="s">
        <v>198</v>
      </c>
      <c r="K113" s="38"/>
      <c r="L113" s="34" t="s">
        <v>172</v>
      </c>
    </row>
    <row r="114" spans="1:12" x14ac:dyDescent="0.25">
      <c r="A114" s="34" t="s">
        <v>499</v>
      </c>
      <c r="B114" s="34" t="s">
        <v>500</v>
      </c>
      <c r="C114" s="34" t="s">
        <v>501</v>
      </c>
      <c r="D114" s="34" t="s">
        <v>179</v>
      </c>
      <c r="E114" s="35">
        <v>0.04</v>
      </c>
      <c r="F114" s="36">
        <v>0.2</v>
      </c>
      <c r="G114" s="38">
        <v>1</v>
      </c>
      <c r="H114" s="38">
        <v>1</v>
      </c>
      <c r="I114" s="34"/>
      <c r="J114" s="38"/>
      <c r="K114" s="38"/>
      <c r="L114" s="34" t="s">
        <v>84</v>
      </c>
    </row>
    <row r="115" spans="1:12" x14ac:dyDescent="0.25">
      <c r="A115" s="34" t="s">
        <v>502</v>
      </c>
      <c r="B115" s="34" t="s">
        <v>503</v>
      </c>
      <c r="C115" s="34" t="s">
        <v>504</v>
      </c>
      <c r="D115" s="34" t="s">
        <v>179</v>
      </c>
      <c r="E115" s="35">
        <v>0.04</v>
      </c>
      <c r="F115" s="36">
        <v>0.2</v>
      </c>
      <c r="G115" s="38">
        <v>1</v>
      </c>
      <c r="H115" s="38">
        <v>1</v>
      </c>
      <c r="I115" s="34"/>
      <c r="J115" s="38"/>
      <c r="K115" s="38"/>
      <c r="L115" s="34" t="s">
        <v>172</v>
      </c>
    </row>
    <row r="116" spans="1:12" x14ac:dyDescent="0.25">
      <c r="A116" s="34" t="s">
        <v>505</v>
      </c>
      <c r="B116" s="34" t="s">
        <v>506</v>
      </c>
      <c r="C116" s="34" t="s">
        <v>507</v>
      </c>
      <c r="D116" s="34" t="s">
        <v>179</v>
      </c>
      <c r="E116" s="35">
        <v>0.04</v>
      </c>
      <c r="F116" s="36">
        <v>0.2</v>
      </c>
      <c r="G116" s="38">
        <v>1</v>
      </c>
      <c r="H116" s="38">
        <v>1</v>
      </c>
      <c r="I116" s="34"/>
      <c r="J116" s="38"/>
      <c r="K116" s="38"/>
      <c r="L116" s="34" t="s">
        <v>84</v>
      </c>
    </row>
    <row r="117" spans="1:12" x14ac:dyDescent="0.25">
      <c r="A117" s="34" t="s">
        <v>508</v>
      </c>
      <c r="B117" s="34" t="s">
        <v>509</v>
      </c>
      <c r="C117" s="34" t="s">
        <v>510</v>
      </c>
      <c r="D117" s="34" t="s">
        <v>84</v>
      </c>
      <c r="E117" s="35">
        <v>0.08</v>
      </c>
      <c r="F117" s="36">
        <v>0.3</v>
      </c>
      <c r="G117" s="38">
        <v>1</v>
      </c>
      <c r="H117" s="38">
        <v>3</v>
      </c>
      <c r="I117" s="34"/>
      <c r="J117" s="38"/>
      <c r="K117" s="38"/>
      <c r="L117" s="34" t="s">
        <v>172</v>
      </c>
    </row>
    <row r="118" spans="1:12" x14ac:dyDescent="0.25">
      <c r="A118" s="34" t="s">
        <v>511</v>
      </c>
      <c r="B118" s="34" t="s">
        <v>512</v>
      </c>
      <c r="C118" s="34" t="s">
        <v>513</v>
      </c>
      <c r="D118" s="34" t="s">
        <v>84</v>
      </c>
      <c r="E118" s="35">
        <v>0.08</v>
      </c>
      <c r="F118" s="36">
        <v>0.3</v>
      </c>
      <c r="G118" s="38">
        <v>2</v>
      </c>
      <c r="H118" s="38">
        <v>2</v>
      </c>
      <c r="I118" s="34"/>
      <c r="J118" s="38"/>
      <c r="K118" s="38"/>
      <c r="L118" s="34" t="s">
        <v>172</v>
      </c>
    </row>
    <row r="119" spans="1:12" x14ac:dyDescent="0.25">
      <c r="A119" s="34" t="s">
        <v>514</v>
      </c>
      <c r="B119" s="34" t="s">
        <v>515</v>
      </c>
      <c r="C119" s="34" t="s">
        <v>516</v>
      </c>
      <c r="D119" s="34" t="s">
        <v>179</v>
      </c>
      <c r="E119" s="35">
        <v>0.04</v>
      </c>
      <c r="F119" s="36">
        <v>0.2</v>
      </c>
      <c r="G119" s="38">
        <v>2</v>
      </c>
      <c r="H119" s="38">
        <v>1</v>
      </c>
      <c r="I119" s="34"/>
      <c r="J119" s="38"/>
      <c r="K119" s="38"/>
      <c r="L119" s="34" t="s">
        <v>172</v>
      </c>
    </row>
    <row r="120" spans="1:12" x14ac:dyDescent="0.25">
      <c r="A120" s="34" t="s">
        <v>517</v>
      </c>
      <c r="B120" s="34" t="s">
        <v>518</v>
      </c>
      <c r="C120" s="34" t="s">
        <v>519</v>
      </c>
      <c r="D120" s="34" t="s">
        <v>84</v>
      </c>
      <c r="E120" s="35">
        <v>0.08</v>
      </c>
      <c r="F120" s="36">
        <v>0.3</v>
      </c>
      <c r="G120" s="38">
        <v>1</v>
      </c>
      <c r="H120" s="38">
        <v>1</v>
      </c>
      <c r="I120" s="34"/>
      <c r="J120" s="38"/>
      <c r="K120" s="38"/>
      <c r="L120" s="34" t="s">
        <v>172</v>
      </c>
    </row>
    <row r="121" spans="1:12" x14ac:dyDescent="0.25">
      <c r="A121" s="34" t="s">
        <v>520</v>
      </c>
      <c r="B121" s="34" t="s">
        <v>521</v>
      </c>
      <c r="C121" s="34" t="s">
        <v>522</v>
      </c>
      <c r="D121" s="34" t="s">
        <v>84</v>
      </c>
      <c r="E121" s="35">
        <v>0.08</v>
      </c>
      <c r="F121" s="36">
        <v>0.3</v>
      </c>
      <c r="G121" s="38">
        <v>1</v>
      </c>
      <c r="H121" s="38">
        <v>1</v>
      </c>
      <c r="I121" s="34"/>
      <c r="J121" s="38"/>
      <c r="K121" s="38"/>
      <c r="L121" s="34" t="s">
        <v>172</v>
      </c>
    </row>
    <row r="122" spans="1:12" x14ac:dyDescent="0.25">
      <c r="A122" s="34" t="s">
        <v>523</v>
      </c>
      <c r="B122" s="34" t="s">
        <v>524</v>
      </c>
      <c r="C122" s="34" t="s">
        <v>525</v>
      </c>
      <c r="D122" s="34" t="s">
        <v>84</v>
      </c>
      <c r="E122" s="35">
        <v>0.08</v>
      </c>
      <c r="F122" s="36">
        <v>0.3</v>
      </c>
      <c r="G122" s="38">
        <v>1</v>
      </c>
      <c r="H122" s="38">
        <v>2</v>
      </c>
      <c r="I122" s="34"/>
      <c r="J122" s="38"/>
      <c r="K122" s="38"/>
      <c r="L122" s="34" t="s">
        <v>172</v>
      </c>
    </row>
    <row r="123" spans="1:12" x14ac:dyDescent="0.25">
      <c r="A123" s="34" t="s">
        <v>526</v>
      </c>
      <c r="B123" s="34" t="s">
        <v>527</v>
      </c>
      <c r="C123" s="34" t="s">
        <v>527</v>
      </c>
      <c r="D123" s="34" t="s">
        <v>179</v>
      </c>
      <c r="E123" s="35">
        <v>0.04</v>
      </c>
      <c r="F123" s="36">
        <v>0.2</v>
      </c>
      <c r="G123" s="38">
        <v>1</v>
      </c>
      <c r="H123" s="38">
        <v>1</v>
      </c>
      <c r="I123" s="34"/>
      <c r="J123" s="38"/>
      <c r="K123" s="38"/>
      <c r="L123" s="34" t="s">
        <v>84</v>
      </c>
    </row>
    <row r="124" spans="1:12" x14ac:dyDescent="0.25">
      <c r="A124" s="34" t="s">
        <v>528</v>
      </c>
      <c r="B124" s="34" t="s">
        <v>529</v>
      </c>
      <c r="C124" s="34" t="s">
        <v>530</v>
      </c>
      <c r="D124" s="34" t="s">
        <v>179</v>
      </c>
      <c r="E124" s="35">
        <v>0.04</v>
      </c>
      <c r="F124" s="36">
        <v>0.2</v>
      </c>
      <c r="G124" s="38">
        <v>1</v>
      </c>
      <c r="H124" s="38">
        <v>1</v>
      </c>
      <c r="I124" s="34"/>
      <c r="J124" s="38"/>
      <c r="K124" s="38"/>
      <c r="L124" s="34" t="s">
        <v>172</v>
      </c>
    </row>
    <row r="125" spans="1:12" x14ac:dyDescent="0.25">
      <c r="A125" s="34" t="s">
        <v>531</v>
      </c>
      <c r="B125" s="34" t="s">
        <v>532</v>
      </c>
      <c r="C125" s="34" t="s">
        <v>533</v>
      </c>
      <c r="D125" s="34" t="s">
        <v>179</v>
      </c>
      <c r="E125" s="35">
        <v>0.04</v>
      </c>
      <c r="F125" s="36">
        <v>0.2</v>
      </c>
      <c r="G125" s="38">
        <v>1</v>
      </c>
      <c r="H125" s="38">
        <v>1</v>
      </c>
      <c r="I125" s="34"/>
      <c r="J125" s="38"/>
      <c r="K125" s="38"/>
      <c r="L125" s="34" t="s">
        <v>172</v>
      </c>
    </row>
    <row r="126" spans="1:12" x14ac:dyDescent="0.25">
      <c r="A126" s="34" t="s">
        <v>534</v>
      </c>
      <c r="B126" s="34" t="s">
        <v>535</v>
      </c>
      <c r="C126" s="34" t="s">
        <v>536</v>
      </c>
      <c r="D126" s="34" t="s">
        <v>84</v>
      </c>
      <c r="E126" s="35">
        <v>0.08</v>
      </c>
      <c r="F126" s="36">
        <v>0.3</v>
      </c>
      <c r="G126" s="38">
        <v>1</v>
      </c>
      <c r="H126" s="38">
        <v>2</v>
      </c>
      <c r="I126" s="34"/>
      <c r="J126" s="38"/>
      <c r="K126" s="38"/>
      <c r="L126" s="34" t="s">
        <v>172</v>
      </c>
    </row>
    <row r="127" spans="1:12" x14ac:dyDescent="0.25">
      <c r="A127" s="34" t="s">
        <v>537</v>
      </c>
      <c r="B127" s="34" t="s">
        <v>538</v>
      </c>
      <c r="C127" s="34" t="s">
        <v>539</v>
      </c>
      <c r="D127" s="34" t="s">
        <v>84</v>
      </c>
      <c r="E127" s="35">
        <v>0.08</v>
      </c>
      <c r="F127" s="36">
        <v>0.3</v>
      </c>
      <c r="G127" s="38">
        <v>2</v>
      </c>
      <c r="H127" s="38">
        <v>1</v>
      </c>
      <c r="I127" s="34"/>
      <c r="J127" s="38"/>
      <c r="K127" s="38"/>
      <c r="L127" s="34" t="s">
        <v>172</v>
      </c>
    </row>
    <row r="128" spans="1:12" x14ac:dyDescent="0.25">
      <c r="A128" s="34" t="s">
        <v>540</v>
      </c>
      <c r="B128" s="34" t="s">
        <v>541</v>
      </c>
      <c r="C128" s="34" t="s">
        <v>542</v>
      </c>
      <c r="D128" s="34" t="s">
        <v>84</v>
      </c>
      <c r="E128" s="35">
        <v>0.08</v>
      </c>
      <c r="F128" s="36">
        <v>0.3</v>
      </c>
      <c r="G128" s="38">
        <v>3</v>
      </c>
      <c r="H128" s="38">
        <v>1</v>
      </c>
      <c r="I128" s="34" t="s">
        <v>198</v>
      </c>
      <c r="J128" s="38" t="s">
        <v>198</v>
      </c>
      <c r="K128" s="38"/>
      <c r="L128" s="34" t="s">
        <v>172</v>
      </c>
    </row>
    <row r="129" spans="1:12" x14ac:dyDescent="0.25">
      <c r="A129" s="34" t="s">
        <v>543</v>
      </c>
      <c r="B129" s="34" t="s">
        <v>544</v>
      </c>
      <c r="C129" s="34" t="s">
        <v>545</v>
      </c>
      <c r="D129" s="34" t="s">
        <v>179</v>
      </c>
      <c r="E129" s="35">
        <v>0.04</v>
      </c>
      <c r="F129" s="36">
        <v>0.2</v>
      </c>
      <c r="G129" s="38">
        <v>2</v>
      </c>
      <c r="H129" s="38">
        <v>2</v>
      </c>
      <c r="I129" s="34"/>
      <c r="J129" s="38"/>
      <c r="K129" s="38"/>
      <c r="L129" s="34" t="s">
        <v>172</v>
      </c>
    </row>
    <row r="130" spans="1:12" x14ac:dyDescent="0.25">
      <c r="A130" s="34" t="s">
        <v>546</v>
      </c>
      <c r="B130" s="34" t="s">
        <v>547</v>
      </c>
      <c r="C130" s="34" t="s">
        <v>547</v>
      </c>
      <c r="D130" s="34" t="s">
        <v>179</v>
      </c>
      <c r="E130" s="35">
        <v>0</v>
      </c>
      <c r="F130" s="36">
        <v>0</v>
      </c>
      <c r="G130" s="38" t="s">
        <v>208</v>
      </c>
      <c r="H130" s="38" t="s">
        <v>209</v>
      </c>
      <c r="I130" s="34"/>
      <c r="J130" s="38"/>
      <c r="K130" s="38"/>
      <c r="L130" s="34" t="s">
        <v>172</v>
      </c>
    </row>
    <row r="131" spans="1:12" x14ac:dyDescent="0.25">
      <c r="A131" s="34" t="s">
        <v>548</v>
      </c>
      <c r="B131" s="34" t="s">
        <v>549</v>
      </c>
      <c r="C131" s="34" t="s">
        <v>549</v>
      </c>
      <c r="D131" s="34" t="s">
        <v>179</v>
      </c>
      <c r="E131" s="35">
        <v>0.04</v>
      </c>
      <c r="F131" s="36">
        <v>0.2</v>
      </c>
      <c r="G131" s="38">
        <v>1</v>
      </c>
      <c r="H131" s="38">
        <v>1</v>
      </c>
      <c r="I131" s="34"/>
      <c r="J131" s="38"/>
      <c r="K131" s="38"/>
      <c r="L131" s="34" t="s">
        <v>172</v>
      </c>
    </row>
    <row r="132" spans="1:12" x14ac:dyDescent="0.25">
      <c r="A132" s="34" t="s">
        <v>550</v>
      </c>
      <c r="B132" s="34" t="s">
        <v>551</v>
      </c>
      <c r="C132" s="34" t="s">
        <v>551</v>
      </c>
      <c r="D132" s="34" t="s">
        <v>179</v>
      </c>
      <c r="E132" s="35">
        <v>0.04</v>
      </c>
      <c r="F132" s="36">
        <v>0.2</v>
      </c>
      <c r="G132" s="38">
        <v>1</v>
      </c>
      <c r="H132" s="38">
        <v>1</v>
      </c>
      <c r="I132" s="34"/>
      <c r="J132" s="38"/>
      <c r="K132" s="38"/>
      <c r="L132" s="34" t="s">
        <v>172</v>
      </c>
    </row>
    <row r="133" spans="1:12" x14ac:dyDescent="0.25">
      <c r="A133" s="34" t="s">
        <v>552</v>
      </c>
      <c r="B133" s="34" t="s">
        <v>553</v>
      </c>
      <c r="C133" s="34" t="s">
        <v>554</v>
      </c>
      <c r="D133" s="34" t="s">
        <v>84</v>
      </c>
      <c r="E133" s="35">
        <v>0.08</v>
      </c>
      <c r="F133" s="36">
        <v>0.3</v>
      </c>
      <c r="G133" s="38">
        <v>1</v>
      </c>
      <c r="H133" s="38">
        <v>1</v>
      </c>
      <c r="I133" s="34"/>
      <c r="J133" s="38"/>
      <c r="K133" s="38"/>
      <c r="L133" s="34" t="s">
        <v>172</v>
      </c>
    </row>
    <row r="134" spans="1:12" x14ac:dyDescent="0.25">
      <c r="A134" s="34" t="s">
        <v>555</v>
      </c>
      <c r="B134" s="34" t="s">
        <v>556</v>
      </c>
      <c r="C134" s="34" t="s">
        <v>557</v>
      </c>
      <c r="D134" s="34" t="s">
        <v>179</v>
      </c>
      <c r="E134" s="35">
        <v>0.04</v>
      </c>
      <c r="F134" s="36">
        <v>0.2</v>
      </c>
      <c r="G134" s="38">
        <v>3</v>
      </c>
      <c r="H134" s="38">
        <v>2</v>
      </c>
      <c r="I134" s="34"/>
      <c r="J134" s="38"/>
      <c r="K134" s="38"/>
      <c r="L134" s="34" t="s">
        <v>172</v>
      </c>
    </row>
    <row r="135" spans="1:12" x14ac:dyDescent="0.25">
      <c r="A135" s="34" t="s">
        <v>558</v>
      </c>
      <c r="B135" s="34" t="s">
        <v>559</v>
      </c>
      <c r="C135" s="34" t="s">
        <v>560</v>
      </c>
      <c r="D135" s="34" t="s">
        <v>84</v>
      </c>
      <c r="E135" s="35">
        <v>0.08</v>
      </c>
      <c r="F135" s="36">
        <v>0.3</v>
      </c>
      <c r="G135" s="38">
        <v>1</v>
      </c>
      <c r="H135" s="38">
        <v>3</v>
      </c>
      <c r="I135" s="34"/>
      <c r="J135" s="38"/>
      <c r="K135" s="38"/>
      <c r="L135" s="34" t="s">
        <v>172</v>
      </c>
    </row>
    <row r="136" spans="1:12" x14ac:dyDescent="0.25">
      <c r="A136" s="34" t="s">
        <v>561</v>
      </c>
      <c r="B136" s="34" t="s">
        <v>562</v>
      </c>
      <c r="C136" s="34" t="s">
        <v>563</v>
      </c>
      <c r="D136" s="34" t="s">
        <v>84</v>
      </c>
      <c r="E136" s="35">
        <v>0.08</v>
      </c>
      <c r="F136" s="36">
        <v>0.3</v>
      </c>
      <c r="G136" s="38">
        <v>1</v>
      </c>
      <c r="H136" s="38">
        <v>1</v>
      </c>
      <c r="I136" s="34"/>
      <c r="J136" s="38"/>
      <c r="K136" s="38"/>
      <c r="L136" s="34" t="s">
        <v>172</v>
      </c>
    </row>
    <row r="137" spans="1:12" x14ac:dyDescent="0.25">
      <c r="A137" s="34" t="s">
        <v>564</v>
      </c>
      <c r="B137" s="34" t="s">
        <v>565</v>
      </c>
      <c r="C137" s="34" t="s">
        <v>566</v>
      </c>
      <c r="D137" s="34" t="s">
        <v>84</v>
      </c>
      <c r="E137" s="35">
        <v>0.08</v>
      </c>
      <c r="F137" s="36">
        <v>0.3</v>
      </c>
      <c r="G137" s="38">
        <v>3</v>
      </c>
      <c r="H137" s="38">
        <v>2</v>
      </c>
      <c r="I137" s="34"/>
      <c r="J137" s="38"/>
      <c r="K137" s="38"/>
      <c r="L137" s="34" t="s">
        <v>172</v>
      </c>
    </row>
    <row r="138" spans="1:12" x14ac:dyDescent="0.25">
      <c r="A138" s="34" t="s">
        <v>567</v>
      </c>
      <c r="B138" s="34" t="s">
        <v>568</v>
      </c>
      <c r="C138" s="34" t="s">
        <v>569</v>
      </c>
      <c r="D138" s="34" t="s">
        <v>84</v>
      </c>
      <c r="E138" s="35">
        <v>0.08</v>
      </c>
      <c r="F138" s="36">
        <v>0.3</v>
      </c>
      <c r="G138" s="38">
        <v>3</v>
      </c>
      <c r="H138" s="38">
        <v>2</v>
      </c>
      <c r="I138" s="34"/>
      <c r="J138" s="38"/>
      <c r="K138" s="38"/>
      <c r="L138" s="34" t="s">
        <v>172</v>
      </c>
    </row>
    <row r="139" spans="1:12" x14ac:dyDescent="0.25">
      <c r="A139" s="34" t="s">
        <v>570</v>
      </c>
      <c r="B139" s="34" t="s">
        <v>571</v>
      </c>
      <c r="C139" s="34" t="s">
        <v>572</v>
      </c>
      <c r="D139" s="34" t="s">
        <v>84</v>
      </c>
      <c r="E139" s="35">
        <v>0.08</v>
      </c>
      <c r="F139" s="36">
        <v>0.3</v>
      </c>
      <c r="G139" s="38">
        <v>1</v>
      </c>
      <c r="H139" s="38">
        <v>1</v>
      </c>
      <c r="I139" s="34" t="s">
        <v>198</v>
      </c>
      <c r="J139" s="38" t="s">
        <v>198</v>
      </c>
      <c r="K139" s="38"/>
      <c r="L139" s="34" t="s">
        <v>172</v>
      </c>
    </row>
    <row r="140" spans="1:12" x14ac:dyDescent="0.25">
      <c r="A140" s="34" t="s">
        <v>573</v>
      </c>
      <c r="B140" s="34" t="s">
        <v>574</v>
      </c>
      <c r="C140" s="34" t="s">
        <v>575</v>
      </c>
      <c r="D140" s="34" t="s">
        <v>179</v>
      </c>
      <c r="E140" s="35">
        <v>0.04</v>
      </c>
      <c r="F140" s="36">
        <v>0.2</v>
      </c>
      <c r="G140" s="38">
        <v>1</v>
      </c>
      <c r="H140" s="38">
        <v>1</v>
      </c>
      <c r="I140" s="34"/>
      <c r="J140" s="38"/>
      <c r="K140" s="38"/>
      <c r="L140" s="34" t="s">
        <v>172</v>
      </c>
    </row>
    <row r="141" spans="1:12" x14ac:dyDescent="0.25">
      <c r="A141" s="34" t="s">
        <v>576</v>
      </c>
      <c r="B141" s="34" t="s">
        <v>577</v>
      </c>
      <c r="C141" s="34" t="s">
        <v>578</v>
      </c>
      <c r="D141" s="34" t="s">
        <v>84</v>
      </c>
      <c r="E141" s="35">
        <v>0.08</v>
      </c>
      <c r="F141" s="36">
        <v>0.3</v>
      </c>
      <c r="G141" s="38">
        <v>3</v>
      </c>
      <c r="H141" s="38">
        <v>2</v>
      </c>
      <c r="I141" s="34"/>
      <c r="J141" s="38"/>
      <c r="K141" s="38"/>
      <c r="L141" s="34" t="s">
        <v>172</v>
      </c>
    </row>
    <row r="142" spans="1:12" x14ac:dyDescent="0.25">
      <c r="A142" s="34" t="s">
        <v>579</v>
      </c>
      <c r="B142" s="34" t="s">
        <v>580</v>
      </c>
      <c r="C142" s="34" t="s">
        <v>581</v>
      </c>
      <c r="D142" s="34" t="s">
        <v>84</v>
      </c>
      <c r="E142" s="35">
        <v>0.08</v>
      </c>
      <c r="F142" s="36">
        <v>0.3</v>
      </c>
      <c r="G142" s="38">
        <v>3</v>
      </c>
      <c r="H142" s="38">
        <v>1</v>
      </c>
      <c r="I142" s="34"/>
      <c r="J142" s="38"/>
      <c r="K142" s="38"/>
      <c r="L142" s="34"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Document</_ResourceType>
    <TaxCatchAll xmlns="e22c7409-3fd3-409a-a4a6-6ab0ea51d687">
      <Value>16</Value>
    </TaxCatchAll>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235961338D2AE143B17B3D358A42B540" ma:contentTypeVersion="6" ma:contentTypeDescription="BPA Documents that do not have a specific content type defined." ma:contentTypeScope="" ma:versionID="3e58565faaa5ec38051bb6c5ed8ae7f8">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8e861c2bbeb9227cbae6298dc62eb115"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6991A-B7AA-4A11-B901-49C443C69DCB}">
  <ds:schemaRefs>
    <ds:schemaRef ds:uri="e22c7409-3fd3-409a-a4a6-6ab0ea51d687"/>
    <ds:schemaRef ds:uri="http://purl.org/dc/elements/1.1/"/>
    <ds:schemaRef ds:uri="http://schemas.microsoft.com/office/2006/metadata/propertie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D81B2683-76B1-41A7-8351-C35AAC436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22c7409-3fd3-409a-a4a6-6ab0ea51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5F1947-7229-4AD9-AA9C-75845413B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43</vt:i4>
      </vt:variant>
    </vt:vector>
  </HeadingPairs>
  <TitlesOfParts>
    <vt:vector size="50" baseType="lpstr">
      <vt:lpstr>Project Information</vt:lpstr>
      <vt:lpstr>Annual Completion Reports</vt:lpstr>
      <vt:lpstr>Payment Tables</vt:lpstr>
      <vt:lpstr>uploaddata</vt:lpstr>
      <vt:lpstr>uploaddata collection</vt:lpstr>
      <vt:lpstr>Revision History</vt:lpstr>
      <vt:lpstr>Utility List</vt:lpstr>
      <vt:lpstr>busbar</vt:lpstr>
      <vt:lpstr>inc_site_busbar</vt:lpstr>
      <vt:lpstr>previous_sem_savings</vt:lpstr>
      <vt:lpstr>submittal_no</vt:lpstr>
      <vt:lpstr>up_BES</vt:lpstr>
      <vt:lpstr>up_city</vt:lpstr>
      <vt:lpstr>up_cont_email</vt:lpstr>
      <vt:lpstr>up_cont_name</vt:lpstr>
      <vt:lpstr>up_cont_phone</vt:lpstr>
      <vt:lpstr>up_cont_title</vt:lpstr>
      <vt:lpstr>up_facility</vt:lpstr>
      <vt:lpstr>up_NAICS</vt:lpstr>
      <vt:lpstr>up_projectno</vt:lpstr>
      <vt:lpstr>up_projname</vt:lpstr>
      <vt:lpstr>up_state</vt:lpstr>
      <vt:lpstr>up_street</vt:lpstr>
      <vt:lpstr>up_sub_compreport</vt:lpstr>
      <vt:lpstr>up_sub_date</vt:lpstr>
      <vt:lpstr>up_sub_eligsav</vt:lpstr>
      <vt:lpstr>up_sub_emttsubmit</vt:lpstr>
      <vt:lpstr>up_sub_incrsav</vt:lpstr>
      <vt:lpstr>up_sub_ml</vt:lpstr>
      <vt:lpstr>up_sub_no</vt:lpstr>
      <vt:lpstr>up_sub_subname</vt:lpstr>
      <vt:lpstr>up_sub_totcred</vt:lpstr>
      <vt:lpstr>up_sub_ttcredit</vt:lpstr>
      <vt:lpstr>up_sub_versav</vt:lpstr>
      <vt:lpstr>up_version</vt:lpstr>
      <vt:lpstr>up_zip</vt:lpstr>
      <vt:lpstr>y1_max_sem_sav_pmt</vt:lpstr>
      <vt:lpstr>y1_perf_period</vt:lpstr>
      <vt:lpstr>y1_req_complete_check</vt:lpstr>
      <vt:lpstr>y1_sem_funding</vt:lpstr>
      <vt:lpstr>y1_sem_sav_pmt</vt:lpstr>
      <vt:lpstr>y1_site_savings</vt:lpstr>
      <vt:lpstr>y1_util_sav_cap</vt:lpstr>
      <vt:lpstr>y2_max_sem_sav_pmt</vt:lpstr>
      <vt:lpstr>y2_perf_period</vt:lpstr>
      <vt:lpstr>y2_req_complete_check</vt:lpstr>
      <vt:lpstr>y2_sem_funding</vt:lpstr>
      <vt:lpstr>y2_sem_sav_pmt</vt:lpstr>
      <vt:lpstr>y2_site_savings</vt:lpstr>
      <vt:lpstr>y2_util_sav_cap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TT_V8-1_SEM_20191001</dc:title>
  <dc:creator>Morse, Adam</dc:creator>
  <dc:description/>
  <cp:lastModifiedBy>Mullendore,Eric J (BPA) - PEJC-6</cp:lastModifiedBy>
  <dcterms:created xsi:type="dcterms:W3CDTF">2018-02-21T23:10:12Z</dcterms:created>
  <dcterms:modified xsi:type="dcterms:W3CDTF">2022-04-14T07:34:31Z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0x010100404842DB1C82EF43A906826C7ABE80A90400235961338D2AE143B17B3D358A42B540</vt:lpwstr>
  </property>
  <property fmtid="{D5CDD505-2E9C-101B-9397-08002B2CF9AE}" pid="3" name="WorkflowChangePath">
    <vt:lpwstr>06b70c12-3c30-4852-a6fa-fc78d8b9ffa9,2;</vt:lpwstr>
  </property>
  <property fmtid="{D5CDD505-2E9C-101B-9397-08002B2CF9AE}" pid="4" name="Tags">
    <vt:lpwstr>16;#Energy Efficiency|7d88f299-fa2d-4d2a-99d9-9b08652f27c4</vt:lpwstr>
  </property>
  <property fmtid="{D5CDD505-2E9C-101B-9397-08002B2CF9AE}" pid="5" name="Order">
    <vt:r8>18400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SourceUrl">
    <vt:lpwstr/>
  </property>
  <property fmtid="{D5CDD505-2E9C-101B-9397-08002B2CF9AE}" pid="10" name="_SharedFileIndex">
    <vt:lpwstr/>
  </property>
</Properties>
</file>