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codeName="ThisWorkbook"/>
  <mc:AlternateContent xmlns:mc="http://schemas.openxmlformats.org/markup-compatibility/2006">
    <mc:Choice Requires="x15">
      <x15ac:absPath xmlns:x15ac="http://schemas.microsoft.com/office/spreadsheetml/2010/11/ac" url="/Users/rasmussen/Documents/Temp - working files/BPA Impact/TO6 docs/Task 4 Res DHPs zone1/Res HVAC from FY19 - charged to TO6/"/>
    </mc:Choice>
  </mc:AlternateContent>
  <xr:revisionPtr revIDLastSave="0" documentId="13_ncr:1_{49757C65-BC3B-9640-918B-819305149427}" xr6:coauthVersionLast="47" xr6:coauthVersionMax="47" xr10:uidLastSave="{00000000-0000-0000-0000-000000000000}"/>
  <bookViews>
    <workbookView xWindow="0" yWindow="460" windowWidth="28760" windowHeight="14700" tabRatio="522" activeTab="2" xr2:uid="{00000000-000D-0000-FFFF-FFFF00000000}"/>
  </bookViews>
  <sheets>
    <sheet name="Instructions" sheetId="8" r:id="rId1"/>
    <sheet name="RecommendationsTracker" sheetId="4" r:id="rId2"/>
    <sheet name="Realization Rates_Tracker" sheetId="2" r:id="rId3"/>
    <sheet name="Chart_OverallRR" sheetId="7" r:id="rId4"/>
    <sheet name="Chart_RRMethod" sheetId="6" r:id="rId5"/>
  </sheets>
  <definedNames>
    <definedName name="_xlnm._FilterDatabase" localSheetId="2" hidden="1">'Realization Rates_Tracker'!$A$7:$Y$38</definedName>
    <definedName name="_xlnm._FilterDatabase" localSheetId="1" hidden="1">RecommendationsTracker!$A$1:$R$63</definedName>
  </definedNames>
  <calcPr calcId="191029"/>
  <pivotCaches>
    <pivotCache cacheId="1" r:id="rId6"/>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5" i="2" l="1"/>
  <c r="P45" i="2" s="1"/>
  <c r="S45" i="2" s="1"/>
  <c r="Q44" i="2"/>
  <c r="P44" i="2" s="1"/>
  <c r="S44" i="2" s="1"/>
  <c r="Q43" i="2"/>
  <c r="P43" i="2" s="1"/>
  <c r="S43" i="2" s="1"/>
  <c r="Q42" i="2"/>
  <c r="P42" i="2" s="1"/>
  <c r="S42" i="2" s="1"/>
  <c r="Q41" i="2"/>
  <c r="P41" i="2" s="1"/>
  <c r="S41" i="2" s="1"/>
  <c r="Q40" i="2"/>
  <c r="P40" i="2" s="1"/>
  <c r="S40" i="2" s="1"/>
  <c r="Q39" i="2"/>
  <c r="P39" i="2" s="1"/>
  <c r="S39" i="2" s="1"/>
  <c r="R42" i="2" l="1"/>
  <c r="R45" i="2"/>
  <c r="R41" i="2"/>
  <c r="R44" i="2"/>
  <c r="R40" i="2"/>
  <c r="R43" i="2"/>
  <c r="R39" i="2"/>
  <c r="AK77" i="6"/>
  <c r="AK79" i="6"/>
  <c r="E112" i="6" l="1"/>
  <c r="E113" i="6"/>
  <c r="E114" i="6"/>
  <c r="E115" i="6"/>
  <c r="E116" i="6"/>
  <c r="E117" i="6"/>
  <c r="E110" i="6"/>
  <c r="E79" i="6"/>
  <c r="E80" i="6"/>
  <c r="E81" i="6"/>
  <c r="E82" i="6"/>
  <c r="E83" i="6"/>
  <c r="E84" i="6"/>
  <c r="E85" i="6"/>
  <c r="E86" i="6"/>
  <c r="E78" i="6"/>
  <c r="E53" i="6"/>
  <c r="E54" i="6"/>
  <c r="E55" i="6"/>
  <c r="E56" i="6"/>
  <c r="E57" i="6"/>
  <c r="E58" i="6"/>
  <c r="E59" i="6"/>
  <c r="E60" i="6"/>
  <c r="E52" i="6"/>
  <c r="E6" i="6"/>
  <c r="E7" i="6"/>
  <c r="E8" i="6"/>
  <c r="E9" i="6"/>
  <c r="E10" i="6"/>
  <c r="E11" i="6"/>
  <c r="E12" i="6"/>
  <c r="E5" i="6"/>
  <c r="E118" i="6" l="1"/>
  <c r="E111" i="6"/>
  <c r="E13" i="6"/>
  <c r="E7" i="7"/>
  <c r="D6" i="7"/>
  <c r="S38" i="2"/>
  <c r="R38" i="2"/>
  <c r="S37" i="2"/>
  <c r="R37" i="2"/>
  <c r="Q36" i="2"/>
  <c r="P36" i="2"/>
  <c r="S36" i="2" s="1"/>
  <c r="Q35" i="2"/>
  <c r="P35" i="2"/>
  <c r="S35" i="2" s="1"/>
  <c r="Q34" i="2"/>
  <c r="P34" i="2"/>
  <c r="S34" i="2" s="1"/>
  <c r="Q33" i="2"/>
  <c r="P33" i="2"/>
  <c r="S33" i="2" s="1"/>
  <c r="Q32" i="2"/>
  <c r="P32" i="2"/>
  <c r="S32" i="2" s="1"/>
  <c r="Q31" i="2"/>
  <c r="P31" i="2"/>
  <c r="S31" i="2" s="1"/>
  <c r="Q30" i="2"/>
  <c r="P30" i="2"/>
  <c r="S30" i="2" s="1"/>
  <c r="N30" i="2"/>
  <c r="M30" i="2"/>
  <c r="Q29" i="2"/>
  <c r="P29" i="2"/>
  <c r="S29" i="2" s="1"/>
  <c r="N29" i="2"/>
  <c r="M29" i="2"/>
  <c r="Q28" i="2"/>
  <c r="P28" i="2"/>
  <c r="S28" i="2" s="1"/>
  <c r="N28" i="2"/>
  <c r="M28" i="2"/>
  <c r="Q27" i="2"/>
  <c r="P27" i="2"/>
  <c r="S27" i="2" s="1"/>
  <c r="N27" i="2"/>
  <c r="M27" i="2"/>
  <c r="R26" i="2"/>
  <c r="P26" i="2"/>
  <c r="S26" i="2" s="1"/>
  <c r="N26" i="2"/>
  <c r="M26" i="2"/>
  <c r="R25" i="2"/>
  <c r="P25" i="2"/>
  <c r="S25" i="2" s="1"/>
  <c r="N25" i="2"/>
  <c r="M25" i="2"/>
  <c r="R24" i="2"/>
  <c r="P24" i="2"/>
  <c r="S24" i="2" s="1"/>
  <c r="N24" i="2"/>
  <c r="M24" i="2"/>
  <c r="R23" i="2"/>
  <c r="P23" i="2"/>
  <c r="S23" i="2" s="1"/>
  <c r="N23" i="2"/>
  <c r="M23" i="2"/>
  <c r="R22" i="2"/>
  <c r="P22" i="2"/>
  <c r="S22" i="2" s="1"/>
  <c r="N22" i="2"/>
  <c r="M22" i="2"/>
  <c r="R21" i="2"/>
  <c r="P21" i="2"/>
  <c r="S21" i="2" s="1"/>
  <c r="N21" i="2"/>
  <c r="M21" i="2"/>
  <c r="S20" i="2"/>
  <c r="R20" i="2"/>
  <c r="N20" i="2"/>
  <c r="M20" i="2"/>
  <c r="S19" i="2"/>
  <c r="R19" i="2"/>
  <c r="N19" i="2"/>
  <c r="M19" i="2"/>
  <c r="S18" i="2"/>
  <c r="R18" i="2"/>
  <c r="N18" i="2"/>
  <c r="M18" i="2"/>
  <c r="S17" i="2"/>
  <c r="R17" i="2"/>
  <c r="N17" i="2"/>
  <c r="M17" i="2"/>
  <c r="S16" i="2"/>
  <c r="R16" i="2"/>
  <c r="N16" i="2"/>
  <c r="M16" i="2"/>
  <c r="S15" i="2"/>
  <c r="R15" i="2"/>
  <c r="N15" i="2"/>
  <c r="M15" i="2"/>
  <c r="S14" i="2"/>
  <c r="R14" i="2"/>
  <c r="N14" i="2"/>
  <c r="M14" i="2"/>
  <c r="S13" i="2"/>
  <c r="R13" i="2"/>
  <c r="N13" i="2"/>
  <c r="M13" i="2"/>
  <c r="S12" i="2"/>
  <c r="C7" i="7" s="1"/>
  <c r="R12" i="2"/>
  <c r="D7" i="7" s="1"/>
  <c r="N12" i="2"/>
  <c r="M12" i="2"/>
  <c r="Q11" i="2"/>
  <c r="P11" i="2"/>
  <c r="S11" i="2" s="1"/>
  <c r="N11" i="2"/>
  <c r="M11" i="2"/>
  <c r="Q10" i="2"/>
  <c r="P10" i="2"/>
  <c r="S10" i="2" s="1"/>
  <c r="N10" i="2"/>
  <c r="M10" i="2"/>
  <c r="R9" i="2"/>
  <c r="P9" i="2"/>
  <c r="S9" i="2" s="1"/>
  <c r="N9" i="2"/>
  <c r="M9" i="2"/>
  <c r="Q8" i="2"/>
  <c r="R8" i="2" s="1"/>
  <c r="P8" i="2"/>
  <c r="S8" i="2" s="1"/>
  <c r="N8" i="2"/>
  <c r="M8" i="2"/>
  <c r="E5" i="7" l="1"/>
  <c r="E8" i="7"/>
  <c r="D5" i="7"/>
  <c r="C6" i="7"/>
  <c r="E6" i="7"/>
  <c r="D8" i="7"/>
  <c r="C5" i="7"/>
  <c r="C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Nelson,Carrie E (BPA) - PEJC-6</author>
  </authors>
  <commentList>
    <comment ref="E1" authorId="0" shapeId="0" xr:uid="{00000000-0006-0000-0100-000001000000}">
      <text>
        <r>
          <rPr>
            <b/>
            <sz val="9"/>
            <color indexed="81"/>
            <rFont val="Tahoma"/>
            <family val="2"/>
          </rPr>
          <t>Types: Recommendation for Change, Future Research, Other Consideration. Do not document "Continue doing" or Key finding unless something unique makes it needed to watch over tiem.</t>
        </r>
      </text>
    </comment>
    <comment ref="M1" authorId="0" shapeId="0" xr:uid="{00000000-0006-0000-0100-000002000000}">
      <text>
        <r>
          <rPr>
            <b/>
            <sz val="9"/>
            <color indexed="81"/>
            <rFont val="Tahoma"/>
            <family val="2"/>
          </rPr>
          <t xml:space="preserve">Options: 
- </t>
        </r>
        <r>
          <rPr>
            <sz val="9"/>
            <color indexed="81"/>
            <rFont val="Tahoma"/>
            <family val="2"/>
          </rPr>
          <t xml:space="preserve">No Action
- Action Planned
- Action Completed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tc={504E0A81-8052-4EC8-9388-98A77F1BFB12}</author>
    <author>tc={505AF726-003B-4CC6-8D5E-CFB723238781}</author>
    <author>tc={65C6E139-BE64-4A16-8166-10AA1FF800E7}</author>
    <author>tc={B22D2D94-7277-4E2C-911E-B0AEB6A6C930}</author>
    <author>tc={61CF9CAE-D9B1-4E99-A745-E3152B7F89F5}</author>
    <author>tc={16D92F99-674C-426F-AB8D-F7EBCA2A7C48}</author>
    <author>tc={079E1726-15BC-493C-AB48-9D8D12B89B16}</author>
    <author>tc={9FD99D2F-C80F-4A63-9223-E65A1484328D}</author>
    <author>tc={9D5BB927-F56E-46A0-A17A-BC428D746BE9}</author>
  </authors>
  <commentList>
    <comment ref="I8"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I9"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I21" authorId="2"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I22" authorId="3" shapeId="0" xr:uid="{00000000-0006-0000-0200-000004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H23" authorId="4" shapeId="0" xr:uid="{00000000-0006-0000-0200-000005000000}">
      <text>
        <t>[Threaded comment]
Your version of Excel allows you to read this threaded comment; however, any edits to it will get removed if the file is opened in a newer version of Excel. Learn more: https://go.microsoft.com/fwlink/?linkid=870924
Comment:
    negative RR confirmed</t>
      </text>
    </comment>
    <comment ref="I23" authorId="5" shapeId="0" xr:uid="{00000000-0006-0000-0200-000006000000}">
      <text>
        <t>[Threaded comment]
Your version of Excel allows you to read this threaded comment; however, any edits to it will get removed if the file is opened in a newer version of Excel. Learn more: https://go.microsoft.com/fwlink/?linkid=870924
Comment:
    census of billing data for each utility</t>
      </text>
    </comment>
    <comment ref="I31" authorId="6" shapeId="0" xr:uid="{00000000-0006-0000-0200-000007000000}">
      <text>
        <t>[Threaded comment]
Your version of Excel allows you to read this threaded comment; however, any edits to it will get removed if the file is opened in a newer version of Excel. Learn more: https://go.microsoft.com/fwlink/?linkid=870924
Comment:
    evaluted census of projects</t>
      </text>
    </comment>
    <comment ref="J37" authorId="7" shapeId="0" xr:uid="{00000000-0006-0000-0200-000008000000}">
      <text>
        <t>[Threaded comment]
Your version of Excel allows you to read this threaded comment; however, any edits to it will get removed if the file is opened in a newer version of Excel. Learn more: https://go.microsoft.com/fwlink/?linkid=870924
Comment:
    sites included in evaluation, not total participating sites</t>
      </text>
    </comment>
    <comment ref="J38" authorId="8"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sites included in evaluation, not total participating sites</t>
      </text>
    </comment>
  </commentList>
</comments>
</file>

<file path=xl/sharedStrings.xml><?xml version="1.0" encoding="utf-8"?>
<sst xmlns="http://schemas.openxmlformats.org/spreadsheetml/2006/main" count="1317" uniqueCount="477">
  <si>
    <t>Measure</t>
  </si>
  <si>
    <t>Realization Rate</t>
  </si>
  <si>
    <t>Recommendation</t>
  </si>
  <si>
    <t>Insulation</t>
  </si>
  <si>
    <t>Windows</t>
  </si>
  <si>
    <t>Study</t>
  </si>
  <si>
    <t>FY2015</t>
  </si>
  <si>
    <t>DHP Replacing eFAF</t>
  </si>
  <si>
    <t>DHP Replacing Zonal</t>
  </si>
  <si>
    <t xml:space="preserve">Prescriptive Duct Sealing </t>
  </si>
  <si>
    <t>FY2015 and FY2016</t>
  </si>
  <si>
    <t>FY2009-2011</t>
  </si>
  <si>
    <t>FY2012-13</t>
  </si>
  <si>
    <t>If Completed, Outcome/Impact of Action Taken</t>
  </si>
  <si>
    <t>Sector</t>
  </si>
  <si>
    <t>https://www.bpa.gov/EE/Utility/Evaluation/Evaluation/Impact_Evaluation_Site-Specific_Portfolio_Final_Report.pdf</t>
  </si>
  <si>
    <t>https://www.bpa.gov/EE/Utility/Evaluation/Evaluation/170215_BPA_Evaluation_UES_Res_Lighting_Report.pdf</t>
  </si>
  <si>
    <t>https://www.bpa.gov/EE/Utility/Evaluation/Evaluation/Impact_Evaluation_of_Res_DHP_and_Prescriptive_Duct_Sealing_Measures_draft_report.pdf</t>
  </si>
  <si>
    <t>https://www.bpa.gov/EE/Utility/Evaluation/Evaluation/1802_BPA_Residential_Impact_Evaluation_Final_Report.pdf</t>
  </si>
  <si>
    <t xml:space="preserve">Link to study </t>
  </si>
  <si>
    <t xml:space="preserve">Residential Insulation and Windows Measures </t>
  </si>
  <si>
    <t>Coverage Period</t>
  </si>
  <si>
    <t>Study Publish Date</t>
  </si>
  <si>
    <t>Residential</t>
  </si>
  <si>
    <t>Evaluation Method</t>
  </si>
  <si>
    <t>Statistical</t>
  </si>
  <si>
    <t>Delivery Verification</t>
  </si>
  <si>
    <t>Engineering Analysis</t>
  </si>
  <si>
    <t>Sample Size</t>
  </si>
  <si>
    <t>ESRP</t>
  </si>
  <si>
    <t>UES Residential Lighting Projects</t>
  </si>
  <si>
    <t xml:space="preserve">Site-Specific Savings Portfolio </t>
  </si>
  <si>
    <t>Residential Ductless Heat Pump and Prescriptive Duct Sealing Measures</t>
  </si>
  <si>
    <t>Performance Tested Comfort System Air-Source Heat Pump Conversions and Performance Duct Sealing Data</t>
  </si>
  <si>
    <t>FY2014-2015</t>
  </si>
  <si>
    <t>data included in project documentation aligns very closely with measure data reported</t>
  </si>
  <si>
    <t>savings lower than expected - eval team found participants used less heating than expected</t>
  </si>
  <si>
    <t>savings variable and lower than expected</t>
  </si>
  <si>
    <t>evaluated savings were verified to be close to the reported savings</t>
  </si>
  <si>
    <t xml:space="preserve">reported savings are different than evaluation savings by more than the sampling error </t>
  </si>
  <si>
    <t>CY2017</t>
  </si>
  <si>
    <t>Showerheads</t>
  </si>
  <si>
    <t>Agricultural &amp; Industrial</t>
  </si>
  <si>
    <t>primary reason realization rate was not equal to one was discrepancies in the reported versus verified install location and efficiency tier</t>
  </si>
  <si>
    <t>https://www.bpa.gov/EE/Utility/Evaluation/Evaluation/BPA_2017_Delivery_Verification_Evaluation_Report.pdf</t>
  </si>
  <si>
    <t xml:space="preserve">incomplete or ineligible information on installation forms was primary reason DHP zonal projects received a realization rate less than 1.0 </t>
  </si>
  <si>
    <t>lower than expected savings - UES from December 2016 is closer to the evaluated savings than the reported UES</t>
  </si>
  <si>
    <t>savings close to December 2016 UES values - UES values in use by RTF are reflective of verified participant savings</t>
  </si>
  <si>
    <t>Lower Bound RR</t>
  </si>
  <si>
    <t>Upper Bound RR</t>
  </si>
  <si>
    <t>(All)</t>
  </si>
  <si>
    <t>Grand Total</t>
  </si>
  <si>
    <t>Row Labels</t>
  </si>
  <si>
    <t>Site-Specific Savings Portfolio</t>
  </si>
  <si>
    <t>Continue to report estimated increases in consumption in the MT&amp;R model workbooks and to document the application of any non-routine adjustments.</t>
  </si>
  <si>
    <t xml:space="preserve">Routinely test for the statistical significance of weather variables in the MT&amp;R energy consumption regression model. </t>
  </si>
  <si>
    <t>BPA should attempt to improve the accuracy of the reported SEM savings by recording negative SEM savings estimates or making program-level adjustments to savings.</t>
  </si>
  <si>
    <t xml:space="preserve">Assess the effect of BPA’s new policy of establishing a new baseline for participant facilities every two years on savings realization rates. </t>
  </si>
  <si>
    <t>Investigate the feasibility and reliability of evaluating savings for a sample of SEM participants instead of the population.</t>
  </si>
  <si>
    <t>Study how uncertainty of capital project savings estimates affects SEM savings estimates.</t>
  </si>
  <si>
    <t xml:space="preserve">Create unique Reference Numbers to distinguish between Simple Steps and Non-Simple Steps measures. The IS2.0 database uses the same measure reference numbers regardless of program. This makes it impossible to clearly identify which measures saved energy under which program. BPA should enhance their measure tracking processes to allow BPA to clearly identify the amount of saivngs reported to the Simple Steps program versus utility-run programs. </t>
  </si>
  <si>
    <t>https://www.bpa.gov/EE/Utility/Evaluation/Evaluation/170222_BPA_Industrial_SEM_Impact_Evaluation_Report.pdf</t>
  </si>
  <si>
    <t>Confidence level</t>
  </si>
  <si>
    <t>Measure Notes</t>
  </si>
  <si>
    <t>combination of all heating zones and customer types</t>
  </si>
  <si>
    <t xml:space="preserve">QA/QC Delivery Verification Pilot </t>
  </si>
  <si>
    <t>Pilot evaluation using QC results - 0 savings for any project missing DV information.</t>
  </si>
  <si>
    <t>Commercial, Industrial &amp; Ag</t>
  </si>
  <si>
    <t>Evaluated Savings Quantity (MWh)</t>
  </si>
  <si>
    <t>Method</t>
  </si>
  <si>
    <t>Total</t>
  </si>
  <si>
    <t>*Whisker and savings, don't worry about "overall" here</t>
  </si>
  <si>
    <t xml:space="preserve">includes 5 selected measures from the Energy Smart Reserve Power program </t>
  </si>
  <si>
    <t>by-request and direct install only</t>
  </si>
  <si>
    <t>by-request , direct install, and retail</t>
  </si>
  <si>
    <t>by-request only - mostly single family homes</t>
  </si>
  <si>
    <t>Reported Savings Quantity (MWh)</t>
  </si>
  <si>
    <t>Error Bars Data</t>
  </si>
  <si>
    <t xml:space="preserve">Ductless Heat Pumps </t>
  </si>
  <si>
    <t>Advanced Power Strips</t>
  </si>
  <si>
    <t>Heat Pump Water Heaters</t>
  </si>
  <si>
    <t>Green Motors</t>
  </si>
  <si>
    <t>Retail Lighting</t>
  </si>
  <si>
    <t>By-Request Lighting</t>
  </si>
  <si>
    <t>Transformer De-energization</t>
  </si>
  <si>
    <t>Opt. 1 Industrial Lighting</t>
  </si>
  <si>
    <t>Opt. 1 Com/Ag Lighting</t>
  </si>
  <si>
    <t>Opt. 1 Com/Ag Non-Lighting</t>
  </si>
  <si>
    <t>Opt. 1 Industrial Non-Lighting</t>
  </si>
  <si>
    <t>Opt. 2 Commercial Lighting</t>
  </si>
  <si>
    <t>Opt. 2 Industrial Lighting</t>
  </si>
  <si>
    <t>Opt. 2 Commercial Non-Lighting</t>
  </si>
  <si>
    <t>Opt. 2 Industrial Non-Lighting</t>
  </si>
  <si>
    <t>Duct Sealing Prescriptive</t>
  </si>
  <si>
    <t>Duct Sealing PTCS</t>
  </si>
  <si>
    <t>Commissioning Controls Sizing</t>
  </si>
  <si>
    <t>Heat Pumps</t>
  </si>
  <si>
    <t>Performance Duct Sealing</t>
  </si>
  <si>
    <t>ASHP Conversions</t>
  </si>
  <si>
    <t>BPA should coordinate w/ RTF about including these results when the RTF conducts its review of DHP UES</t>
  </si>
  <si>
    <t xml:space="preserve">Use most current UES to track and report measures </t>
  </si>
  <si>
    <t xml:space="preserve">Consider additional opportunities to save energy through DHP </t>
  </si>
  <si>
    <t>Future prescriptive duct sealing impact evaluation studies should include pre/post-site visits, contractor interviews, or submetering as part of the study</t>
  </si>
  <si>
    <t xml:space="preserve">available information indicates that additional research is warranted - need to better understand the variable savings from duct sealing </t>
  </si>
  <si>
    <t>Further research to identify if technological improvements are leading to more or less eFAF or zonal displacement</t>
  </si>
  <si>
    <t>more of the DHPs installed can be integrated with a central thermostat and controlled programatically instead of manually</t>
  </si>
  <si>
    <t>Requirements in the IM should be closely aligned with the RTF requirements</t>
  </si>
  <si>
    <t xml:space="preserve">misalignment of IM documentation requirements and RTF delivery verification requirements </t>
  </si>
  <si>
    <t xml:space="preserve">Update the per-unit savings value using a more robust estimation method such as as billing analysis </t>
  </si>
  <si>
    <t>claimed savings estimates used in the low-income weatherization program are higher than comparable estimates in other studies</t>
  </si>
  <si>
    <t>disconnect between QA inspection grades and delivery verification requirements</t>
  </si>
  <si>
    <t>Research to determine how and when the project is reported in IS2.0</t>
  </si>
  <si>
    <t>uncertainty as to whether the savings for a remediated project are reported to IS2.0 before or after remediation</t>
  </si>
  <si>
    <t xml:space="preserve">Use the revised QA/QC forms moving forward and/or collect installation documents for GSHP projects </t>
  </si>
  <si>
    <t>document review sample fulfillment was not achieved &amp; GSHP QA inspections used version of the QA/QC inspection forms that did not contain the DV requirements</t>
  </si>
  <si>
    <t>Align the oversight data collection with the RTF delivery requirements before undertaking the evaluation</t>
  </si>
  <si>
    <t>approach adopted for residential HVAC measures can work with other measure groups</t>
  </si>
  <si>
    <t>Use the most current RTF UES values for residential insulation and window retrofits</t>
  </si>
  <si>
    <t xml:space="preserve">2017 Delivery Verification </t>
  </si>
  <si>
    <t>N/A</t>
  </si>
  <si>
    <t xml:space="preserve">The current UES may be high </t>
  </si>
  <si>
    <t>savings are lower than expected</t>
  </si>
  <si>
    <t>Navigant recommends conducting any future evaluation work using participants from FY2018 or later</t>
  </si>
  <si>
    <t>many programmatic changes were made to the prescriptive duct sealing measure program during FY2016 and FY2017 that may have affect savings.</t>
  </si>
  <si>
    <t>Incorrect reference numbers were sometimes reported for by-request measures</t>
  </si>
  <si>
    <t>more accurate reporting</t>
  </si>
  <si>
    <t xml:space="preserve">customer utilities should use distribution logs similar to those used by the Simple Steps third-party implementer </t>
  </si>
  <si>
    <t xml:space="preserve">increased efficiency and accuracy of future evaluation efforts </t>
  </si>
  <si>
    <t>very few utilities were able to easily provide project documentation for sampled projects, and mapping processes were inconsistent and complex</t>
  </si>
  <si>
    <t>Alter Measure Distribution Log to include installed location for Direct Install lamps</t>
  </si>
  <si>
    <t xml:space="preserve">BPA's required projct documentation does not currently require installation location </t>
  </si>
  <si>
    <t>allow for evaluation via document review in the future</t>
  </si>
  <si>
    <t>https://www.bpa.gov/EE/Utility/Evaluation/Evaluation/170209_Lighting_Impact_Evaluation-BPA_Response_Memo.pdf</t>
  </si>
  <si>
    <t>BPA is planning to adjust the distribution log to include location for direct install lighting measures</t>
  </si>
  <si>
    <t xml:space="preserve">Share findings from this impact evaluation of window retrofits with the RTF </t>
  </si>
  <si>
    <t>RTF may incorporate findings into the next review of the measure</t>
  </si>
  <si>
    <t>findings from this evaluation support the current insulation UES values</t>
  </si>
  <si>
    <t>research other measures to improve cost effectiveness and expected savings</t>
  </si>
  <si>
    <t>consider prioritizing future evaluation resources on measures other than insulation</t>
  </si>
  <si>
    <t>consider additional research for window measures</t>
  </si>
  <si>
    <t>realiztaion rate and benefit/cost ratio were lower than expected for window measures and this measure is important to BPA's utility customers and stakeholders</t>
  </si>
  <si>
    <t>better understand how end-use customers are interacting with window measures</t>
  </si>
  <si>
    <t>incorporate stakeholder input on methodology before collecting data and before conducting analysis; use a phased approach to pilot the analysis and results, and identify the analysis results that will be used as evaluation findings before conducting the analysis, with parallel analysis to corroborate findings</t>
  </si>
  <si>
    <t>https://www.bpa.gov/EE/Utility/Evaluation/Evaluation/180219_PhaseIBillingAnalysis_BPA_Response_Memo.pdf</t>
  </si>
  <si>
    <t>evaluation savings consistent with RTF UES values</t>
  </si>
  <si>
    <t xml:space="preserve">BPA agrees that evaluation savings are consistent with current RTF UES values and should continue to be used. While evaluation of insulation measures didn't provide recommendations directly to improve program design, BPA is nevertheless working to improve insulation measures </t>
  </si>
  <si>
    <t>BPA agrees and will make the findings available to the RTF</t>
  </si>
  <si>
    <t>BPA agrees it appears future evaluations no longer need to prioritize studies of insulation measures, but rather should focus on other measures where questions remain conerning their energy savings or cost effectiveness</t>
  </si>
  <si>
    <t>BPA agrees to further investigate the window UES measure in conjunction with the RTF committee and our regional partners</t>
  </si>
  <si>
    <t>BPA agrees with these recommendations and will plan to proceed with future evaluations of this type using the same framework. BPA will continue to improve its process for incorporating stakeholder input on the methodology because doing so will maximize opportunities for improving programs after results are available</t>
  </si>
  <si>
    <t>savings from window measures lower than expected and have relatively high error considering sample size of over 1,000 participants</t>
  </si>
  <si>
    <t>https://www.bpa.gov/EE/Utility/Evaluation/Evaluation/180501_BPA_2017_Delivery_Verification_Programs_Response_Memo.pdf</t>
  </si>
  <si>
    <t xml:space="preserve">While BPA agrees with the value in aligning RTF and BPA requirements, the RTF functions independently of BPA's advice on best practices for DV and measure needs. Where the RTF chooses requirements that are not consistent with BPA's understanding of best practices and measure needs, BPA may need to continue to provide inconsistent offerings. </t>
  </si>
  <si>
    <t>BPA low income energy efficiency grant program offers stand alone "deemed" measures to be installed in addition to what measures are approved through the standard "Savings Investment Ratio" calculation. These measures yield high savings and could cause BPA's low income household savings to be much higher than with other programs</t>
  </si>
  <si>
    <t xml:space="preserve">current system allows grades to be automatically calculated for each inspection. This approach has been very successful and has given us much insight into our program and improved the performance of our technicians. It has also allowed us to simplify our Air Source Heat Pump specifications. </t>
  </si>
  <si>
    <t xml:space="preserve">BPA will reach out to inspectors and remind them of the requirement to use the most recent form. The information and the evaluator requested be included in the form is available through alternative means such as the registry and RefNos. </t>
  </si>
  <si>
    <t>BPA to look into whether it is feasible during revisions for the 2019 Rate Period Implementation Manual</t>
  </si>
  <si>
    <t>FY2012-2013</t>
  </si>
  <si>
    <t>Avoid embedded realization rates</t>
  </si>
  <si>
    <t xml:space="preserve">applying realization rates to its individual measure savings estimates prior to BPA appears to be over-estimating savings for the Option 2 domains and creates systematic differences in savings reported to BPA. </t>
  </si>
  <si>
    <t>Avoid or improve simplified saving calculators</t>
  </si>
  <si>
    <t xml:space="preserve">"deemed" values or simplified calculators for non-lighting measures do not provide reliable site-specific estimates of savings </t>
  </si>
  <si>
    <t>reliable savings estimates</t>
  </si>
  <si>
    <t>clarify M&amp;V protocols related to typical vs. first year savings</t>
  </si>
  <si>
    <t>BPA M&amp;V protocols are not clear about whether to estimate savings for typical conditions or for the first year after measure implementation</t>
  </si>
  <si>
    <t>clarify current practice baseline</t>
  </si>
  <si>
    <t xml:space="preserve">M&amp;V protocols are not aligned with RTF guidelines on the definition of current practice baselines </t>
  </si>
  <si>
    <t>Improve quality control for ESRP projects</t>
  </si>
  <si>
    <t>savings overestimated</t>
  </si>
  <si>
    <t>Improve lighting calculators</t>
  </si>
  <si>
    <t xml:space="preserve">BPA and Option 2 lighting calculators are not consistent and both lack key features </t>
  </si>
  <si>
    <t>consistent and reliable calculators</t>
  </si>
  <si>
    <t>Investigate opportunities for reducing reporting and QC burden</t>
  </si>
  <si>
    <t>there may be opportunities for reducing the reporting and QC burden for utilities and BPA staff</t>
  </si>
  <si>
    <t>reduced time and reporting burden for utilities and BPA</t>
  </si>
  <si>
    <t>Require working models</t>
  </si>
  <si>
    <t xml:space="preserve">evaluation staff could not obtain a working M&amp;V model for some projects </t>
  </si>
  <si>
    <t>make evaluation and QC easier</t>
  </si>
  <si>
    <t>Document M&amp;V protocol and project engineer</t>
  </si>
  <si>
    <t xml:space="preserve">project documentation does not indicate what protocol was used in estimating savings </t>
  </si>
  <si>
    <t>reduce burden on evaluators</t>
  </si>
  <si>
    <t>Obtain and store project invoices</t>
  </si>
  <si>
    <t>evaluation staff could not obtain invoices for half of Option 1 lighting measures</t>
  </si>
  <si>
    <t>reliable savings estimates and reduced burden on evaluators</t>
  </si>
  <si>
    <t>Improve document organization and version control</t>
  </si>
  <si>
    <t>increased organization and transparency</t>
  </si>
  <si>
    <t>difficult to determine how the data in documentation were used in estimating savings</t>
  </si>
  <si>
    <t>Document project specifications</t>
  </si>
  <si>
    <t>difficult to understand the exact specifications for measures</t>
  </si>
  <si>
    <t>streamlined evaluation and quality control</t>
  </si>
  <si>
    <t>Document milestone dates</t>
  </si>
  <si>
    <t>difficult to deduce important milestone dates in current documentation</t>
  </si>
  <si>
    <t>Improve TAP coding</t>
  </si>
  <si>
    <t xml:space="preserve">TAP coding is not being done for Option 1 lighting measures. </t>
  </si>
  <si>
    <t>easier to determine what M&amp;V protocols should apply</t>
  </si>
  <si>
    <t>Align evaluation procedures with M&amp;V protocols</t>
  </si>
  <si>
    <t>evaluation was hampered by the long duration from project completion to evaluation</t>
  </si>
  <si>
    <t>quicker evaluation</t>
  </si>
  <si>
    <t>Require and simplify end user contact</t>
  </si>
  <si>
    <t xml:space="preserve">trying to limit the number of end user sites visited in some cases made it difficult to confirm the current condition of measures and whether there are any relevant changes during the first year of measure operation - let to utility and end user contact protocols that were complex and difficult to enforce and track </t>
  </si>
  <si>
    <t>Commercial, Industrial, Ag</t>
  </si>
  <si>
    <t>Improve tracking of utility and end-user contact</t>
  </si>
  <si>
    <t>for some measures, utilities were not notified of when the site visit was scheduled</t>
  </si>
  <si>
    <t>Ensure all site-specific projects are included in evaluation</t>
  </si>
  <si>
    <t>complete and comprehensive evaluation</t>
  </si>
  <si>
    <t>https://www.bpa.gov/EE/Utility/Evaluation/Evaluation/170411_BPA_Responses_to_Site_Specific_Evaluation_Recommendations.pdf</t>
  </si>
  <si>
    <t xml:space="preserve">agree with this recommendation/ action as already been taken </t>
  </si>
  <si>
    <t xml:space="preserve">utility that was using embedded realization rates was informed to avoid using those factors </t>
  </si>
  <si>
    <t>agree with this recommendation</t>
  </si>
  <si>
    <t>M&amp;V protocol team training Option 2 utilities on BPA M&amp;V protocols and working to clarify utility-specific M&amp;V protocols</t>
  </si>
  <si>
    <t xml:space="preserve">agree with this recommendation and will work on thi topic of savings definition in conjunction with the RTF and Council </t>
  </si>
  <si>
    <t>RTF Guidelines Subcommittee currently clarifying the definition of the current practice baseline</t>
  </si>
  <si>
    <t xml:space="preserve">generally agree with this recommendation and have found work ahs already been done to address gpas in quality control reviews. </t>
  </si>
  <si>
    <t xml:space="preserve">ESRP team reports that the existing implementation and M&amp;V procedures are thorough and have not created any issues </t>
  </si>
  <si>
    <t xml:space="preserve">several of the recommendations have already been implemented in the Option 1 calculator - did not see a pressing need for immediate action on Option 1 and Option 2 lighting projects </t>
  </si>
  <si>
    <t>BPA in process of updating lighting calculator to update to the latest RTF standard protocol for non-res lighting</t>
  </si>
  <si>
    <t xml:space="preserve">generally agree with this recommendation but do not think it is worth th effort at this time to undertake a specific project </t>
  </si>
  <si>
    <t xml:space="preserve">generally agree with this recommendation as a best practice and will invetigate including this as a best practice recommendation </t>
  </si>
  <si>
    <t>This is already being done by Option 1, and it is not being done by Option 2, but BPA is concerned about aditional requirements for Option 2 utilities</t>
  </si>
  <si>
    <t xml:space="preserve">planning team will work with the COTRs to see if it is possible for large end users to provide equivalent documentation in lieu of invoices </t>
  </si>
  <si>
    <t>generally agree with this recommendation as a best practice, but do not support additional requirements for utility reporting - will ensure this is on the list to be addressed with future tracking and reporting systems</t>
  </si>
  <si>
    <t>generally agree with this recommendation,planning team will investigate including this as a recommendation, but not a requirement</t>
  </si>
  <si>
    <t>need to be sensitive to privacy issues, so do not want to make additional requirements</t>
  </si>
  <si>
    <t>generally agree with this recommendation, and the ESI program is currently practicing this. Planning team will investigate including this as a recommendation of a best practice, but not a requirement, in our implementation language</t>
  </si>
  <si>
    <t xml:space="preserve">generally agree with this recommendation as a best practice. </t>
  </si>
  <si>
    <t xml:space="preserve">lighting calculator currently being updated and efforts are underway to align lighting measure reporting via refnos and TAP codes between lighting and Option 1 and 2 calculators </t>
  </si>
  <si>
    <t>agree that future evaluation should be aligned with BPA's M&amp;V protocols</t>
  </si>
  <si>
    <t>agree that evaluation could be more streamlined in the futre. Evaluation is currently working with engineering and C&amp;I teams to strategize on this topic</t>
  </si>
  <si>
    <t xml:space="preserve">Agree and the evaluation team will consider how to improve and simplify end user conact protocols </t>
  </si>
  <si>
    <t xml:space="preserve">Agree with this recommendation and future evaluations will focus on tracking the contact with utilities and end users </t>
  </si>
  <si>
    <t xml:space="preserve">Agree and the evaluation team will ensure to correctly allocate savings types within the portfolio </t>
  </si>
  <si>
    <t>Industrial</t>
  </si>
  <si>
    <t>Continue to use statistical analysis of facility consumption to estimate savings</t>
  </si>
  <si>
    <t>accurate savings estimates</t>
  </si>
  <si>
    <t>Continue to collect high-frequency consumption data</t>
  </si>
  <si>
    <t>better regression results</t>
  </si>
  <si>
    <t xml:space="preserve">evaluation team did not find a relationship between the number of SEM activities adopted an the magnitude of facility energy savings </t>
  </si>
  <si>
    <t>better understanding of program driven savings</t>
  </si>
  <si>
    <t>The EPT team should encourage energy teams to schedule regular meetings, at least quarterly</t>
  </si>
  <si>
    <t>7 of 24 energy teams reported that they did not meet regularly</t>
  </si>
  <si>
    <t xml:space="preserve">weather was an important determinant of energy consumption at industrial facilities and should be accounted for when estimating savings </t>
  </si>
  <si>
    <t>better regression modeling results</t>
  </si>
  <si>
    <t>evaluation team estimated lower SEM savings than BPA reported due to BPA's reporting practices</t>
  </si>
  <si>
    <t>more accurate reported savings</t>
  </si>
  <si>
    <t>investigate how the persistence of capital project savings can impact the accuracy of SEM savings estimates</t>
  </si>
  <si>
    <t xml:space="preserve">improve accuracy of SEM savings estimates in the long run </t>
  </si>
  <si>
    <t>this evaluation did not include some projects that have site-specific savings measures</t>
  </si>
  <si>
    <t>compare the number of implemented capital projects in participant and non-participant facilities</t>
  </si>
  <si>
    <t xml:space="preserve">understand whether participation in an SEM program increases the number of capital projects implemented </t>
  </si>
  <si>
    <t>collect data on participant facilities' costs of implementing SEM and saving from other fuels</t>
  </si>
  <si>
    <t>support an assessment of program cost-effectiveness</t>
  </si>
  <si>
    <t>continue to collect data from participant facilities after engagement ends</t>
  </si>
  <si>
    <t>help BPA to better assess the program's long-term value and cost-effectiveness</t>
  </si>
  <si>
    <t>The EPT team should encourage energy teams to develop methods to engage other employees in efforts to improve energy performance</t>
  </si>
  <si>
    <t>9 of 24 facilities reported not conducting employee engagement activities</t>
  </si>
  <si>
    <t>The EPT team should encourage energy managers or teams to regularly update senior management</t>
  </si>
  <si>
    <t>10 facilities reported that senior management did not require regulat update</t>
  </si>
  <si>
    <t>senior management continue to recognize value of these efforts</t>
  </si>
  <si>
    <t>https://www.bpa.gov/EE/Utility/Evaluation/Evaluation/170213_Industrial_SEM_Impact_Evaluation_BPA_Response_Memo.pdf</t>
  </si>
  <si>
    <t>evaluators should consider the potential benefits of aligning their approach with that used by the program.</t>
  </si>
  <si>
    <t>evaluators can choose from the statistical regression method to estimate savings</t>
  </si>
  <si>
    <t>evaluators should consider the relative merits of different savings estimation approaches in situations where there is a significant change to facility operations and energy consumption</t>
  </si>
  <si>
    <t xml:space="preserve">when there is a significant, non-programmatic change to facility operations and energy consumption, one estimation method may produce a more accurate savings estimate than antoher </t>
  </si>
  <si>
    <t>EPT team agrees and intends to continue this practice</t>
  </si>
  <si>
    <t>consider employing automated variable selection methods in building baseline regression models</t>
  </si>
  <si>
    <t>objective and cost0efficient way of identifying relevant independent variables</t>
  </si>
  <si>
    <t>Evaluate the energy savings of the newest EM projects, which were not considered in this evaluation</t>
  </si>
  <si>
    <t>understand why HPEM cohorts performed differently and to gain insights about the relationship between savings and implementation of specific SEM activities</t>
  </si>
  <si>
    <t>Estimate the persistence of SEM savings after a facility’s engagement with the program ends</t>
  </si>
  <si>
    <t>evaluate program cost-effectiveness</t>
  </si>
  <si>
    <t>Report Link</t>
  </si>
  <si>
    <t>FY2015-2016</t>
  </si>
  <si>
    <t>more accurate savings estimates</t>
  </si>
  <si>
    <t>Page Number</t>
  </si>
  <si>
    <t>QA inspection forms must require that the project pass all of the RTF DV requirements to pass the QA inspection</t>
  </si>
  <si>
    <t xml:space="preserve">QA inspection data function as delivery verification </t>
  </si>
  <si>
    <t>prevent project failure</t>
  </si>
  <si>
    <t>BPA will investigate the timing of savings reporting in IS2.0 relative to remediation reporting in the registry</t>
  </si>
  <si>
    <t>avoid projects not meeting all DV requirements and receving - savings - low realization rate</t>
  </si>
  <si>
    <t>suggest approach (approach  adopted for Residential HVAC measures) work efficiently</t>
  </si>
  <si>
    <t xml:space="preserve">BPA agrees with recommendation and has already taken steps to make these changes </t>
  </si>
  <si>
    <t>planning to create separate and unique retail lighting measures for Simple Steps and utility-run programs</t>
  </si>
  <si>
    <t xml:space="preserve">BPA understands the opportunities do exist to improve data collection, but we want to balance utility effort and evaluation ease moving forward. BPA will review the Simple Steps distribution log to determine if recommend a change to utility requirements </t>
  </si>
  <si>
    <t>conduct the energy management assessment annually to update participants’ progress in implementing SEM</t>
  </si>
  <si>
    <t>Use discretion about whether to calculate and report uncertainty of the MT&amp;R facility savings estimates</t>
  </si>
  <si>
    <t>estimation of savings uncertainty not essential for M&amp;V</t>
  </si>
  <si>
    <t>EPT team will continue its practice of documenting increases in energy consumption when calculated by the MT&amp;R model</t>
  </si>
  <si>
    <t>EPT team agrees and intends to report the uncertainty of the MT&amp;R facility savings estimates where approriate or useful</t>
  </si>
  <si>
    <t xml:space="preserve">program has since updated its practices and this has been integrated into newer processes. EPT will update the MT&amp;R guidelines with this practice </t>
  </si>
  <si>
    <t>updated practices to integrate tests for the statistical significance of weather variables</t>
  </si>
  <si>
    <t>will examine this recommendation and review our policies on reporting. Will also consider the impact of BPA's new rebaselining policies for reporting toward Council targets to ensure impacts of EM program are appropriately reflected</t>
  </si>
  <si>
    <t>BPA will consider the feasibility and value of conducting any of these additional research topics during program development avtivities</t>
  </si>
  <si>
    <t>in future evaluation designs, we will attempt to conduct a representative sample rather than a census of facilities</t>
  </si>
  <si>
    <t>other national or regional utility evaluations of SEM programs should address this issue</t>
  </si>
  <si>
    <t>cost of effort</t>
  </si>
  <si>
    <t>will consider implications of new baselining policies. There may be an opportunity to simulate the effect of the policy change using facilities with more than 2 years of participation, where the re-baselined model is similar to previously used.</t>
  </si>
  <si>
    <t>Agreed. We will consider this issue in future evaluation designs, while also incorporating practical consdierations for program data collection of all potential variables for model inclusion</t>
  </si>
  <si>
    <t>Agreed. See comment above for future evaluation design approach</t>
  </si>
  <si>
    <t>We agree with the value of aligning the evaluation approach with the program approach as much as possible. We will consider this evluation's final methodology, as well as newer research efforts for SEM evaluation</t>
  </si>
  <si>
    <t>show whether the newest participants achieved savings similar to that of the facilities included in this evaluation</t>
  </si>
  <si>
    <t>In future evaluations, we will include more recent participants. We will also undertake an internal effort to review MT&amp;R and reported savings for facilities not included in this evaluation to determine if results of this evaluation are relevant for the whole program population</t>
  </si>
  <si>
    <t>evaluation team is willing to undertake process evaluation to understand differences between cohorts and with specific SEM activities</t>
  </si>
  <si>
    <t>evaluation will work with the program team to determine the feasibility of collecting facility data after program participation</t>
  </si>
  <si>
    <t>BPA program team will consider the feasibility and value of conducting an assessment of SEM elements annually</t>
  </si>
  <si>
    <t>BPA will continue to empasize best practices for energy team engagement in its SEM curriculum and delivery. The program will assess the need to enhance its materials and methods to address opportunities for continuous improvement</t>
  </si>
  <si>
    <t>BPA will continue to emphasize Employee Engagement in its SEM curriculum and delivery. The program will assess the need to enhance its materials and methods to address opportunities for continuous improvement</t>
  </si>
  <si>
    <t>BPA will continue to emphasize the importance of communicating energy performance to senior management in its SEM curriculum and delivery. The program will assess the need to enhance its materials and methods to address opportunities for continuous improvement</t>
  </si>
  <si>
    <t>facilities with higher frequency energy model data had a smaller regression coefficient of variation</t>
  </si>
  <si>
    <t>Conduct a process evaluation</t>
  </si>
  <si>
    <t>Consider faster or real-team evaluation</t>
  </si>
  <si>
    <t>risk of utilities not receiving credit despite having necessary documentation</t>
  </si>
  <si>
    <t>Annual aMW (Evaluated)</t>
  </si>
  <si>
    <t>HPEM</t>
  </si>
  <si>
    <t>Track &amp; Tune</t>
  </si>
  <si>
    <t xml:space="preserve">Industrial SEM </t>
  </si>
  <si>
    <t>realization rate low because negative savings estimates were recorded as zeros</t>
  </si>
  <si>
    <t>realization rate greater than 1.0 because evaluated savings significantly higher than the MT&amp;R savings for one T&amp;T facility</t>
  </si>
  <si>
    <t>Industrial SEM</t>
  </si>
  <si>
    <t xml:space="preserve">Study </t>
  </si>
  <si>
    <t xml:space="preserve">Study Publish Date </t>
  </si>
  <si>
    <t>includes all HPEM 1 and HPEM 2 facilities</t>
  </si>
  <si>
    <t>sample of Track &amp; Tune facilities</t>
  </si>
  <si>
    <t>evaluated savings are substantially lower than reported, but does not have large impact on portfolio due to small size. The factors leading to this low realization rate include incomplete implementation of measure and downstream reuse of a large portion of the "saved" water</t>
  </si>
  <si>
    <t>evaluated savings had large error bands but demonstrate low savings on average. Evaluated savings per site were negative: -132 kWh/year</t>
  </si>
  <si>
    <t>combination of all heating zones and single family and manufactured homes</t>
  </si>
  <si>
    <t>Precision - Type (Sampling only or Regression)</t>
  </si>
  <si>
    <t>Population Size</t>
  </si>
  <si>
    <t>Relative Precision</t>
  </si>
  <si>
    <t>Sampling</t>
  </si>
  <si>
    <t>Not defined</t>
  </si>
  <si>
    <t>no precision due to lack of analysis of capital project</t>
  </si>
  <si>
    <t>Insulation (14-15)</t>
  </si>
  <si>
    <t>Windows (14-15)</t>
  </si>
  <si>
    <t>Retail Lighting (15)</t>
  </si>
  <si>
    <t>By-Request Lighting (15)</t>
  </si>
  <si>
    <t>Opt. 1 Com/Ag Lighting (12-13)</t>
  </si>
  <si>
    <t>Opt. 1 Industrial Lighting (12-13)</t>
  </si>
  <si>
    <t>Opt. 1 Com/Ag Non-Lighting (12-13)</t>
  </si>
  <si>
    <t>Opt. 2 Commercial Lighting (12-13)</t>
  </si>
  <si>
    <t>Opt. 2 Industrial Lighting (12-13)</t>
  </si>
  <si>
    <t>Opt. 2 Commercial Non-Lighting (12-13)</t>
  </si>
  <si>
    <t>Opt. 2 Industrial Non-Lighting (12-13)</t>
  </si>
  <si>
    <t>DHP Replacing eFAF (15-16)</t>
  </si>
  <si>
    <t>DHP Replacing Zonal (15-16)</t>
  </si>
  <si>
    <t>Prescriptive Duct Sealing (15-16)</t>
  </si>
  <si>
    <t>ASHP Conversions (09-11)</t>
  </si>
  <si>
    <t>ASHP Conversion w/ Duct Sealing (09-11)</t>
  </si>
  <si>
    <t>Performance Duct Sealing (09-11)</t>
  </si>
  <si>
    <t>Opt. 1 Industrial Non-Lighting (12-13_</t>
  </si>
  <si>
    <t>Opt. 2 ESRP (12-13)</t>
  </si>
  <si>
    <t>Ductless Heat Pumps (17)</t>
  </si>
  <si>
    <t>Advanced Power Strips (17)</t>
  </si>
  <si>
    <t>Showerheads (17)</t>
  </si>
  <si>
    <t>Heat Pump Water Heaters (17)</t>
  </si>
  <si>
    <t>Transformer De-energization (17)</t>
  </si>
  <si>
    <t>Green Motors (17)</t>
  </si>
  <si>
    <t>Duct Sealing Prescriptive (17)</t>
  </si>
  <si>
    <t>Duct Sealing PTCS (17)</t>
  </si>
  <si>
    <t>Commissioning Controls Sizing (17)</t>
  </si>
  <si>
    <t>Heat Pumps (17)</t>
  </si>
  <si>
    <t>HPEM (10-14)</t>
  </si>
  <si>
    <t>Track &amp; Tune (10-14)</t>
  </si>
  <si>
    <t>Regression</t>
  </si>
  <si>
    <t>ASHP Conversion w/ Sealing (09-11)</t>
  </si>
  <si>
    <t>Annual aMW (Reported)</t>
  </si>
  <si>
    <t xml:space="preserve">Evaluated Annual aMW </t>
  </si>
  <si>
    <t xml:space="preserve">Reported Annual aMW </t>
  </si>
  <si>
    <t>10% precision on RR and 16% precision on savings estimate</t>
  </si>
  <si>
    <t>7% precision on RR and 12% precision on savings estimate</t>
  </si>
  <si>
    <t>15% precision on RR and 46% precision on savings estimate</t>
  </si>
  <si>
    <t>no precision reported</t>
  </si>
  <si>
    <t>Evaluation Method Category</t>
  </si>
  <si>
    <t>Sector(s)</t>
  </si>
  <si>
    <t>Measure &amp; Study Period (for Graph)</t>
  </si>
  <si>
    <t>Realization Rate Notes</t>
  </si>
  <si>
    <t>Other Notes</t>
  </si>
  <si>
    <t>savings lower than expected, driven by some continued use of the eFAF or displacement of non-electric heat</t>
  </si>
  <si>
    <t>Measure &amp; Study Period</t>
  </si>
  <si>
    <t xml:space="preserve">ASHP Conversion w/ Duct Sealing </t>
  </si>
  <si>
    <t>No - 2016 UES</t>
  </si>
  <si>
    <t>evaluated savings are close to the current UES, but slightly lower; the upper error bound of the evaluation results is 6% lower than the average current UES</t>
  </si>
  <si>
    <t>Reported savings are savings per site based on UES Dec. 2016 rather than actual claimed savings</t>
  </si>
  <si>
    <t>18% precision on RR and 27% precision on savings estimate; reported savings are savings per site based on UES Dec. 2016 rather than actual claimed savings</t>
  </si>
  <si>
    <t xml:space="preserve">unable to verify 100% of the reported savings for this measure group due to 1) quantity adjustments, 2) reassignment of reference numbers and UES values for a few sampled projects, 3) one utility was unable to provide all necessary documentation, resulting in 0 savings assigned fora  few sampled measures </t>
  </si>
  <si>
    <t>No - v6 UES</t>
  </si>
  <si>
    <t>"Reported Savings" represents savings during the evaluation period?</t>
  </si>
  <si>
    <t>Realization Rate (Left Axis)</t>
  </si>
  <si>
    <t xml:space="preserve"> Realization Rate (Left Axis)</t>
  </si>
  <si>
    <t>Change</t>
  </si>
  <si>
    <t>Continue</t>
  </si>
  <si>
    <t>Consider</t>
  </si>
  <si>
    <t>Future Research</t>
  </si>
  <si>
    <t>Lower</t>
  </si>
  <si>
    <t>Precision</t>
  </si>
  <si>
    <t>Upper</t>
  </si>
  <si>
    <t>Point Estimate</t>
  </si>
  <si>
    <t>Additional effort for utilities, engineers and data system to track</t>
  </si>
  <si>
    <t>BPA/Program Response</t>
  </si>
  <si>
    <t>Recommendation Type</t>
  </si>
  <si>
    <t>Who: Group the recommendation is directed to</t>
  </si>
  <si>
    <t>Why: Research Finding that lead to Recommendation</t>
  </si>
  <si>
    <t>Outcome: Goal / Benefit of Recommendation</t>
  </si>
  <si>
    <t>Outcome: Drawback or Cost of Recommendation</t>
  </si>
  <si>
    <t>Status 
(No action, Action Planned, Action Completed)</t>
  </si>
  <si>
    <t>Link to Program Response Memo</t>
  </si>
  <si>
    <t>CY 2010-2014</t>
  </si>
  <si>
    <t>FY 2014-2015</t>
  </si>
  <si>
    <t>Realization Rate Policy</t>
  </si>
  <si>
    <t>BPA has committed to tracking its evaluation realization rates across studies through this centralized document.</t>
  </si>
  <si>
    <t>The following should be reported and included in the tracker:</t>
  </si>
  <si>
    <t>Measures Covered</t>
  </si>
  <si>
    <t xml:space="preserve">The body of the report should clearly state which measures are covered by the evaluation. An appendix should list the technical characteristics of the included measures/projects to ensure that future parties can relate the energy savings to the relevant line items in the BPA reporting system. </t>
  </si>
  <si>
    <t>Population Size (N and kWh)</t>
  </si>
  <si>
    <t>Sample size (N and kWh)</t>
  </si>
  <si>
    <t xml:space="preserve">The body of the report should clearly state the population of measures or projects identified as the evaluation population, in terms of numbers and reported energy savings. If any portion of the population was excluded prior to sampling, this should be described either in the report or in an appendix </t>
  </si>
  <si>
    <t>The body of the report should clearly state the sample size of the projects or measures included in the final evaluation analysis, in terms of both kWh and number of units. In the body or in an appendix, the approach to creating the sample should be clearly stated (i.e., sample design), and any qualitative judgments to exclude certain projects or measures are to be defined (possibly in an appendix).</t>
  </si>
  <si>
    <t>Time Period of Population/Sample</t>
  </si>
  <si>
    <t>The body of the report should clearly state the time period of projects/measures included in the evaluation. For example, the evaluation may include measures completed during a specific fiscal year, or multiple fiscal years.</t>
  </si>
  <si>
    <t>Realization Rates on Sampled Units</t>
  </si>
  <si>
    <t xml:space="preserve">The body of the report should clearly state the evaluation finding of realization rate(s) on the measures/projects sampled by the evaluation. </t>
  </si>
  <si>
    <t>Realization Rate on New Measure Savings</t>
  </si>
  <si>
    <t xml:space="preserve">If applicable, and desired by BPA, the evaluation can also report the realization rate on new or future energy savings and identify any assumptions or basis for the change (e.g., new unit energy savings (UES) values). </t>
  </si>
  <si>
    <t>Confidence Level</t>
  </si>
  <si>
    <t xml:space="preserve">The confidence level represents the probability that the true value of a parameter (e.g., a realization rate) falls within a given interval. </t>
  </si>
  <si>
    <t xml:space="preserve">Precision is a measure of statistical variability. With respect to the estimation of realization rates, precision is expressed as a +/- from the estimated realization rate and represents the (confidence) interval believed to contain the true realization rate. </t>
  </si>
  <si>
    <t>Basic study information</t>
  </si>
  <si>
    <t>Beyond the information listed above, the Realization Rate tracker tab includes information such as study name, coverage period, publish date, evaluation method category, sector(s) and measure(s) and link to studies.</t>
  </si>
  <si>
    <t xml:space="preserve">After an evaluation report is final, the evaluation contractor or BPA staff should input relevant information into the “Realization Rates Tracker” tab of the Tracker. </t>
  </si>
  <si>
    <t>Staff should complete this with a balance on comprehensiveness and simplicity (e.g., rather than inputting substantial text, cell comments may be added for additional context or background).</t>
  </si>
  <si>
    <t xml:space="preserve">Additionally, consistent with RTF Guidelines, the evaluation report should include the following: </t>
  </si>
  <si>
    <t>All data collection instruments</t>
  </si>
  <si>
    <t>All survey questionnaires and on-site data collection instruments and procedural manuals should be provided. For each instrument, a discussion of pre-test results should also be provided, if relevant.</t>
  </si>
  <si>
    <t>Baseline definitions</t>
  </si>
  <si>
    <t>For pre-conditions baselines, evidence should be provided indicating that the equipment or practice replaced by the measure had RUL. For current practice baseline, a description should be included of how the current practice features were identified.</t>
  </si>
  <si>
    <t>Key steps in the analysis</t>
  </si>
  <si>
    <t>The steps in the analysis should be sufficiently clear (including data cleaning methods and model functional forms) that another analyst could replicate the results.</t>
  </si>
  <si>
    <t>Results</t>
  </si>
  <si>
    <t>For each estimated parameter (e.g., total annual savings, mean operating hours, delivery verification rate, savings realization rate), estimated values, the population size and sample size (both number and energy savings, confidence level, standard error, confidence intervals) should be reported.</t>
  </si>
  <si>
    <t>Threats to Validity</t>
  </si>
  <si>
    <t xml:space="preserve">Include a discussion of the extent to which non-sampling error of any form may be an issue in the evaluation and the impact that it likely has on the calculation of realization rates. </t>
  </si>
  <si>
    <t>Recommendation Policies</t>
  </si>
  <si>
    <t xml:space="preserve">As noted above, when writing reports, evaluation should follow Regional Technical Forum (RTF) guidance on documenting approaches, results and threats to validity. </t>
  </si>
  <si>
    <t>Key Findings</t>
  </si>
  <si>
    <t xml:space="preserve">Evaluations should also clearly distinguish between findings, recommendations and considerations. Some of these elements are tracked in the “RecommendationTracker” tab of the Tracker. </t>
  </si>
  <si>
    <t xml:space="preserve">The evaluation should clearly describe the results of the study and summarize the key findings and conclusions of the study. Findings should include factual information supported by the study’s data/analysis, and conclusions interpret the findings. Evaluations should provide both, where relevant. </t>
  </si>
  <si>
    <t>Continue Doing</t>
  </si>
  <si>
    <t xml:space="preserve">The report should state what is going well with the program/measure and what BPA and the program should continue to do to support reliable savings estimates. </t>
  </si>
  <si>
    <t>Recommendations for change should include the following components:</t>
  </si>
  <si>
    <r>
      <rPr>
        <b/>
        <sz val="11"/>
        <color theme="1"/>
        <rFont val="Caecilia LT Std Light"/>
        <scheme val="minor"/>
      </rPr>
      <t>What</t>
    </r>
    <r>
      <rPr>
        <sz val="11"/>
        <color theme="1"/>
        <rFont val="Caecilia LT Std Light"/>
        <family val="2"/>
        <scheme val="minor"/>
      </rPr>
      <t xml:space="preserve"> change is recommended by the evaluation</t>
    </r>
  </si>
  <si>
    <r>
      <rPr>
        <b/>
        <sz val="11"/>
        <color theme="1"/>
        <rFont val="Caecilia LT Std Light"/>
        <scheme val="minor"/>
      </rPr>
      <t>Who</t>
    </r>
    <r>
      <rPr>
        <sz val="11"/>
        <color theme="1"/>
        <rFont val="Caecilia LT Std Light"/>
        <family val="2"/>
        <scheme val="minor"/>
      </rPr>
      <t xml:space="preserve"> should take the action</t>
    </r>
  </si>
  <si>
    <r>
      <rPr>
        <b/>
        <sz val="11"/>
        <color theme="1"/>
        <rFont val="Caecilia LT Std Light"/>
        <scheme val="minor"/>
      </rPr>
      <t xml:space="preserve">Why </t>
    </r>
    <r>
      <rPr>
        <sz val="11"/>
        <color theme="1"/>
        <rFont val="Caecilia LT Std Light"/>
        <family val="2"/>
        <scheme val="minor"/>
      </rPr>
      <t>the finding led to this recommendation</t>
    </r>
  </si>
  <si>
    <r>
      <rPr>
        <b/>
        <sz val="11"/>
        <color theme="1"/>
        <rFont val="Caecilia LT Std Light"/>
        <scheme val="minor"/>
      </rPr>
      <t xml:space="preserve">Outcomes. </t>
    </r>
    <r>
      <rPr>
        <sz val="11"/>
        <color theme="1"/>
        <rFont val="Caecilia LT Std Light"/>
        <family val="2"/>
        <scheme val="minor"/>
      </rPr>
      <t>The report should also identify what outcomes are expected from implementing this recommendation, including expected improvements and any costs or drawbacks and the relative magnitiude of each</t>
    </r>
  </si>
  <si>
    <t>Recommendations for Change</t>
  </si>
  <si>
    <t>Considerations for future research</t>
  </si>
  <si>
    <t xml:space="preserve">If the evaluation finds that additional research could be useful for BPA in the future, these should be placed in a separate section from recommendations. </t>
  </si>
  <si>
    <t>Other considerations</t>
  </si>
  <si>
    <t>If the evaluation has other issues BPA should consider but that do not rise to the level of a recommendation, those should also be placed in a separate section from recommendations. This might include topics where the action required is not sufficiently specific, outcomes are unclear, or data were inconclusive.</t>
  </si>
  <si>
    <t xml:space="preserve">The goal of the associated Recommendations tracker is for BPA to have a centralized system for documenting recommendations for change and tracking whether those changes are implemented over time. </t>
  </si>
  <si>
    <t xml:space="preserve">Each recommendation/consideration should be documented on a unique row on the tracker and include relevant information as noted above (e.g., Who, Why, Outcome). </t>
  </si>
  <si>
    <t xml:space="preserve">Each row also contains space for a BPA/Program Response to the evaluation recommendation (see BPA Response Memo) below as well as Status and Outcome or impact of action taken. </t>
  </si>
  <si>
    <t xml:space="preserve">When an evaluation is complete, the evaluation contractor or BPA staff should complete the “Recommendations Tracker”. At least on an annual basis, BPA should review the recommendations tracker and update status as appropriate for all evaluations. </t>
  </si>
  <si>
    <t>CY 2018-2019</t>
  </si>
  <si>
    <t>VSHP w/ Duct Sealing</t>
  </si>
  <si>
    <t>VSHP</t>
  </si>
  <si>
    <t>Yes</t>
  </si>
  <si>
    <t>DHP Replacing eFAF - Heating Zone 3</t>
  </si>
  <si>
    <t>Duct Sealing - PTCS &amp; Prescriptive</t>
  </si>
  <si>
    <t>NA</t>
  </si>
  <si>
    <t>Measure not offered during study time period; reported late so included in evaluation</t>
  </si>
  <si>
    <t>DHP Replacing Zonal (18-19)</t>
  </si>
  <si>
    <t>DHP Replacing eFAF (18-19)</t>
  </si>
  <si>
    <t>ASHP Conversion w/ Duct Sealing (18-19)</t>
  </si>
  <si>
    <t>ASHP Conversions (18-19)</t>
  </si>
  <si>
    <t>VSHP w/ Duct Sealing (18-19)</t>
  </si>
  <si>
    <t>VSHP (18-19)</t>
  </si>
  <si>
    <t>Duct Sealing - PTCS &amp; Prescriptive (18-19)</t>
  </si>
  <si>
    <t>https://www.bpa.gov/EE/Utility/Evaluation/Documents/2018-19_BPA_Res_HVAC_Impact_Evaluation_Final_Report.pdf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</si>
</sst>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5">
    <font>
      <sz val="11"/>
      <color theme="1"/>
      <name val="Caecilia LT Std Light"/>
      <family val="2"/>
      <scheme val="minor"/>
    </font>
    <font>
      <sz val="8"/>
      <name val="Caecilia LT Std Light"/>
      <family val="2"/>
      <scheme val="minor"/>
    </font>
    <font>
      <b/>
      <sz val="11"/>
      <color theme="0"/>
      <name val="Caecilia LT Std Light"/>
      <family val="2"/>
      <scheme val="minor"/>
    </font>
    <font>
      <sz val="10"/>
      <name val="Arial"/>
      <family val="2"/>
    </font>
    <font>
      <u/>
      <sz val="11"/>
      <color theme="10"/>
      <name val="Caecilia LT Std Light"/>
      <family val="2"/>
      <scheme val="minor"/>
    </font>
    <font>
      <sz val="9"/>
      <color indexed="81"/>
      <name val="Tahoma"/>
      <family val="2"/>
    </font>
    <font>
      <sz val="11"/>
      <color theme="1"/>
      <name val="Caecilia LT Std Light"/>
      <family val="2"/>
      <scheme val="minor"/>
    </font>
    <font>
      <sz val="11"/>
      <color rgb="FFFF0000"/>
      <name val="Caecilia LT Std Light"/>
      <family val="2"/>
      <scheme val="minor"/>
    </font>
    <font>
      <sz val="11"/>
      <name val="Caecilia LT Std Light"/>
      <family val="2"/>
      <scheme val="minor"/>
    </font>
    <font>
      <sz val="11"/>
      <name val="Calibri"/>
      <family val="2"/>
    </font>
    <font>
      <u/>
      <sz val="11"/>
      <name val="Calibri"/>
      <family val="2"/>
    </font>
    <font>
      <b/>
      <sz val="12"/>
      <color theme="0"/>
      <name val="Calibri"/>
      <family val="2"/>
    </font>
    <font>
      <sz val="11"/>
      <color theme="1"/>
      <name val="Calibri"/>
      <family val="2"/>
    </font>
    <font>
      <sz val="12"/>
      <color theme="1"/>
      <name val="Caecilia LT Std Light"/>
      <family val="1"/>
      <scheme val="minor"/>
    </font>
    <font>
      <b/>
      <sz val="12"/>
      <color theme="0"/>
      <name val="Caecilia LT Std Light"/>
      <family val="1"/>
      <scheme val="minor"/>
    </font>
    <font>
      <sz val="12"/>
      <name val="Caecilia LT Std Light"/>
      <family val="1"/>
      <scheme val="minor"/>
    </font>
    <font>
      <u/>
      <sz val="12"/>
      <name val="Caecilia LT Std Light"/>
      <family val="1"/>
      <scheme val="minor"/>
    </font>
    <font>
      <u/>
      <sz val="12"/>
      <color theme="10"/>
      <name val="Caecilia LT Std Light"/>
      <family val="1"/>
      <scheme val="minor"/>
    </font>
    <font>
      <sz val="12"/>
      <color rgb="FFFF0000"/>
      <name val="Caecilia LT Std Light"/>
      <family val="1"/>
      <scheme val="minor"/>
    </font>
    <font>
      <b/>
      <sz val="12"/>
      <color theme="1"/>
      <name val="Caecilia LT Std Light"/>
      <family val="1"/>
      <scheme val="minor"/>
    </font>
    <font>
      <b/>
      <sz val="11"/>
      <color theme="1"/>
      <name val="Caecilia LT Std Light"/>
      <family val="1"/>
      <scheme val="minor"/>
    </font>
    <font>
      <b/>
      <sz val="9"/>
      <color indexed="81"/>
      <name val="Tahoma"/>
      <family val="2"/>
    </font>
    <font>
      <sz val="12"/>
      <color theme="1"/>
      <name val="Caecilia LT Std Light"/>
      <family val="2"/>
      <scheme val="minor"/>
    </font>
    <font>
      <b/>
      <sz val="11"/>
      <color theme="1"/>
      <name val="Caecilia LT Std Light"/>
      <scheme val="minor"/>
    </font>
    <font>
      <sz val="11"/>
      <color theme="1"/>
      <name val="Caecilia LT Std Light"/>
      <scheme val="minor"/>
    </font>
  </fonts>
  <fills count="4">
    <fill>
      <patternFill patternType="none"/>
    </fill>
    <fill>
      <patternFill patternType="gray125"/>
    </fill>
    <fill>
      <patternFill patternType="solid">
        <fgColor rgb="FF0054A5"/>
        <bgColor indexed="64"/>
      </patternFill>
    </fill>
    <fill>
      <patternFill patternType="solid">
        <fgColor theme="4"/>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3" fillId="0" borderId="0"/>
    <xf numFmtId="0" fontId="4" fillId="0" borderId="0" applyNumberFormat="0" applyFill="0" applyBorder="0" applyAlignment="0" applyProtection="0"/>
    <xf numFmtId="9" fontId="6" fillId="0" borderId="0" applyFont="0" applyFill="0" applyBorder="0" applyAlignment="0" applyProtection="0"/>
  </cellStyleXfs>
  <cellXfs count="71">
    <xf numFmtId="0" fontId="0" fillId="0" borderId="0" xfId="0"/>
    <xf numFmtId="9" fontId="0" fillId="0" borderId="0" xfId="0" applyNumberFormat="1"/>
    <xf numFmtId="0" fontId="0" fillId="0" borderId="0" xfId="0" applyNumberFormat="1"/>
    <xf numFmtId="0" fontId="0" fillId="0" borderId="0" xfId="0" applyFill="1"/>
    <xf numFmtId="0" fontId="2" fillId="3" borderId="0" xfId="0" applyFont="1" applyFill="1"/>
    <xf numFmtId="2" fontId="0" fillId="0" borderId="0" xfId="0" applyNumberFormat="1"/>
    <xf numFmtId="0" fontId="0" fillId="0" borderId="0" xfId="0" applyAlignment="1">
      <alignment horizontal="fill"/>
    </xf>
    <xf numFmtId="0" fontId="0" fillId="0" borderId="0" xfId="0" applyAlignment="1">
      <alignment wrapText="1"/>
    </xf>
    <xf numFmtId="0" fontId="0" fillId="0" borderId="0" xfId="0" pivotButton="1"/>
    <xf numFmtId="0" fontId="0" fillId="0" borderId="0" xfId="0" applyAlignment="1">
      <alignment horizontal="left"/>
    </xf>
    <xf numFmtId="0" fontId="7" fillId="0" borderId="0" xfId="0" applyFont="1"/>
    <xf numFmtId="9" fontId="0" fillId="0" borderId="0" xfId="3" applyFont="1"/>
    <xf numFmtId="0" fontId="8" fillId="0" borderId="0" xfId="0" applyFont="1" applyFill="1" applyAlignment="1">
      <alignment horizontal="fill"/>
    </xf>
    <xf numFmtId="0" fontId="4" fillId="0" borderId="0" xfId="2" applyFill="1" applyAlignment="1">
      <alignment horizontal="fill"/>
    </xf>
    <xf numFmtId="0" fontId="9" fillId="0" borderId="0" xfId="0" applyFont="1" applyFill="1"/>
    <xf numFmtId="0" fontId="9" fillId="0" borderId="0" xfId="0" applyFont="1" applyFill="1" applyAlignment="1">
      <alignment horizontal="fill"/>
    </xf>
    <xf numFmtId="0" fontId="0" fillId="0" borderId="0" xfId="0" applyFill="1" applyAlignment="1">
      <alignment horizontal="fill"/>
    </xf>
    <xf numFmtId="0" fontId="9" fillId="0" borderId="0" xfId="0" applyFont="1" applyFill="1" applyAlignment="1">
      <alignment horizontal="fill" wrapText="1"/>
    </xf>
    <xf numFmtId="0" fontId="9" fillId="0" borderId="0" xfId="0" applyFont="1" applyFill="1" applyAlignment="1">
      <alignment wrapText="1"/>
    </xf>
    <xf numFmtId="0" fontId="0" fillId="0" borderId="0" xfId="0" applyFill="1" applyAlignment="1">
      <alignment wrapText="1"/>
    </xf>
    <xf numFmtId="0" fontId="11"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1" applyFont="1" applyFill="1" applyBorder="1" applyAlignment="1">
      <alignment horizontal="fill" vertical="center" wrapText="1"/>
    </xf>
    <xf numFmtId="0" fontId="9" fillId="0" borderId="0" xfId="0" applyFont="1" applyFill="1" applyAlignment="1">
      <alignment horizontal="center" wrapText="1"/>
    </xf>
    <xf numFmtId="0" fontId="10" fillId="0" borderId="0" xfId="2" applyFont="1" applyFill="1" applyAlignment="1">
      <alignment horizontal="fill"/>
    </xf>
    <xf numFmtId="0" fontId="12" fillId="0" borderId="0" xfId="0" applyFont="1" applyFill="1" applyAlignment="1">
      <alignment horizontal="fill" wrapText="1"/>
    </xf>
    <xf numFmtId="0" fontId="12" fillId="0" borderId="0" xfId="0" applyFont="1" applyAlignment="1">
      <alignment horizontal="fill" wrapText="1"/>
    </xf>
    <xf numFmtId="0" fontId="9" fillId="0" borderId="0" xfId="1" applyFont="1"/>
    <xf numFmtId="17" fontId="9" fillId="0" borderId="0" xfId="0" applyNumberFormat="1" applyFont="1" applyFill="1" applyAlignment="1">
      <alignment wrapText="1"/>
    </xf>
    <xf numFmtId="9" fontId="0" fillId="0" borderId="0" xfId="0" applyNumberFormat="1"/>
    <xf numFmtId="0" fontId="13" fillId="0" borderId="0" xfId="0" applyFont="1" applyAlignment="1">
      <alignment horizontal="fill"/>
    </xf>
    <xf numFmtId="0" fontId="14" fillId="3" borderId="0" xfId="0" applyFont="1" applyFill="1" applyAlignment="1">
      <alignment horizontal="left" wrapText="1"/>
    </xf>
    <xf numFmtId="14" fontId="14" fillId="3" borderId="0" xfId="0" applyNumberFormat="1" applyFont="1" applyFill="1" applyAlignment="1">
      <alignment horizontal="left" wrapText="1"/>
    </xf>
    <xf numFmtId="9" fontId="14" fillId="3" borderId="0" xfId="0" applyNumberFormat="1" applyFont="1" applyFill="1" applyAlignment="1">
      <alignment horizontal="left" wrapText="1"/>
    </xf>
    <xf numFmtId="0" fontId="14" fillId="3" borderId="0" xfId="0" applyNumberFormat="1" applyFont="1" applyFill="1" applyAlignment="1">
      <alignment horizontal="left" wrapText="1"/>
    </xf>
    <xf numFmtId="0" fontId="13" fillId="0" borderId="0" xfId="0" applyFont="1" applyAlignment="1">
      <alignment horizontal="left" wrapText="1"/>
    </xf>
    <xf numFmtId="0" fontId="16" fillId="0" borderId="0" xfId="2" applyFont="1" applyFill="1" applyAlignment="1">
      <alignment horizontal="fill"/>
    </xf>
    <xf numFmtId="0" fontId="17" fillId="0" borderId="0" xfId="2" applyFont="1" applyFill="1" applyAlignment="1">
      <alignment horizontal="fill"/>
    </xf>
    <xf numFmtId="0" fontId="15" fillId="0" borderId="0" xfId="0" applyFont="1" applyFill="1" applyAlignment="1">
      <alignment horizontal="fill"/>
    </xf>
    <xf numFmtId="17" fontId="15" fillId="0" borderId="0" xfId="0" applyNumberFormat="1" applyFont="1" applyFill="1" applyAlignment="1">
      <alignment horizontal="fill"/>
    </xf>
    <xf numFmtId="9" fontId="15" fillId="0" borderId="0" xfId="0" applyNumberFormat="1" applyFont="1" applyFill="1" applyAlignment="1">
      <alignment horizontal="right"/>
    </xf>
    <xf numFmtId="9" fontId="15" fillId="0" borderId="0" xfId="3" applyFont="1" applyFill="1" applyAlignment="1">
      <alignment horizontal="right"/>
    </xf>
    <xf numFmtId="0" fontId="13" fillId="0" borderId="0" xfId="0" applyFont="1" applyAlignment="1"/>
    <xf numFmtId="14" fontId="13" fillId="0" borderId="0" xfId="0" applyNumberFormat="1" applyFont="1" applyAlignment="1"/>
    <xf numFmtId="9" fontId="13" fillId="0" borderId="0" xfId="0" applyNumberFormat="1" applyFont="1" applyAlignment="1"/>
    <xf numFmtId="0" fontId="13" fillId="0" borderId="0" xfId="0" applyNumberFormat="1" applyFont="1" applyAlignment="1"/>
    <xf numFmtId="0" fontId="13" fillId="0" borderId="0" xfId="0" applyFont="1" applyFill="1" applyAlignment="1"/>
    <xf numFmtId="0" fontId="15" fillId="0" borderId="0" xfId="0" applyFont="1" applyFill="1" applyAlignment="1"/>
    <xf numFmtId="14" fontId="15" fillId="0" borderId="0" xfId="0" applyNumberFormat="1" applyFont="1" applyFill="1" applyAlignment="1"/>
    <xf numFmtId="9" fontId="15" fillId="0" borderId="0" xfId="0" applyNumberFormat="1" applyFont="1" applyFill="1" applyAlignment="1"/>
    <xf numFmtId="3" fontId="15" fillId="0" borderId="0" xfId="0" applyNumberFormat="1" applyFont="1" applyFill="1" applyAlignment="1"/>
    <xf numFmtId="4" fontId="15" fillId="0" borderId="0" xfId="0" applyNumberFormat="1" applyFont="1" applyFill="1" applyAlignment="1"/>
    <xf numFmtId="2" fontId="15" fillId="0" borderId="0" xfId="0" applyNumberFormat="1" applyFont="1" applyFill="1" applyAlignment="1"/>
    <xf numFmtId="0" fontId="15" fillId="0" borderId="0" xfId="0" applyNumberFormat="1" applyFont="1" applyFill="1" applyAlignment="1"/>
    <xf numFmtId="9" fontId="13" fillId="0" borderId="0" xfId="0" applyNumberFormat="1" applyFont="1" applyFill="1" applyAlignment="1"/>
    <xf numFmtId="164" fontId="15" fillId="0" borderId="0" xfId="0" applyNumberFormat="1" applyFont="1" applyFill="1" applyAlignment="1"/>
    <xf numFmtId="17" fontId="15" fillId="0" borderId="0" xfId="0" applyNumberFormat="1" applyFont="1" applyFill="1" applyAlignment="1"/>
    <xf numFmtId="165" fontId="15" fillId="0" borderId="0" xfId="0" applyNumberFormat="1" applyFont="1" applyFill="1" applyAlignment="1"/>
    <xf numFmtId="10" fontId="15" fillId="0" borderId="0" xfId="0" applyNumberFormat="1" applyFont="1" applyFill="1" applyAlignment="1"/>
    <xf numFmtId="9" fontId="15" fillId="0" borderId="0" xfId="3" applyFont="1" applyFill="1" applyAlignment="1"/>
    <xf numFmtId="0" fontId="18" fillId="0" borderId="0" xfId="0" applyFont="1" applyAlignment="1"/>
    <xf numFmtId="14" fontId="15" fillId="0" borderId="0" xfId="0" applyNumberFormat="1" applyFont="1" applyAlignment="1"/>
    <xf numFmtId="0" fontId="15" fillId="0" borderId="0" xfId="0" applyFont="1" applyAlignment="1"/>
    <xf numFmtId="9" fontId="15" fillId="0" borderId="0" xfId="0" applyNumberFormat="1" applyFont="1" applyAlignment="1"/>
    <xf numFmtId="0" fontId="15" fillId="0" borderId="0" xfId="0" applyNumberFormat="1" applyFont="1" applyAlignment="1"/>
    <xf numFmtId="0" fontId="19" fillId="0" borderId="0" xfId="0" applyNumberFormat="1" applyFont="1" applyAlignment="1"/>
    <xf numFmtId="0" fontId="20" fillId="0" borderId="0" xfId="0" applyFont="1"/>
    <xf numFmtId="0" fontId="22" fillId="0" borderId="0" xfId="0" applyFont="1" applyAlignment="1">
      <alignment wrapText="1"/>
    </xf>
    <xf numFmtId="0" fontId="23" fillId="0" borderId="0" xfId="0" applyFont="1"/>
    <xf numFmtId="0" fontId="0" fillId="0" borderId="0" xfId="0" applyAlignment="1"/>
    <xf numFmtId="0" fontId="24" fillId="0" borderId="0" xfId="0" applyFont="1" applyAlignment="1">
      <alignment wrapText="1"/>
    </xf>
  </cellXfs>
  <cellStyles count="4">
    <cellStyle name="Hyperlink" xfId="2" builtinId="8"/>
    <cellStyle name="Normal" xfId="0" builtinId="0"/>
    <cellStyle name="Normal 2" xfId="1" xr:uid="{00000000-0005-0000-0000-000002000000}"/>
    <cellStyle name="Percent" xfId="3" builtinId="5"/>
  </cellStyles>
  <dxfs count="4">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Chart_OverallRR!$C$4</c:f>
              <c:strCache>
                <c:ptCount val="1"/>
                <c:pt idx="0">
                  <c:v>Annual aMW (Reported)</c:v>
                </c:pt>
              </c:strCache>
            </c:strRef>
          </c:tx>
          <c:spPr>
            <a:solidFill>
              <a:schemeClr val="accent2"/>
            </a:solidFill>
            <a:ln>
              <a:noFill/>
            </a:ln>
            <a:effectLst/>
          </c:spPr>
          <c:invertIfNegative val="0"/>
          <c:cat>
            <c:strRef>
              <c:f>Chart_OverallRR!$B$5:$B$8</c:f>
              <c:strCache>
                <c:ptCount val="4"/>
                <c:pt idx="0">
                  <c:v>Statistical</c:v>
                </c:pt>
                <c:pt idx="1">
                  <c:v>Delivery Verification</c:v>
                </c:pt>
                <c:pt idx="2">
                  <c:v>Engineering Analysis</c:v>
                </c:pt>
                <c:pt idx="3">
                  <c:v>Total</c:v>
                </c:pt>
              </c:strCache>
            </c:strRef>
          </c:cat>
          <c:val>
            <c:numRef>
              <c:f>Chart_OverallRR!$C$5:$C$8</c:f>
              <c:numCache>
                <c:formatCode>0.00</c:formatCode>
                <c:ptCount val="4"/>
                <c:pt idx="0">
                  <c:v>5.3496692922374427</c:v>
                </c:pt>
                <c:pt idx="1">
                  <c:v>8.6</c:v>
                </c:pt>
                <c:pt idx="2">
                  <c:v>53.824885844748856</c:v>
                </c:pt>
                <c:pt idx="3">
                  <c:v>66.390902168949779</c:v>
                </c:pt>
              </c:numCache>
            </c:numRef>
          </c:val>
          <c:extLst>
            <c:ext xmlns:c16="http://schemas.microsoft.com/office/drawing/2014/chart" uri="{C3380CC4-5D6E-409C-BE32-E72D297353CC}">
              <c16:uniqueId val="{00000000-7728-45B0-A5A3-6154D4985D43}"/>
            </c:ext>
          </c:extLst>
        </c:ser>
        <c:ser>
          <c:idx val="1"/>
          <c:order val="1"/>
          <c:tx>
            <c:strRef>
              <c:f>Chart_OverallRR!$D$4</c:f>
              <c:strCache>
                <c:ptCount val="1"/>
                <c:pt idx="0">
                  <c:v>Annual aMW (Evaluated)</c:v>
                </c:pt>
              </c:strCache>
            </c:strRef>
          </c:tx>
          <c:spPr>
            <a:solidFill>
              <a:schemeClr val="accent3"/>
            </a:solidFill>
            <a:ln>
              <a:noFill/>
            </a:ln>
            <a:effectLst/>
          </c:spPr>
          <c:invertIfNegative val="0"/>
          <c:cat>
            <c:strRef>
              <c:f>Chart_OverallRR!$B$5:$B$8</c:f>
              <c:strCache>
                <c:ptCount val="4"/>
                <c:pt idx="0">
                  <c:v>Statistical</c:v>
                </c:pt>
                <c:pt idx="1">
                  <c:v>Delivery Verification</c:v>
                </c:pt>
                <c:pt idx="2">
                  <c:v>Engineering Analysis</c:v>
                </c:pt>
                <c:pt idx="3">
                  <c:v>Total</c:v>
                </c:pt>
              </c:strCache>
            </c:strRef>
          </c:cat>
          <c:val>
            <c:numRef>
              <c:f>Chart_OverallRR!$D$5:$D$8</c:f>
              <c:numCache>
                <c:formatCode>0.00</c:formatCode>
                <c:ptCount val="4"/>
                <c:pt idx="0">
                  <c:v>3.9231664383561644</c:v>
                </c:pt>
                <c:pt idx="1">
                  <c:v>8.52</c:v>
                </c:pt>
                <c:pt idx="2">
                  <c:v>52.967351598173508</c:v>
                </c:pt>
                <c:pt idx="3">
                  <c:v>63.599970091324209</c:v>
                </c:pt>
              </c:numCache>
            </c:numRef>
          </c:val>
          <c:extLst>
            <c:ext xmlns:c16="http://schemas.microsoft.com/office/drawing/2014/chart" uri="{C3380CC4-5D6E-409C-BE32-E72D297353CC}">
              <c16:uniqueId val="{00000001-7728-45B0-A5A3-6154D4985D43}"/>
            </c:ext>
          </c:extLst>
        </c:ser>
        <c:dLbls>
          <c:showLegendKey val="0"/>
          <c:showVal val="0"/>
          <c:showCatName val="0"/>
          <c:showSerName val="0"/>
          <c:showPercent val="0"/>
          <c:showBubbleSize val="0"/>
        </c:dLbls>
        <c:gapWidth val="219"/>
        <c:axId val="509861832"/>
        <c:axId val="509855600"/>
      </c:barChart>
      <c:lineChart>
        <c:grouping val="standard"/>
        <c:varyColors val="0"/>
        <c:ser>
          <c:idx val="2"/>
          <c:order val="2"/>
          <c:tx>
            <c:strRef>
              <c:f>Chart_OverallRR!$E$4</c:f>
              <c:strCache>
                <c:ptCount val="1"/>
                <c:pt idx="0">
                  <c:v>Realization Rate (Left Axis)</c:v>
                </c:pt>
              </c:strCache>
            </c:strRef>
          </c:tx>
          <c:spPr>
            <a:ln w="28575" cap="rnd">
              <a:noFill/>
              <a:round/>
            </a:ln>
            <a:effectLst/>
          </c:spPr>
          <c:marker>
            <c:symbol val="square"/>
            <c:size val="8"/>
            <c:spPr>
              <a:solidFill>
                <a:schemeClr val="accent1"/>
              </a:solidFill>
              <a:ln w="9525">
                <a:solidFill>
                  <a:schemeClr val="accent1"/>
                </a:solidFill>
              </a:ln>
              <a:effectLst/>
            </c:spPr>
          </c:marker>
          <c:cat>
            <c:strRef>
              <c:f>Chart_OverallRR!$B$5:$B$8</c:f>
              <c:strCache>
                <c:ptCount val="4"/>
                <c:pt idx="0">
                  <c:v>Statistical</c:v>
                </c:pt>
                <c:pt idx="1">
                  <c:v>Delivery Verification</c:v>
                </c:pt>
                <c:pt idx="2">
                  <c:v>Engineering Analysis</c:v>
                </c:pt>
                <c:pt idx="3">
                  <c:v>Total</c:v>
                </c:pt>
              </c:strCache>
            </c:strRef>
          </c:cat>
          <c:val>
            <c:numRef>
              <c:f>Chart_OverallRR!$E$5:$E$8</c:f>
              <c:numCache>
                <c:formatCode>0%</c:formatCode>
                <c:ptCount val="4"/>
                <c:pt idx="0">
                  <c:v>0.73334746954336338</c:v>
                </c:pt>
                <c:pt idx="1">
                  <c:v>0.99069767441860457</c:v>
                </c:pt>
                <c:pt idx="2">
                  <c:v>0.98406807124405626</c:v>
                </c:pt>
                <c:pt idx="3">
                  <c:v>0.95796213055633306</c:v>
                </c:pt>
              </c:numCache>
            </c:numRef>
          </c:val>
          <c:smooth val="0"/>
          <c:extLst>
            <c:ext xmlns:c16="http://schemas.microsoft.com/office/drawing/2014/chart" uri="{C3380CC4-5D6E-409C-BE32-E72D297353CC}">
              <c16:uniqueId val="{00000002-7728-45B0-A5A3-6154D4985D43}"/>
            </c:ext>
          </c:extLst>
        </c:ser>
        <c:dLbls>
          <c:showLegendKey val="0"/>
          <c:showVal val="0"/>
          <c:showCatName val="0"/>
          <c:showSerName val="0"/>
          <c:showPercent val="0"/>
          <c:showBubbleSize val="0"/>
        </c:dLbls>
        <c:marker val="1"/>
        <c:smooth val="0"/>
        <c:axId val="509845104"/>
        <c:axId val="509846416"/>
      </c:lineChart>
      <c:catAx>
        <c:axId val="50984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509846416"/>
        <c:crosses val="autoZero"/>
        <c:auto val="1"/>
        <c:lblAlgn val="ctr"/>
        <c:lblOffset val="100"/>
        <c:noMultiLvlLbl val="0"/>
      </c:catAx>
      <c:valAx>
        <c:axId val="509846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Realization Rate</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solidFill>
                <a:latin typeface="+mn-lt"/>
                <a:ea typeface="+mn-ea"/>
                <a:cs typeface="+mn-cs"/>
              </a:defRPr>
            </a:pPr>
            <a:endParaRPr lang="en-US"/>
          </a:p>
        </c:txPr>
        <c:crossAx val="509845104"/>
        <c:crosses val="autoZero"/>
        <c:crossBetween val="between"/>
      </c:valAx>
      <c:valAx>
        <c:axId val="509855600"/>
        <c:scaling>
          <c:orientation val="minMax"/>
        </c:scaling>
        <c:delete val="0"/>
        <c:axPos val="r"/>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solidFill>
                <a:latin typeface="+mn-lt"/>
                <a:ea typeface="+mn-ea"/>
                <a:cs typeface="+mn-cs"/>
              </a:defRPr>
            </a:pPr>
            <a:endParaRPr lang="en-US"/>
          </a:p>
        </c:txPr>
        <c:crossAx val="509861832"/>
        <c:crosses val="max"/>
        <c:crossBetween val="between"/>
      </c:valAx>
      <c:catAx>
        <c:axId val="509861832"/>
        <c:scaling>
          <c:orientation val="minMax"/>
        </c:scaling>
        <c:delete val="1"/>
        <c:axPos val="b"/>
        <c:numFmt formatCode="General" sourceLinked="1"/>
        <c:majorTickMark val="out"/>
        <c:minorTickMark val="none"/>
        <c:tickLblPos val="nextTo"/>
        <c:crossAx val="509855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[BPAEvaluation_Realization_Rate_and_Recommendation_Tracker 091721.xlsx]Chart_RRMethod!PivotTable1</c:name>
    <c:fmtId val="2"/>
  </c:pivotSource>
  <c:chart>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dLbl>
          <c:idx val="0"/>
          <c:showLegendKey val="0"/>
          <c:showVal val="0"/>
          <c:showCatName val="0"/>
          <c:showSerName val="0"/>
          <c:showPercent val="0"/>
          <c:showBubbleSize val="0"/>
          <c:extLst>
            <c:ext xmlns:c15="http://schemas.microsoft.com/office/drawing/2012/chart" uri="{CE6537A1-D6FC-4f65-9D91-7224C49458BB}"/>
          </c:extLst>
        </c:dLbl>
      </c:pivotFmt>
      <c:pivotFmt>
        <c:idx val="25"/>
        <c:dLbl>
          <c:idx val="0"/>
          <c:showLegendKey val="0"/>
          <c:showVal val="0"/>
          <c:showCatName val="0"/>
          <c:showSerName val="0"/>
          <c:showPercent val="0"/>
          <c:showBubbleSize val="0"/>
          <c:extLst>
            <c:ext xmlns:c15="http://schemas.microsoft.com/office/drawing/2012/chart" uri="{CE6537A1-D6FC-4f65-9D91-7224C49458BB}"/>
          </c:extLst>
        </c:dLbl>
      </c:pivotFmt>
      <c:pivotFmt>
        <c:idx val="26"/>
        <c:dLbl>
          <c:idx val="0"/>
          <c:showLegendKey val="0"/>
          <c:showVal val="0"/>
          <c:showCatName val="0"/>
          <c:showSerName val="0"/>
          <c:showPercent val="0"/>
          <c:showBubbleSize val="0"/>
          <c:extLst>
            <c:ext xmlns:c15="http://schemas.microsoft.com/office/drawing/2012/chart" uri="{CE6537A1-D6FC-4f65-9D91-7224C49458BB}"/>
          </c:extLst>
        </c:dLbl>
      </c:pivotFmt>
      <c:pivotFmt>
        <c:idx val="27"/>
        <c:dLbl>
          <c:idx val="0"/>
          <c:showLegendKey val="0"/>
          <c:showVal val="0"/>
          <c:showCatName val="0"/>
          <c:showSerName val="0"/>
          <c:showPercent val="0"/>
          <c:showBubbleSize val="0"/>
          <c:extLst>
            <c:ext xmlns:c15="http://schemas.microsoft.com/office/drawing/2012/chart" uri="{CE6537A1-D6FC-4f65-9D91-7224C49458BB}"/>
          </c:extLst>
        </c:dLbl>
      </c:pivotFmt>
      <c:pivotFmt>
        <c:idx val="28"/>
        <c:dLbl>
          <c:idx val="0"/>
          <c:showLegendKey val="0"/>
          <c:showVal val="0"/>
          <c:showCatName val="0"/>
          <c:showSerName val="0"/>
          <c:showPercent val="0"/>
          <c:showBubbleSize val="0"/>
          <c:extLst>
            <c:ext xmlns:c15="http://schemas.microsoft.com/office/drawing/2012/chart" uri="{CE6537A1-D6FC-4f65-9D91-7224C49458BB}"/>
          </c:extLst>
        </c:dLbl>
      </c:pivotFmt>
      <c:pivotFmt>
        <c:idx val="29"/>
        <c:dLbl>
          <c:idx val="0"/>
          <c:showLegendKey val="0"/>
          <c:showVal val="0"/>
          <c:showCatName val="0"/>
          <c:showSerName val="0"/>
          <c:showPercent val="0"/>
          <c:showBubbleSize val="0"/>
          <c:extLst>
            <c:ext xmlns:c15="http://schemas.microsoft.com/office/drawing/2012/chart" uri="{CE6537A1-D6FC-4f65-9D91-7224C49458BB}"/>
          </c:extLst>
        </c:dLbl>
      </c:pivotFmt>
      <c:pivotFmt>
        <c:idx val="30"/>
        <c:dLbl>
          <c:idx val="0"/>
          <c:showLegendKey val="0"/>
          <c:showVal val="0"/>
          <c:showCatName val="0"/>
          <c:showSerName val="0"/>
          <c:showPercent val="0"/>
          <c:showBubbleSize val="0"/>
          <c:extLst>
            <c:ext xmlns:c15="http://schemas.microsoft.com/office/drawing/2012/chart" uri="{CE6537A1-D6FC-4f65-9D91-7224C49458BB}"/>
          </c:extLst>
        </c:dLbl>
      </c:pivotFmt>
      <c:pivotFmt>
        <c:idx val="31"/>
        <c:dLbl>
          <c:idx val="0"/>
          <c:showLegendKey val="0"/>
          <c:showVal val="0"/>
          <c:showCatName val="0"/>
          <c:showSerName val="0"/>
          <c:showPercent val="0"/>
          <c:showBubbleSize val="0"/>
          <c:extLst>
            <c:ext xmlns:c15="http://schemas.microsoft.com/office/drawing/2012/chart" uri="{CE6537A1-D6FC-4f65-9D91-7224C49458BB}"/>
          </c:extLst>
        </c:dLbl>
      </c:pivotFmt>
      <c:pivotFmt>
        <c:idx val="32"/>
        <c:dLbl>
          <c:idx val="0"/>
          <c:showLegendKey val="0"/>
          <c:showVal val="0"/>
          <c:showCatName val="0"/>
          <c:showSerName val="0"/>
          <c:showPercent val="0"/>
          <c:showBubbleSize val="0"/>
          <c:extLst>
            <c:ext xmlns:c15="http://schemas.microsoft.com/office/drawing/2012/chart" uri="{CE6537A1-D6FC-4f65-9D91-7224C49458BB}"/>
          </c:extLst>
        </c:dLbl>
      </c:pivotFmt>
      <c:pivotFmt>
        <c:idx val="33"/>
        <c:dLbl>
          <c:idx val="0"/>
          <c:showLegendKey val="0"/>
          <c:showVal val="0"/>
          <c:showCatName val="0"/>
          <c:showSerName val="0"/>
          <c:showPercent val="0"/>
          <c:showBubbleSize val="0"/>
          <c:extLst>
            <c:ext xmlns:c15="http://schemas.microsoft.com/office/drawing/2012/chart" uri="{CE6537A1-D6FC-4f65-9D91-7224C49458BB}"/>
          </c:extLst>
        </c:dLbl>
      </c:pivotFmt>
      <c:pivotFmt>
        <c:idx val="34"/>
        <c:dLbl>
          <c:idx val="0"/>
          <c:showLegendKey val="0"/>
          <c:showVal val="0"/>
          <c:showCatName val="0"/>
          <c:showSerName val="0"/>
          <c:showPercent val="0"/>
          <c:showBubbleSize val="0"/>
          <c:extLst>
            <c:ext xmlns:c15="http://schemas.microsoft.com/office/drawing/2012/chart" uri="{CE6537A1-D6FC-4f65-9D91-7224C49458BB}"/>
          </c:extLst>
        </c:dLbl>
      </c:pivotFmt>
      <c:pivotFmt>
        <c:idx val="35"/>
        <c:dLbl>
          <c:idx val="0"/>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7"/>
        <c:spPr>
          <a:ln w="28575" cap="rnd">
            <a:noFill/>
            <a:round/>
          </a:ln>
          <a:effectLst/>
        </c:spPr>
        <c:marker>
          <c:symbol val="square"/>
          <c:size val="8"/>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dLbl>
          <c:idx val="0"/>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566784151981"/>
          <c:y val="4.2479243097122997E-2"/>
          <c:w val="0.77731623547056627"/>
          <c:h val="0.62600889252050962"/>
        </c:manualLayout>
      </c:layout>
      <c:barChart>
        <c:barDir val="col"/>
        <c:grouping val="clustered"/>
        <c:varyColors val="0"/>
        <c:ser>
          <c:idx val="1"/>
          <c:order val="1"/>
          <c:tx>
            <c:strRef>
              <c:f>Chart_RRMethod!$E$5:$E$12</c:f>
              <c:strCache>
                <c:ptCount val="1"/>
                <c:pt idx="0">
                  <c:v>Annual aMW (Reported)</c:v>
                </c:pt>
              </c:strCache>
            </c:strRef>
          </c:tx>
          <c:spPr>
            <a:solidFill>
              <a:schemeClr val="accent2"/>
            </a:solidFill>
            <a:ln>
              <a:noFill/>
            </a:ln>
            <a:effectLst/>
          </c:spPr>
          <c:invertIfNegative val="0"/>
          <c:cat>
            <c:strRef>
              <c:f>Chart_RRMethod!$E$5:$E$12</c:f>
              <c:strCache>
                <c:ptCount val="8"/>
                <c:pt idx="0">
                  <c:v>Retail Lighting (15)</c:v>
                </c:pt>
                <c:pt idx="1">
                  <c:v>By-Request Lighting (15)</c:v>
                </c:pt>
                <c:pt idx="2">
                  <c:v>Ductless Heat Pumps (17)</c:v>
                </c:pt>
                <c:pt idx="3">
                  <c:v>Advanced Power Strips (17)</c:v>
                </c:pt>
                <c:pt idx="4">
                  <c:v>Showerheads (17)</c:v>
                </c:pt>
                <c:pt idx="5">
                  <c:v>Heat Pump Water Heaters (17)</c:v>
                </c:pt>
                <c:pt idx="6">
                  <c:v>Transformer De-energization (17)</c:v>
                </c:pt>
                <c:pt idx="7">
                  <c:v>Green Motors (17)</c:v>
                </c:pt>
              </c:strCache>
            </c:strRef>
          </c:cat>
          <c:val>
            <c:numRef>
              <c:f>Chart_RRMethod!$E$5:$E$12</c:f>
              <c:numCache>
                <c:formatCode>General</c:formatCode>
                <c:ptCount val="8"/>
                <c:pt idx="0">
                  <c:v>5.08</c:v>
                </c:pt>
                <c:pt idx="1">
                  <c:v>0.48999999999999994</c:v>
                </c:pt>
                <c:pt idx="2">
                  <c:v>1.01</c:v>
                </c:pt>
                <c:pt idx="3">
                  <c:v>0.71</c:v>
                </c:pt>
                <c:pt idx="4">
                  <c:v>0.94</c:v>
                </c:pt>
                <c:pt idx="5">
                  <c:v>0.11</c:v>
                </c:pt>
                <c:pt idx="6">
                  <c:v>0.2</c:v>
                </c:pt>
                <c:pt idx="7">
                  <c:v>6.0000000000000005E-2</c:v>
                </c:pt>
              </c:numCache>
            </c:numRef>
          </c:val>
          <c:extLst>
            <c:ext xmlns:c16="http://schemas.microsoft.com/office/drawing/2014/chart" uri="{C3380CC4-5D6E-409C-BE32-E72D297353CC}">
              <c16:uniqueId val="{00000003-5944-4E9A-ABDD-74A0A077F4E1}"/>
            </c:ext>
          </c:extLst>
        </c:ser>
        <c:ser>
          <c:idx val="2"/>
          <c:order val="2"/>
          <c:tx>
            <c:strRef>
              <c:f>Chart_RRMethod!$E$5:$E$12</c:f>
              <c:strCache>
                <c:ptCount val="1"/>
                <c:pt idx="0">
                  <c:v>Annual aMW (Evaluated)</c:v>
                </c:pt>
              </c:strCache>
            </c:strRef>
          </c:tx>
          <c:spPr>
            <a:solidFill>
              <a:schemeClr val="accent3"/>
            </a:solidFill>
            <a:ln>
              <a:noFill/>
            </a:ln>
            <a:effectLst/>
          </c:spPr>
          <c:invertIfNegative val="0"/>
          <c:cat>
            <c:strRef>
              <c:f>Chart_RRMethod!$E$5:$E$12</c:f>
              <c:strCache>
                <c:ptCount val="8"/>
                <c:pt idx="0">
                  <c:v>Retail Lighting (15)</c:v>
                </c:pt>
                <c:pt idx="1">
                  <c:v>By-Request Lighting (15)</c:v>
                </c:pt>
                <c:pt idx="2">
                  <c:v>Ductless Heat Pumps (17)</c:v>
                </c:pt>
                <c:pt idx="3">
                  <c:v>Advanced Power Strips (17)</c:v>
                </c:pt>
                <c:pt idx="4">
                  <c:v>Showerheads (17)</c:v>
                </c:pt>
                <c:pt idx="5">
                  <c:v>Heat Pump Water Heaters (17)</c:v>
                </c:pt>
                <c:pt idx="6">
                  <c:v>Transformer De-energization (17)</c:v>
                </c:pt>
                <c:pt idx="7">
                  <c:v>Green Motors (17)</c:v>
                </c:pt>
              </c:strCache>
            </c:strRef>
          </c:cat>
          <c:val>
            <c:numRef>
              <c:f>Chart_RRMethod!$E$5:$E$12</c:f>
              <c:numCache>
                <c:formatCode>General</c:formatCode>
                <c:ptCount val="8"/>
                <c:pt idx="0">
                  <c:v>5.09</c:v>
                </c:pt>
                <c:pt idx="1">
                  <c:v>0.46</c:v>
                </c:pt>
                <c:pt idx="2">
                  <c:v>0.95</c:v>
                </c:pt>
                <c:pt idx="3">
                  <c:v>0.71</c:v>
                </c:pt>
                <c:pt idx="4">
                  <c:v>0.94</c:v>
                </c:pt>
                <c:pt idx="5">
                  <c:v>0.11</c:v>
                </c:pt>
                <c:pt idx="6">
                  <c:v>0.2</c:v>
                </c:pt>
                <c:pt idx="7">
                  <c:v>0.06</c:v>
                </c:pt>
              </c:numCache>
            </c:numRef>
          </c:val>
          <c:extLst>
            <c:ext xmlns:c16="http://schemas.microsoft.com/office/drawing/2014/chart" uri="{C3380CC4-5D6E-409C-BE32-E72D297353CC}">
              <c16:uniqueId val="{00000004-5944-4E9A-ABDD-74A0A077F4E1}"/>
            </c:ext>
          </c:extLst>
        </c:ser>
        <c:dLbls>
          <c:showLegendKey val="0"/>
          <c:showVal val="0"/>
          <c:showCatName val="0"/>
          <c:showSerName val="0"/>
          <c:showPercent val="0"/>
          <c:showBubbleSize val="0"/>
        </c:dLbls>
        <c:gapWidth val="219"/>
        <c:axId val="508887520"/>
        <c:axId val="508889488"/>
      </c:barChart>
      <c:lineChart>
        <c:grouping val="standard"/>
        <c:varyColors val="0"/>
        <c:ser>
          <c:idx val="0"/>
          <c:order val="0"/>
          <c:tx>
            <c:strRef>
              <c:f>Chart_RRMethod!$E$5:$E$12</c:f>
              <c:strCache>
                <c:ptCount val="1"/>
                <c:pt idx="0">
                  <c:v> Realization Rate (Left Axis)</c:v>
                </c:pt>
              </c:strCache>
            </c:strRef>
          </c:tx>
          <c:spPr>
            <a:ln w="28575" cap="rnd">
              <a:noFill/>
              <a:round/>
            </a:ln>
            <a:effectLst/>
          </c:spPr>
          <c:marker>
            <c:symbol val="square"/>
            <c:size val="8"/>
            <c:spPr>
              <a:solidFill>
                <a:schemeClr val="accent1"/>
              </a:solidFill>
              <a:ln w="9525">
                <a:solidFill>
                  <a:schemeClr val="accent1"/>
                </a:solidFill>
              </a:ln>
              <a:effectLst/>
            </c:spPr>
          </c:marker>
          <c:dPt>
            <c:idx val="8"/>
            <c:marker>
              <c:symbol val="square"/>
              <c:size val="8"/>
              <c:spPr>
                <a:solidFill>
                  <a:schemeClr val="accent1"/>
                </a:solidFill>
                <a:ln w="9525">
                  <a:solidFill>
                    <a:schemeClr val="accent1"/>
                  </a:solidFill>
                </a:ln>
                <a:effectLst/>
              </c:spPr>
            </c:marker>
            <c:bubble3D val="0"/>
            <c:extLst>
              <c:ext xmlns:c16="http://schemas.microsoft.com/office/drawing/2014/chart" uri="{C3380CC4-5D6E-409C-BE32-E72D297353CC}">
                <c16:uniqueId val="{00000004-C504-498C-9610-554526DB48A1}"/>
              </c:ext>
            </c:extLst>
          </c:dPt>
          <c:errBars>
            <c:errDir val="y"/>
            <c:errBarType val="both"/>
            <c:errValType val="cust"/>
            <c:noEndCap val="0"/>
            <c:plus>
              <c:numRef>
                <c:f>Chart_RRMethod!$E$5:$E$12</c:f>
                <c:numCache>
                  <c:formatCode>General</c:formatCode>
                  <c:ptCount val="8"/>
                  <c:pt idx="0">
                    <c:v>2E-3</c:v>
                  </c:pt>
                  <c:pt idx="1">
                    <c:v>5.5E-2</c:v>
                  </c:pt>
                  <c:pt idx="2">
                    <c:v>2.7E-2</c:v>
                  </c:pt>
                  <c:pt idx="3">
                    <c:v>1.6E-2</c:v>
                  </c:pt>
                  <c:pt idx="4">
                    <c:v>5.7099999999999998E-2</c:v>
                  </c:pt>
                  <c:pt idx="5">
                    <c:v>7.0000000000000007E-2</c:v>
                  </c:pt>
                  <c:pt idx="6">
                    <c:v>0</c:v>
                  </c:pt>
                  <c:pt idx="7">
                    <c:v>0</c:v>
                  </c:pt>
                </c:numCache>
              </c:numRef>
            </c:plus>
            <c:minus>
              <c:numRef>
                <c:f>Chart_RRMethod!$E$5:$E$12</c:f>
                <c:numCache>
                  <c:formatCode>General</c:formatCode>
                  <c:ptCount val="8"/>
                  <c:pt idx="0">
                    <c:v>2E-3</c:v>
                  </c:pt>
                  <c:pt idx="1">
                    <c:v>5.5E-2</c:v>
                  </c:pt>
                  <c:pt idx="2">
                    <c:v>2.7E-2</c:v>
                  </c:pt>
                  <c:pt idx="3">
                    <c:v>1.6E-2</c:v>
                  </c:pt>
                  <c:pt idx="4">
                    <c:v>5.7099999999999998E-2</c:v>
                  </c:pt>
                  <c:pt idx="5">
                    <c:v>7.0000000000000007E-2</c:v>
                  </c:pt>
                  <c:pt idx="6">
                    <c:v>0</c:v>
                  </c:pt>
                  <c:pt idx="7">
                    <c:v>0</c:v>
                  </c:pt>
                </c:numCache>
              </c:numRef>
            </c:minus>
            <c:spPr>
              <a:noFill/>
              <a:ln w="12700" cap="flat" cmpd="sng" algn="ctr">
                <a:solidFill>
                  <a:schemeClr val="accent4"/>
                </a:solidFill>
                <a:round/>
              </a:ln>
              <a:effectLst/>
            </c:spPr>
          </c:errBars>
          <c:cat>
            <c:strRef>
              <c:f>Chart_RRMethod!$E$5:$E$12</c:f>
              <c:strCache>
                <c:ptCount val="8"/>
                <c:pt idx="0">
                  <c:v>Retail Lighting (15)</c:v>
                </c:pt>
                <c:pt idx="1">
                  <c:v>By-Request Lighting (15)</c:v>
                </c:pt>
                <c:pt idx="2">
                  <c:v>Ductless Heat Pumps (17)</c:v>
                </c:pt>
                <c:pt idx="3">
                  <c:v>Advanced Power Strips (17)</c:v>
                </c:pt>
                <c:pt idx="4">
                  <c:v>Showerheads (17)</c:v>
                </c:pt>
                <c:pt idx="5">
                  <c:v>Heat Pump Water Heaters (17)</c:v>
                </c:pt>
                <c:pt idx="6">
                  <c:v>Transformer De-energization (17)</c:v>
                </c:pt>
                <c:pt idx="7">
                  <c:v>Green Motors (17)</c:v>
                </c:pt>
              </c:strCache>
            </c:strRef>
          </c:cat>
          <c:val>
            <c:numRef>
              <c:f>Chart_RRMethod!$E$5:$E$12</c:f>
              <c:numCache>
                <c:formatCode>0%</c:formatCode>
                <c:ptCount val="8"/>
                <c:pt idx="0">
                  <c:v>1</c:v>
                </c:pt>
                <c:pt idx="1">
                  <c:v>0.92900000000000005</c:v>
                </c:pt>
                <c:pt idx="2">
                  <c:v>0.95</c:v>
                </c:pt>
                <c:pt idx="3">
                  <c:v>1</c:v>
                </c:pt>
                <c:pt idx="4">
                  <c:v>1</c:v>
                </c:pt>
                <c:pt idx="5">
                  <c:v>1.0900000000000001</c:v>
                </c:pt>
                <c:pt idx="6">
                  <c:v>1</c:v>
                </c:pt>
                <c:pt idx="7">
                  <c:v>1</c:v>
                </c:pt>
              </c:numCache>
            </c:numRef>
          </c:val>
          <c:smooth val="0"/>
          <c:extLst>
            <c:ext xmlns:c16="http://schemas.microsoft.com/office/drawing/2014/chart" uri="{C3380CC4-5D6E-409C-BE32-E72D297353CC}">
              <c16:uniqueId val="{00000005-C504-498C-9610-554526DB48A1}"/>
            </c:ext>
          </c:extLst>
        </c:ser>
        <c:dLbls>
          <c:showLegendKey val="0"/>
          <c:showVal val="0"/>
          <c:showCatName val="0"/>
          <c:showSerName val="0"/>
          <c:showPercent val="0"/>
          <c:showBubbleSize val="0"/>
        </c:dLbls>
        <c:marker val="1"/>
        <c:smooth val="0"/>
        <c:axId val="662578200"/>
        <c:axId val="662584432"/>
      </c:lineChart>
      <c:valAx>
        <c:axId val="508889488"/>
        <c:scaling>
          <c:orientation val="minMax"/>
          <c:max val="6"/>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r>
                  <a:rPr lang="en-US" sz="1800">
                    <a:solidFill>
                      <a:schemeClr val="accent4"/>
                    </a:solidFill>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508887520"/>
        <c:crosses val="max"/>
        <c:crossBetween val="between"/>
      </c:valAx>
      <c:catAx>
        <c:axId val="50888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1400" b="0" i="0" u="none" strike="noStrike" kern="1200" baseline="0">
                <a:solidFill>
                  <a:schemeClr val="accent4"/>
                </a:solidFill>
                <a:latin typeface="+mn-lt"/>
                <a:ea typeface="+mn-ea"/>
                <a:cs typeface="+mn-cs"/>
              </a:defRPr>
            </a:pPr>
            <a:endParaRPr lang="en-US"/>
          </a:p>
        </c:txPr>
        <c:crossAx val="508889488"/>
        <c:crosses val="autoZero"/>
        <c:auto val="1"/>
        <c:lblAlgn val="ctr"/>
        <c:lblOffset val="100"/>
        <c:noMultiLvlLbl val="0"/>
      </c:catAx>
      <c:valAx>
        <c:axId val="662584432"/>
        <c:scaling>
          <c:orientation val="minMax"/>
          <c:max val="1.2"/>
          <c:min val="0"/>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latin typeface="+mn-lt"/>
                  </a:rPr>
                  <a:t>Realization Rate</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62578200"/>
        <c:crosses val="autoZero"/>
        <c:crossBetween val="between"/>
      </c:valAx>
      <c:catAx>
        <c:axId val="662578200"/>
        <c:scaling>
          <c:orientation val="minMax"/>
        </c:scaling>
        <c:delete val="1"/>
        <c:axPos val="b"/>
        <c:numFmt formatCode="General" sourceLinked="1"/>
        <c:majorTickMark val="out"/>
        <c:minorTickMark val="none"/>
        <c:tickLblPos val="nextTo"/>
        <c:crossAx val="6625844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[BPAEvaluation_Realization_Rate_and_Recommendation_Tracker 091721.xlsx]Chart_RRMethod!PivotTable6</c:name>
    <c:fmtId val="7"/>
  </c:pivotSource>
  <c:chart>
    <c:autoTitleDeleted val="0"/>
    <c:pivotFmts>
      <c:pivotFmt>
        <c:idx val="0"/>
        <c:spPr>
          <a:ln w="28575" cap="rnd">
            <a:noFill/>
            <a:round/>
          </a:ln>
          <a:effectLst/>
        </c:spPr>
        <c:marker>
          <c:symbol val="square"/>
          <c:size val="8"/>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pPr>
            <a:solidFill>
              <a:schemeClr val="accent1"/>
            </a:solidFill>
            <a:ln w="9525">
              <a:solidFill>
                <a:schemeClr val="accent1"/>
              </a:solidFill>
            </a:ln>
            <a:effectLst/>
          </c:spPr>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1"/>
          <c:order val="1"/>
          <c:tx>
            <c:strRef>
              <c:f>Chart_RRMethod!$E$52:$E$60</c:f>
              <c:strCache>
                <c:ptCount val="1"/>
                <c:pt idx="0">
                  <c:v>Annual aMW (Reported)</c:v>
                </c:pt>
              </c:strCache>
            </c:strRef>
          </c:tx>
          <c:spPr>
            <a:solidFill>
              <a:schemeClr val="accent2"/>
            </a:solidFill>
            <a:ln>
              <a:noFill/>
            </a:ln>
            <a:effectLst/>
          </c:spPr>
          <c:invertIfNegative val="0"/>
          <c:cat>
            <c:strRef>
              <c:f>Chart_RRMethod!$E$52:$E$60</c:f>
              <c:strCache>
                <c:ptCount val="9"/>
                <c:pt idx="0">
                  <c:v>Opt. 1 Com/Ag Lighting (12-13)</c:v>
                </c:pt>
                <c:pt idx="1">
                  <c:v>Opt. 1 Com/Ag Non-Lighting (12-13)</c:v>
                </c:pt>
                <c:pt idx="2">
                  <c:v>Opt. 1 Industrial Lighting (12-13)</c:v>
                </c:pt>
                <c:pt idx="3">
                  <c:v>Opt. 1 Industrial Non-Lighting (12-13_</c:v>
                </c:pt>
                <c:pt idx="4">
                  <c:v>Opt. 2 Commercial Lighting (12-13)</c:v>
                </c:pt>
                <c:pt idx="5">
                  <c:v>Opt. 2 Commercial Non-Lighting (12-13)</c:v>
                </c:pt>
                <c:pt idx="6">
                  <c:v>Opt. 2 ESRP (12-13)</c:v>
                </c:pt>
                <c:pt idx="7">
                  <c:v>Opt. 2 Industrial Lighting (12-13)</c:v>
                </c:pt>
                <c:pt idx="8">
                  <c:v>Opt. 2 Industrial Non-Lighting (12-13)</c:v>
                </c:pt>
              </c:strCache>
            </c:strRef>
          </c:cat>
          <c:val>
            <c:numRef>
              <c:f>Chart_RRMethod!$E$52:$E$60</c:f>
              <c:numCache>
                <c:formatCode>General</c:formatCode>
                <c:ptCount val="9"/>
                <c:pt idx="0">
                  <c:v>10.970662100456622</c:v>
                </c:pt>
                <c:pt idx="1">
                  <c:v>2.9787671232876711</c:v>
                </c:pt>
                <c:pt idx="2">
                  <c:v>4.0473744292237441</c:v>
                </c:pt>
                <c:pt idx="3">
                  <c:v>13.907534246575343</c:v>
                </c:pt>
                <c:pt idx="4">
                  <c:v>10.764840182648403</c:v>
                </c:pt>
                <c:pt idx="5">
                  <c:v>4.2127853881278536</c:v>
                </c:pt>
                <c:pt idx="6">
                  <c:v>3.0174657534246574</c:v>
                </c:pt>
                <c:pt idx="7">
                  <c:v>1.1694063926940639</c:v>
                </c:pt>
                <c:pt idx="8">
                  <c:v>2.7560502283105022</c:v>
                </c:pt>
              </c:numCache>
            </c:numRef>
          </c:val>
          <c:extLst>
            <c:ext xmlns:c16="http://schemas.microsoft.com/office/drawing/2014/chart" uri="{C3380CC4-5D6E-409C-BE32-E72D297353CC}">
              <c16:uniqueId val="{00000002-7DEC-42B8-88A4-87710524512B}"/>
            </c:ext>
          </c:extLst>
        </c:ser>
        <c:ser>
          <c:idx val="2"/>
          <c:order val="2"/>
          <c:tx>
            <c:strRef>
              <c:f>Chart_RRMethod!$E$52:$E$60</c:f>
              <c:strCache>
                <c:ptCount val="1"/>
                <c:pt idx="0">
                  <c:v>Annual aMW (Evaluated)</c:v>
                </c:pt>
              </c:strCache>
            </c:strRef>
          </c:tx>
          <c:spPr>
            <a:solidFill>
              <a:schemeClr val="accent3"/>
            </a:solidFill>
            <a:ln>
              <a:noFill/>
            </a:ln>
            <a:effectLst/>
          </c:spPr>
          <c:invertIfNegative val="0"/>
          <c:cat>
            <c:strRef>
              <c:f>Chart_RRMethod!$E$52:$E$60</c:f>
              <c:strCache>
                <c:ptCount val="9"/>
                <c:pt idx="0">
                  <c:v>Opt. 1 Com/Ag Lighting (12-13)</c:v>
                </c:pt>
                <c:pt idx="1">
                  <c:v>Opt. 1 Com/Ag Non-Lighting (12-13)</c:v>
                </c:pt>
                <c:pt idx="2">
                  <c:v>Opt. 1 Industrial Lighting (12-13)</c:v>
                </c:pt>
                <c:pt idx="3">
                  <c:v>Opt. 1 Industrial Non-Lighting (12-13_</c:v>
                </c:pt>
                <c:pt idx="4">
                  <c:v>Opt. 2 Commercial Lighting (12-13)</c:v>
                </c:pt>
                <c:pt idx="5">
                  <c:v>Opt. 2 Commercial Non-Lighting (12-13)</c:v>
                </c:pt>
                <c:pt idx="6">
                  <c:v>Opt. 2 ESRP (12-13)</c:v>
                </c:pt>
                <c:pt idx="7">
                  <c:v>Opt. 2 Industrial Lighting (12-13)</c:v>
                </c:pt>
                <c:pt idx="8">
                  <c:v>Opt. 2 Industrial Non-Lighting (12-13)</c:v>
                </c:pt>
              </c:strCache>
            </c:strRef>
          </c:cat>
          <c:val>
            <c:numRef>
              <c:f>Chart_RRMethod!$E$52:$E$60</c:f>
              <c:numCache>
                <c:formatCode>General</c:formatCode>
                <c:ptCount val="9"/>
                <c:pt idx="0">
                  <c:v>10.213584474885845</c:v>
                </c:pt>
                <c:pt idx="1">
                  <c:v>3.4116438356164385</c:v>
                </c:pt>
                <c:pt idx="2">
                  <c:v>3.7804794520547946</c:v>
                </c:pt>
                <c:pt idx="3">
                  <c:v>13.736529680365297</c:v>
                </c:pt>
                <c:pt idx="4">
                  <c:v>11.690296803652968</c:v>
                </c:pt>
                <c:pt idx="5">
                  <c:v>4.6547945205479451</c:v>
                </c:pt>
                <c:pt idx="6">
                  <c:v>1.4929223744292237</c:v>
                </c:pt>
                <c:pt idx="7">
                  <c:v>1.1921232876712329</c:v>
                </c:pt>
                <c:pt idx="8">
                  <c:v>2.7949771689497718</c:v>
                </c:pt>
              </c:numCache>
            </c:numRef>
          </c:val>
          <c:extLst>
            <c:ext xmlns:c16="http://schemas.microsoft.com/office/drawing/2014/chart" uri="{C3380CC4-5D6E-409C-BE32-E72D297353CC}">
              <c16:uniqueId val="{00000003-7DEC-42B8-88A4-87710524512B}"/>
            </c:ext>
          </c:extLst>
        </c:ser>
        <c:dLbls>
          <c:showLegendKey val="0"/>
          <c:showVal val="0"/>
          <c:showCatName val="0"/>
          <c:showSerName val="0"/>
          <c:showPercent val="0"/>
          <c:showBubbleSize val="0"/>
        </c:dLbls>
        <c:gapWidth val="219"/>
        <c:axId val="1022088543"/>
        <c:axId val="819699087"/>
      </c:barChart>
      <c:lineChart>
        <c:grouping val="standard"/>
        <c:varyColors val="0"/>
        <c:ser>
          <c:idx val="0"/>
          <c:order val="0"/>
          <c:tx>
            <c:strRef>
              <c:f>Chart_RRMethod!$E$52:$E$60</c:f>
              <c:strCache>
                <c:ptCount val="1"/>
                <c:pt idx="0">
                  <c:v> Realization Rate (Left Axis)</c:v>
                </c:pt>
              </c:strCache>
            </c:strRef>
          </c:tx>
          <c:spPr>
            <a:ln w="28575" cap="rnd">
              <a:noFill/>
              <a:round/>
            </a:ln>
            <a:effectLst/>
          </c:spPr>
          <c:marker>
            <c:symbol val="square"/>
            <c:size val="8"/>
            <c:spPr>
              <a:solidFill>
                <a:schemeClr val="accent1"/>
              </a:solidFill>
              <a:ln w="9525">
                <a:solidFill>
                  <a:schemeClr val="accent1"/>
                </a:solidFill>
              </a:ln>
              <a:effectLst/>
            </c:spPr>
          </c:marker>
          <c:errBars>
            <c:errDir val="y"/>
            <c:errBarType val="both"/>
            <c:errValType val="cust"/>
            <c:noEndCap val="0"/>
            <c:plus>
              <c:numRef>
                <c:f>Chart_RRMethod!$E$52:$E$60</c:f>
                <c:numCache>
                  <c:formatCode>General</c:formatCode>
                  <c:ptCount val="9"/>
                  <c:pt idx="0">
                    <c:v>0.05</c:v>
                  </c:pt>
                  <c:pt idx="1">
                    <c:v>0.19</c:v>
                  </c:pt>
                  <c:pt idx="2">
                    <c:v>0.08</c:v>
                  </c:pt>
                  <c:pt idx="3">
                    <c:v>0.05</c:v>
                  </c:pt>
                  <c:pt idx="4">
                    <c:v>0.08</c:v>
                  </c:pt>
                  <c:pt idx="5">
                    <c:v>0.08</c:v>
                  </c:pt>
                  <c:pt idx="6">
                    <c:v>0.18</c:v>
                  </c:pt>
                  <c:pt idx="7">
                    <c:v>0.03</c:v>
                  </c:pt>
                  <c:pt idx="8">
                    <c:v>7.0000000000000007E-2</c:v>
                  </c:pt>
                </c:numCache>
              </c:numRef>
            </c:plus>
            <c:minus>
              <c:numRef>
                <c:f>Chart_RRMethod!$E$52:$E$60</c:f>
                <c:numCache>
                  <c:formatCode>General</c:formatCode>
                  <c:ptCount val="9"/>
                  <c:pt idx="0">
                    <c:v>0.05</c:v>
                  </c:pt>
                  <c:pt idx="1">
                    <c:v>0.19</c:v>
                  </c:pt>
                  <c:pt idx="2">
                    <c:v>0.08</c:v>
                  </c:pt>
                  <c:pt idx="3">
                    <c:v>0.05</c:v>
                  </c:pt>
                  <c:pt idx="4">
                    <c:v>0.08</c:v>
                  </c:pt>
                  <c:pt idx="5">
                    <c:v>0.08</c:v>
                  </c:pt>
                  <c:pt idx="6">
                    <c:v>0.18</c:v>
                  </c:pt>
                  <c:pt idx="7">
                    <c:v>0.03</c:v>
                  </c:pt>
                  <c:pt idx="8">
                    <c:v>7.0000000000000007E-2</c:v>
                  </c:pt>
                </c:numCache>
              </c:numRef>
            </c:minus>
            <c:spPr>
              <a:noFill/>
              <a:ln w="12700" cap="flat" cmpd="sng" algn="ctr">
                <a:solidFill>
                  <a:schemeClr val="accent4"/>
                </a:solidFill>
                <a:round/>
              </a:ln>
              <a:effectLst/>
            </c:spPr>
          </c:errBars>
          <c:cat>
            <c:strRef>
              <c:f>Chart_RRMethod!$E$52:$E$60</c:f>
              <c:strCache>
                <c:ptCount val="9"/>
                <c:pt idx="0">
                  <c:v>Opt. 1 Com/Ag Lighting (12-13)</c:v>
                </c:pt>
                <c:pt idx="1">
                  <c:v>Opt. 1 Com/Ag Non-Lighting (12-13)</c:v>
                </c:pt>
                <c:pt idx="2">
                  <c:v>Opt. 1 Industrial Lighting (12-13)</c:v>
                </c:pt>
                <c:pt idx="3">
                  <c:v>Opt. 1 Industrial Non-Lighting (12-13_</c:v>
                </c:pt>
                <c:pt idx="4">
                  <c:v>Opt. 2 Commercial Lighting (12-13)</c:v>
                </c:pt>
                <c:pt idx="5">
                  <c:v>Opt. 2 Commercial Non-Lighting (12-13)</c:v>
                </c:pt>
                <c:pt idx="6">
                  <c:v>Opt. 2 ESRP (12-13)</c:v>
                </c:pt>
                <c:pt idx="7">
                  <c:v>Opt. 2 Industrial Lighting (12-13)</c:v>
                </c:pt>
                <c:pt idx="8">
                  <c:v>Opt. 2 Industrial Non-Lighting (12-13)</c:v>
                </c:pt>
              </c:strCache>
            </c:strRef>
          </c:cat>
          <c:val>
            <c:numRef>
              <c:f>Chart_RRMethod!$E$52:$E$60</c:f>
              <c:numCache>
                <c:formatCode>0%</c:formatCode>
                <c:ptCount val="9"/>
                <c:pt idx="0">
                  <c:v>0.93</c:v>
                </c:pt>
                <c:pt idx="1">
                  <c:v>1.1499999999999999</c:v>
                </c:pt>
                <c:pt idx="2">
                  <c:v>0.93</c:v>
                </c:pt>
                <c:pt idx="3">
                  <c:v>0.99</c:v>
                </c:pt>
                <c:pt idx="4">
                  <c:v>1.0900000000000001</c:v>
                </c:pt>
                <c:pt idx="5">
                  <c:v>1.1000000000000001</c:v>
                </c:pt>
                <c:pt idx="6">
                  <c:v>0.49</c:v>
                </c:pt>
                <c:pt idx="7">
                  <c:v>1.02</c:v>
                </c:pt>
                <c:pt idx="8">
                  <c:v>1.01</c:v>
                </c:pt>
              </c:numCache>
            </c:numRef>
          </c:val>
          <c:smooth val="0"/>
          <c:extLst>
            <c:ext xmlns:c16="http://schemas.microsoft.com/office/drawing/2014/chart" uri="{C3380CC4-5D6E-409C-BE32-E72D297353CC}">
              <c16:uniqueId val="{00000000-F386-479D-AF23-B7D5D3D37A65}"/>
            </c:ext>
          </c:extLst>
        </c:ser>
        <c:dLbls>
          <c:showLegendKey val="0"/>
          <c:showVal val="0"/>
          <c:showCatName val="0"/>
          <c:showSerName val="0"/>
          <c:showPercent val="0"/>
          <c:showBubbleSize val="0"/>
        </c:dLbls>
        <c:marker val="1"/>
        <c:smooth val="0"/>
        <c:axId val="665639880"/>
        <c:axId val="665639552"/>
      </c:lineChart>
      <c:valAx>
        <c:axId val="819699087"/>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r>
                  <a:rPr lang="en-US" sz="1800">
                    <a:solidFill>
                      <a:schemeClr val="accent4"/>
                    </a:solidFill>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solidFill>
                <a:latin typeface="+mn-lt"/>
                <a:ea typeface="+mn-ea"/>
                <a:cs typeface="+mn-cs"/>
              </a:defRPr>
            </a:pPr>
            <a:endParaRPr lang="en-US"/>
          </a:p>
        </c:txPr>
        <c:crossAx val="1022088543"/>
        <c:crosses val="max"/>
        <c:crossBetween val="between"/>
      </c:valAx>
      <c:catAx>
        <c:axId val="102208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accent4"/>
                </a:solidFill>
                <a:latin typeface="+mn-lt"/>
                <a:ea typeface="+mn-ea"/>
                <a:cs typeface="+mn-cs"/>
              </a:defRPr>
            </a:pPr>
            <a:endParaRPr lang="en-US"/>
          </a:p>
        </c:txPr>
        <c:crossAx val="819699087"/>
        <c:crosses val="autoZero"/>
        <c:auto val="1"/>
        <c:lblAlgn val="ctr"/>
        <c:lblOffset val="100"/>
        <c:noMultiLvlLbl val="0"/>
      </c:catAx>
      <c:valAx>
        <c:axId val="665639552"/>
        <c:scaling>
          <c:orientation val="minMax"/>
          <c:max val="1.4"/>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Realization</a:t>
                </a:r>
                <a:r>
                  <a:rPr lang="en-US" sz="1800" baseline="0">
                    <a:solidFill>
                      <a:schemeClr val="accent4"/>
                    </a:solidFill>
                  </a:rPr>
                  <a:t> Rate</a:t>
                </a:r>
                <a:endParaRPr lang="en-US" sz="1800">
                  <a:solidFill>
                    <a:schemeClr val="accent4"/>
                  </a:solidFill>
                </a:endParaRP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accent4"/>
                </a:solidFill>
                <a:latin typeface="+mn-lt"/>
                <a:ea typeface="+mn-ea"/>
                <a:cs typeface="+mn-cs"/>
              </a:defRPr>
            </a:pPr>
            <a:endParaRPr lang="en-US"/>
          </a:p>
        </c:txPr>
        <c:crossAx val="665639880"/>
        <c:crosses val="autoZero"/>
        <c:crossBetween val="between"/>
      </c:valAx>
      <c:catAx>
        <c:axId val="665639880"/>
        <c:scaling>
          <c:orientation val="minMax"/>
        </c:scaling>
        <c:delete val="1"/>
        <c:axPos val="b"/>
        <c:numFmt formatCode="General" sourceLinked="1"/>
        <c:majorTickMark val="out"/>
        <c:minorTickMark val="none"/>
        <c:tickLblPos val="nextTo"/>
        <c:crossAx val="665639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[BPAEvaluation_Realization_Rate_and_Recommendation_Tracker 091721.xlsx]Chart_RRMethod!PivotTable2</c:name>
    <c:fmtId val="8"/>
  </c:pivotSource>
  <c:chart>
    <c:autoTitleDeleted val="0"/>
    <c:pivotFmts>
      <c:pivotFmt>
        <c:idx val="0"/>
        <c:spPr>
          <a:ln w="28575" cap="rnd">
            <a:noFill/>
            <a:round/>
          </a:ln>
          <a:effectLst/>
        </c:spPr>
        <c:marker>
          <c:symbol val="square"/>
          <c:size val="8"/>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333246922885252"/>
          <c:y val="5.4354565659172821E-2"/>
          <c:w val="0.72269694230825776"/>
          <c:h val="0.60462429625994951"/>
        </c:manualLayout>
      </c:layout>
      <c:barChart>
        <c:barDir val="col"/>
        <c:grouping val="clustered"/>
        <c:varyColors val="0"/>
        <c:ser>
          <c:idx val="1"/>
          <c:order val="1"/>
          <c:tx>
            <c:strRef>
              <c:f>Chart_RRMethod!$E$78:$E$86</c:f>
              <c:strCache>
                <c:ptCount val="1"/>
                <c:pt idx="0">
                  <c:v>Annual aMW (Reported)</c:v>
                </c:pt>
              </c:strCache>
            </c:strRef>
          </c:tx>
          <c:spPr>
            <a:solidFill>
              <a:schemeClr val="accent2"/>
            </a:solidFill>
            <a:ln>
              <a:noFill/>
            </a:ln>
            <a:effectLst/>
          </c:spPr>
          <c:invertIfNegative val="0"/>
          <c:cat>
            <c:strRef>
              <c:f>Chart_RRMethod!$E$78:$E$86</c:f>
              <c:strCache>
                <c:ptCount val="9"/>
                <c:pt idx="0">
                  <c:v>ASHP Conversion w/ Sealing (09-11)</c:v>
                </c:pt>
                <c:pt idx="1">
                  <c:v>ASHP Conversions (09-11)</c:v>
                </c:pt>
                <c:pt idx="2">
                  <c:v>DHP Replacing eFAF (15-16)</c:v>
                </c:pt>
                <c:pt idx="3">
                  <c:v>DHP Replacing Zonal (15-16)</c:v>
                </c:pt>
                <c:pt idx="4">
                  <c:v>HPEM (10-14)</c:v>
                </c:pt>
                <c:pt idx="5">
                  <c:v>Performance Duct Sealing (09-11)</c:v>
                </c:pt>
                <c:pt idx="6">
                  <c:v>Prescriptive Duct Sealing (15-16)</c:v>
                </c:pt>
                <c:pt idx="7">
                  <c:v>Track &amp; Tune (10-14)</c:v>
                </c:pt>
                <c:pt idx="8">
                  <c:v>Windows (14-15)</c:v>
                </c:pt>
              </c:strCache>
            </c:strRef>
          </c:cat>
          <c:val>
            <c:numRef>
              <c:f>Chart_RRMethod!$E$78:$E$86</c:f>
              <c:numCache>
                <c:formatCode>General</c:formatCode>
                <c:ptCount val="9"/>
                <c:pt idx="0">
                  <c:v>0.52910262557077625</c:v>
                </c:pt>
                <c:pt idx="1">
                  <c:v>0.28384520547945202</c:v>
                </c:pt>
                <c:pt idx="2">
                  <c:v>0.32504178082191781</c:v>
                </c:pt>
                <c:pt idx="3">
                  <c:v>0.40196210045662101</c:v>
                </c:pt>
                <c:pt idx="4">
                  <c:v>1.6042237442922374</c:v>
                </c:pt>
                <c:pt idx="5">
                  <c:v>0.69639063926940636</c:v>
                </c:pt>
                <c:pt idx="6">
                  <c:v>2.7906164383561645E-2</c:v>
                </c:pt>
                <c:pt idx="7">
                  <c:v>1.0994292237442922</c:v>
                </c:pt>
                <c:pt idx="8">
                  <c:v>0.20764383561643837</c:v>
                </c:pt>
              </c:numCache>
            </c:numRef>
          </c:val>
          <c:extLst>
            <c:ext xmlns:c16="http://schemas.microsoft.com/office/drawing/2014/chart" uri="{C3380CC4-5D6E-409C-BE32-E72D297353CC}">
              <c16:uniqueId val="{00000000-283C-46D0-ABA9-49C30181363B}"/>
            </c:ext>
          </c:extLst>
        </c:ser>
        <c:ser>
          <c:idx val="2"/>
          <c:order val="2"/>
          <c:tx>
            <c:strRef>
              <c:f>Chart_RRMethod!$E$78:$E$86</c:f>
              <c:strCache>
                <c:ptCount val="1"/>
                <c:pt idx="0">
                  <c:v>Annual aMW (Evaluated)</c:v>
                </c:pt>
              </c:strCache>
            </c:strRef>
          </c:tx>
          <c:spPr>
            <a:solidFill>
              <a:schemeClr val="accent3"/>
            </a:solidFill>
            <a:ln>
              <a:noFill/>
            </a:ln>
            <a:effectLst/>
          </c:spPr>
          <c:invertIfNegative val="0"/>
          <c:cat>
            <c:strRef>
              <c:f>Chart_RRMethod!$E$78:$E$86</c:f>
              <c:strCache>
                <c:ptCount val="9"/>
                <c:pt idx="0">
                  <c:v>ASHP Conversion w/ Sealing (09-11)</c:v>
                </c:pt>
                <c:pt idx="1">
                  <c:v>ASHP Conversions (09-11)</c:v>
                </c:pt>
                <c:pt idx="2">
                  <c:v>DHP Replacing eFAF (15-16)</c:v>
                </c:pt>
                <c:pt idx="3">
                  <c:v>DHP Replacing Zonal (15-16)</c:v>
                </c:pt>
                <c:pt idx="4">
                  <c:v>HPEM (10-14)</c:v>
                </c:pt>
                <c:pt idx="5">
                  <c:v>Performance Duct Sealing (09-11)</c:v>
                </c:pt>
                <c:pt idx="6">
                  <c:v>Prescriptive Duct Sealing (15-16)</c:v>
                </c:pt>
                <c:pt idx="7">
                  <c:v>Track &amp; Tune (10-14)</c:v>
                </c:pt>
                <c:pt idx="8">
                  <c:v>Windows (14-15)</c:v>
                </c:pt>
              </c:strCache>
            </c:strRef>
          </c:cat>
          <c:val>
            <c:numRef>
              <c:f>Chart_RRMethod!$E$78:$E$86</c:f>
              <c:numCache>
                <c:formatCode>General</c:formatCode>
                <c:ptCount val="9"/>
                <c:pt idx="0">
                  <c:v>0.29393835616438357</c:v>
                </c:pt>
                <c:pt idx="1">
                  <c:v>0.17510273972602741</c:v>
                </c:pt>
                <c:pt idx="2">
                  <c:v>0.16348173515981734</c:v>
                </c:pt>
                <c:pt idx="3">
                  <c:v>0.33906392694063925</c:v>
                </c:pt>
                <c:pt idx="4">
                  <c:v>1.2712328767123289</c:v>
                </c:pt>
                <c:pt idx="5">
                  <c:v>0.22742009132420091</c:v>
                </c:pt>
                <c:pt idx="6">
                  <c:v>-7.3287671232876717E-3</c:v>
                </c:pt>
                <c:pt idx="7">
                  <c:v>1.1493150684931508</c:v>
                </c:pt>
                <c:pt idx="8">
                  <c:v>0.14047945205479451</c:v>
                </c:pt>
              </c:numCache>
            </c:numRef>
          </c:val>
          <c:extLst>
            <c:ext xmlns:c16="http://schemas.microsoft.com/office/drawing/2014/chart" uri="{C3380CC4-5D6E-409C-BE32-E72D297353CC}">
              <c16:uniqueId val="{00000001-283C-46D0-ABA9-49C30181363B}"/>
            </c:ext>
          </c:extLst>
        </c:ser>
        <c:dLbls>
          <c:showLegendKey val="0"/>
          <c:showVal val="0"/>
          <c:showCatName val="0"/>
          <c:showSerName val="0"/>
          <c:showPercent val="0"/>
          <c:showBubbleSize val="0"/>
        </c:dLbls>
        <c:gapWidth val="219"/>
        <c:axId val="646319552"/>
        <c:axId val="646316600"/>
      </c:barChart>
      <c:lineChart>
        <c:grouping val="standard"/>
        <c:varyColors val="0"/>
        <c:ser>
          <c:idx val="0"/>
          <c:order val="0"/>
          <c:tx>
            <c:strRef>
              <c:f>Chart_RRMethod!$E$78:$E$86</c:f>
              <c:strCache>
                <c:ptCount val="1"/>
                <c:pt idx="0">
                  <c:v> Realization Rate (Left Axis)</c:v>
                </c:pt>
              </c:strCache>
            </c:strRef>
          </c:tx>
          <c:spPr>
            <a:ln w="28575" cap="rnd">
              <a:noFill/>
              <a:round/>
            </a:ln>
            <a:effectLst/>
          </c:spPr>
          <c:marker>
            <c:symbol val="square"/>
            <c:size val="8"/>
            <c:spPr>
              <a:solidFill>
                <a:schemeClr val="accent1"/>
              </a:solidFill>
              <a:ln w="9525">
                <a:solidFill>
                  <a:schemeClr val="accent1"/>
                </a:solidFill>
              </a:ln>
              <a:effectLst/>
            </c:spPr>
          </c:marker>
          <c:errBars>
            <c:errDir val="y"/>
            <c:errBarType val="both"/>
            <c:errValType val="cust"/>
            <c:noEndCap val="0"/>
            <c:plus>
              <c:numRef>
                <c:f>Chart_RRMethod!$E$78:$E$86</c:f>
                <c:numCache>
                  <c:formatCode>General</c:formatCode>
                  <c:ptCount val="9"/>
                  <c:pt idx="0">
                    <c:v>#N/A</c:v>
                  </c:pt>
                  <c:pt idx="1">
                    <c:v>0.1</c:v>
                  </c:pt>
                  <c:pt idx="2">
                    <c:v>9.1999999999999998E-2</c:v>
                  </c:pt>
                  <c:pt idx="3">
                    <c:v>9.9000000000000005E-2</c:v>
                  </c:pt>
                  <c:pt idx="4">
                    <c:v>#N/A</c:v>
                  </c:pt>
                  <c:pt idx="5">
                    <c:v>0.15</c:v>
                  </c:pt>
                  <c:pt idx="6">
                    <c:v>0.69</c:v>
                  </c:pt>
                  <c:pt idx="7">
                    <c:v>#N/A</c:v>
                  </c:pt>
                  <c:pt idx="8">
                    <c:v>0.18</c:v>
                  </c:pt>
                </c:numCache>
              </c:numRef>
            </c:plus>
            <c:minus>
              <c:numRef>
                <c:f>Chart_RRMethod!$E$78:$E$86</c:f>
                <c:numCache>
                  <c:formatCode>General</c:formatCode>
                  <c:ptCount val="9"/>
                  <c:pt idx="0">
                    <c:v>#N/A</c:v>
                  </c:pt>
                  <c:pt idx="1">
                    <c:v>0.1</c:v>
                  </c:pt>
                  <c:pt idx="2">
                    <c:v>9.1999999999999998E-2</c:v>
                  </c:pt>
                  <c:pt idx="3">
                    <c:v>9.9000000000000005E-2</c:v>
                  </c:pt>
                  <c:pt idx="4">
                    <c:v>#N/A</c:v>
                  </c:pt>
                  <c:pt idx="5">
                    <c:v>0.15</c:v>
                  </c:pt>
                  <c:pt idx="6">
                    <c:v>0.69</c:v>
                  </c:pt>
                  <c:pt idx="7">
                    <c:v>#N/A</c:v>
                  </c:pt>
                  <c:pt idx="8">
                    <c:v>0.18</c:v>
                  </c:pt>
                </c:numCache>
              </c:numRef>
            </c:minus>
            <c:spPr>
              <a:noFill/>
              <a:ln w="12700" cap="flat" cmpd="sng" algn="ctr">
                <a:solidFill>
                  <a:schemeClr val="accent4"/>
                </a:solidFill>
                <a:round/>
              </a:ln>
              <a:effectLst/>
            </c:spPr>
          </c:errBars>
          <c:cat>
            <c:strRef>
              <c:f>Chart_RRMethod!$E$78:$E$86</c:f>
              <c:strCache>
                <c:ptCount val="9"/>
                <c:pt idx="0">
                  <c:v>ASHP Conversion w/ Sealing (09-11)</c:v>
                </c:pt>
                <c:pt idx="1">
                  <c:v>ASHP Conversions (09-11)</c:v>
                </c:pt>
                <c:pt idx="2">
                  <c:v>DHP Replacing eFAF (15-16)</c:v>
                </c:pt>
                <c:pt idx="3">
                  <c:v>DHP Replacing Zonal (15-16)</c:v>
                </c:pt>
                <c:pt idx="4">
                  <c:v>HPEM (10-14)</c:v>
                </c:pt>
                <c:pt idx="5">
                  <c:v>Performance Duct Sealing (09-11)</c:v>
                </c:pt>
                <c:pt idx="6">
                  <c:v>Prescriptive Duct Sealing (15-16)</c:v>
                </c:pt>
                <c:pt idx="7">
                  <c:v>Track &amp; Tune (10-14)</c:v>
                </c:pt>
                <c:pt idx="8">
                  <c:v>Windows (14-15)</c:v>
                </c:pt>
              </c:strCache>
            </c:strRef>
          </c:cat>
          <c:val>
            <c:numRef>
              <c:f>Chart_RRMethod!$E$78:$E$86</c:f>
              <c:numCache>
                <c:formatCode>0%</c:formatCode>
                <c:ptCount val="9"/>
                <c:pt idx="0">
                  <c:v>0.56000000000000005</c:v>
                </c:pt>
                <c:pt idx="1">
                  <c:v>0.62</c:v>
                </c:pt>
                <c:pt idx="2">
                  <c:v>0.503</c:v>
                </c:pt>
                <c:pt idx="3">
                  <c:v>0.84299999999999997</c:v>
                </c:pt>
                <c:pt idx="4">
                  <c:v>0.79</c:v>
                </c:pt>
                <c:pt idx="5">
                  <c:v>0.33</c:v>
                </c:pt>
                <c:pt idx="6">
                  <c:v>-0.26200000000000001</c:v>
                </c:pt>
                <c:pt idx="7">
                  <c:v>1.05</c:v>
                </c:pt>
                <c:pt idx="8">
                  <c:v>0.68</c:v>
                </c:pt>
              </c:numCache>
            </c:numRef>
          </c:val>
          <c:smooth val="0"/>
          <c:extLst>
            <c:ext xmlns:c16="http://schemas.microsoft.com/office/drawing/2014/chart" uri="{C3380CC4-5D6E-409C-BE32-E72D297353CC}">
              <c16:uniqueId val="{00000000-D84F-45F2-B376-EEC4D927C201}"/>
            </c:ext>
          </c:extLst>
        </c:ser>
        <c:dLbls>
          <c:showLegendKey val="0"/>
          <c:showVal val="0"/>
          <c:showCatName val="0"/>
          <c:showSerName val="0"/>
          <c:showPercent val="0"/>
          <c:showBubbleSize val="0"/>
        </c:dLbls>
        <c:marker val="1"/>
        <c:smooth val="0"/>
        <c:axId val="654156520"/>
        <c:axId val="654156192"/>
      </c:lineChart>
      <c:valAx>
        <c:axId val="646316600"/>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r>
                  <a:rPr lang="en-US" sz="1800">
                    <a:solidFill>
                      <a:schemeClr val="accent4"/>
                    </a:solidFill>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46319552"/>
        <c:crosses val="max"/>
        <c:crossBetween val="between"/>
      </c:valAx>
      <c:catAx>
        <c:axId val="6463195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accent4"/>
                </a:solidFill>
                <a:latin typeface="+mn-lt"/>
                <a:ea typeface="+mn-ea"/>
                <a:cs typeface="+mn-cs"/>
              </a:defRPr>
            </a:pPr>
            <a:endParaRPr lang="en-US"/>
          </a:p>
        </c:txPr>
        <c:crossAx val="646316600"/>
        <c:crosses val="autoZero"/>
        <c:auto val="1"/>
        <c:lblAlgn val="ctr"/>
        <c:lblOffset val="100"/>
        <c:noMultiLvlLbl val="0"/>
      </c:catAx>
      <c:valAx>
        <c:axId val="654156192"/>
        <c:scaling>
          <c:orientation val="minMax"/>
          <c:max val="1.2"/>
          <c:min val="-0.4"/>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Realization Rate</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54156520"/>
        <c:crosses val="autoZero"/>
        <c:crossBetween val="between"/>
      </c:valAx>
      <c:catAx>
        <c:axId val="654156520"/>
        <c:scaling>
          <c:orientation val="minMax"/>
        </c:scaling>
        <c:delete val="1"/>
        <c:axPos val="b"/>
        <c:numFmt formatCode="General" sourceLinked="1"/>
        <c:majorTickMark val="out"/>
        <c:minorTickMark val="none"/>
        <c:tickLblPos val="nextTo"/>
        <c:crossAx val="6541561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[BPAEvaluation_Realization_Rate_and_Recommendation_Tracker 091721.xlsx]Chart_RRMethod!PivotTable3</c:name>
    <c:fmtId val="9"/>
  </c:pivotSource>
  <c:chart>
    <c:autoTitleDeleted val="0"/>
    <c:pivotFmts>
      <c:pivotFmt>
        <c:idx val="0"/>
        <c:spPr>
          <a:ln w="28575" cap="rnd">
            <a:noFill/>
            <a:round/>
          </a:ln>
          <a:effectLst/>
        </c:spPr>
        <c:marker>
          <c:symbol val="square"/>
          <c:size val="9"/>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3356951648486633E-2"/>
          <c:y val="2.6899488357449774E-2"/>
          <c:w val="0.8213316285016381"/>
          <c:h val="0.7919155552350583"/>
        </c:manualLayout>
      </c:layout>
      <c:barChart>
        <c:barDir val="col"/>
        <c:grouping val="clustered"/>
        <c:varyColors val="0"/>
        <c:ser>
          <c:idx val="1"/>
          <c:order val="1"/>
          <c:tx>
            <c:strRef>
              <c:f>Chart_RRMethod!$C$111</c:f>
              <c:strCache>
                <c:ptCount val="1"/>
                <c:pt idx="0">
                  <c:v>Annual aMW (Reported)</c:v>
                </c:pt>
              </c:strCache>
            </c:strRef>
          </c:tx>
          <c:spPr>
            <a:solidFill>
              <a:schemeClr val="accent2"/>
            </a:solidFill>
            <a:ln>
              <a:noFill/>
            </a:ln>
            <a:effectLst/>
          </c:spPr>
          <c:invertIfNegative val="0"/>
          <c:cat>
            <c:strRef>
              <c:f>Chart_RRMethod!$A$112:$A$116</c:f>
              <c:strCache>
                <c:ptCount val="4"/>
                <c:pt idx="0">
                  <c:v>Commissioning Controls Sizing (17)</c:v>
                </c:pt>
                <c:pt idx="1">
                  <c:v>Duct Sealing Prescriptive (17)</c:v>
                </c:pt>
                <c:pt idx="2">
                  <c:v>Duct Sealing PTCS (17)</c:v>
                </c:pt>
                <c:pt idx="3">
                  <c:v>Heat Pumps (17)</c:v>
                </c:pt>
              </c:strCache>
            </c:strRef>
          </c:cat>
          <c:val>
            <c:numRef>
              <c:f>Chart_RRMethod!$C$112:$C$116</c:f>
              <c:numCache>
                <c:formatCode>General</c:formatCode>
                <c:ptCount val="4"/>
                <c:pt idx="0">
                  <c:v>0.02</c:v>
                </c:pt>
                <c:pt idx="1">
                  <c:v>0.25</c:v>
                </c:pt>
                <c:pt idx="2">
                  <c:v>7.0000000000000007E-2</c:v>
                </c:pt>
                <c:pt idx="3">
                  <c:v>0.97999999999999987</c:v>
                </c:pt>
              </c:numCache>
            </c:numRef>
          </c:val>
          <c:extLst>
            <c:ext xmlns:c16="http://schemas.microsoft.com/office/drawing/2014/chart" uri="{C3380CC4-5D6E-409C-BE32-E72D297353CC}">
              <c16:uniqueId val="{00000000-7524-4DC5-BDF7-8044C01F9EFA}"/>
            </c:ext>
          </c:extLst>
        </c:ser>
        <c:ser>
          <c:idx val="2"/>
          <c:order val="2"/>
          <c:tx>
            <c:strRef>
              <c:f>Chart_RRMethod!$D$111</c:f>
              <c:strCache>
                <c:ptCount val="1"/>
                <c:pt idx="0">
                  <c:v>Annual aMW (Evaluated)</c:v>
                </c:pt>
              </c:strCache>
            </c:strRef>
          </c:tx>
          <c:spPr>
            <a:solidFill>
              <a:schemeClr val="accent3"/>
            </a:solidFill>
            <a:ln>
              <a:noFill/>
            </a:ln>
            <a:effectLst/>
          </c:spPr>
          <c:invertIfNegative val="0"/>
          <c:cat>
            <c:strRef>
              <c:f>Chart_RRMethod!$A$112:$A$116</c:f>
              <c:strCache>
                <c:ptCount val="4"/>
                <c:pt idx="0">
                  <c:v>Commissioning Controls Sizing (17)</c:v>
                </c:pt>
                <c:pt idx="1">
                  <c:v>Duct Sealing Prescriptive (17)</c:v>
                </c:pt>
                <c:pt idx="2">
                  <c:v>Duct Sealing PTCS (17)</c:v>
                </c:pt>
                <c:pt idx="3">
                  <c:v>Heat Pumps (17)</c:v>
                </c:pt>
              </c:strCache>
            </c:strRef>
          </c:cat>
          <c:val>
            <c:numRef>
              <c:f>Chart_RRMethod!$D$112:$D$116</c:f>
              <c:numCache>
                <c:formatCode>General</c:formatCode>
                <c:ptCount val="4"/>
                <c:pt idx="0">
                  <c:v>0.01</c:v>
                </c:pt>
                <c:pt idx="1">
                  <c:v>0.2</c:v>
                </c:pt>
                <c:pt idx="2">
                  <c:v>0.04</c:v>
                </c:pt>
                <c:pt idx="3">
                  <c:v>0.36</c:v>
                </c:pt>
              </c:numCache>
            </c:numRef>
          </c:val>
          <c:extLst>
            <c:ext xmlns:c16="http://schemas.microsoft.com/office/drawing/2014/chart" uri="{C3380CC4-5D6E-409C-BE32-E72D297353CC}">
              <c16:uniqueId val="{00000001-7524-4DC5-BDF7-8044C01F9EFA}"/>
            </c:ext>
          </c:extLst>
        </c:ser>
        <c:dLbls>
          <c:showLegendKey val="0"/>
          <c:showVal val="0"/>
          <c:showCatName val="0"/>
          <c:showSerName val="0"/>
          <c:showPercent val="0"/>
          <c:showBubbleSize val="0"/>
        </c:dLbls>
        <c:gapWidth val="219"/>
        <c:axId val="626089632"/>
        <c:axId val="626081760"/>
      </c:barChart>
      <c:lineChart>
        <c:grouping val="standard"/>
        <c:varyColors val="0"/>
        <c:ser>
          <c:idx val="0"/>
          <c:order val="0"/>
          <c:tx>
            <c:strRef>
              <c:f>Chart_RRMethod!$B$111</c:f>
              <c:strCache>
                <c:ptCount val="1"/>
                <c:pt idx="0">
                  <c:v> Realization Rate (Left Axis)</c:v>
                </c:pt>
              </c:strCache>
            </c:strRef>
          </c:tx>
          <c:spPr>
            <a:ln w="28575" cap="rnd">
              <a:noFill/>
              <a:round/>
            </a:ln>
            <a:effectLst/>
          </c:spPr>
          <c:marker>
            <c:symbol val="square"/>
            <c:size val="9"/>
            <c:spPr>
              <a:solidFill>
                <a:schemeClr val="accent1"/>
              </a:solidFill>
              <a:ln w="9525">
                <a:solidFill>
                  <a:schemeClr val="accent1"/>
                </a:solidFill>
              </a:ln>
              <a:effectLst/>
            </c:spPr>
          </c:marker>
          <c:cat>
            <c:strRef>
              <c:f>Chart_RRMethod!$A$112:$A$116</c:f>
              <c:strCache>
                <c:ptCount val="4"/>
                <c:pt idx="0">
                  <c:v>Commissioning Controls Sizing (17)</c:v>
                </c:pt>
                <c:pt idx="1">
                  <c:v>Duct Sealing Prescriptive (17)</c:v>
                </c:pt>
                <c:pt idx="2">
                  <c:v>Duct Sealing PTCS (17)</c:v>
                </c:pt>
                <c:pt idx="3">
                  <c:v>Heat Pumps (17)</c:v>
                </c:pt>
              </c:strCache>
            </c:strRef>
          </c:cat>
          <c:val>
            <c:numRef>
              <c:f>Chart_RRMethod!$B$112:$B$116</c:f>
              <c:numCache>
                <c:formatCode>0%</c:formatCode>
                <c:ptCount val="4"/>
                <c:pt idx="0">
                  <c:v>0.42</c:v>
                </c:pt>
                <c:pt idx="1">
                  <c:v>0.78</c:v>
                </c:pt>
                <c:pt idx="2">
                  <c:v>0.56999999999999995</c:v>
                </c:pt>
                <c:pt idx="3">
                  <c:v>0.37</c:v>
                </c:pt>
              </c:numCache>
            </c:numRef>
          </c:val>
          <c:smooth val="0"/>
          <c:extLst>
            <c:ext xmlns:c16="http://schemas.microsoft.com/office/drawing/2014/chart" uri="{C3380CC4-5D6E-409C-BE32-E72D297353CC}">
              <c16:uniqueId val="{00000000-CE92-42A8-BEFF-945EAAB199BD}"/>
            </c:ext>
          </c:extLst>
        </c:ser>
        <c:dLbls>
          <c:showLegendKey val="0"/>
          <c:showVal val="0"/>
          <c:showCatName val="0"/>
          <c:showSerName val="0"/>
          <c:showPercent val="0"/>
          <c:showBubbleSize val="0"/>
        </c:dLbls>
        <c:marker val="1"/>
        <c:smooth val="0"/>
        <c:axId val="580336408"/>
        <c:axId val="580335752"/>
      </c:lineChart>
      <c:valAx>
        <c:axId val="626081760"/>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r>
                  <a:rPr lang="en-US" sz="1800">
                    <a:solidFill>
                      <a:schemeClr val="accent4"/>
                    </a:solidFill>
                  </a:rPr>
                  <a:t>Annual aMW</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accent4"/>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26089632"/>
        <c:crosses val="max"/>
        <c:crossBetween val="between"/>
      </c:valAx>
      <c:catAx>
        <c:axId val="62608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626081760"/>
        <c:crosses val="autoZero"/>
        <c:auto val="1"/>
        <c:lblAlgn val="ctr"/>
        <c:lblOffset val="100"/>
        <c:noMultiLvlLbl val="0"/>
      </c:catAx>
      <c:valAx>
        <c:axId val="580335752"/>
        <c:scaling>
          <c:orientation val="minMax"/>
          <c:max val="1"/>
        </c:scaling>
        <c:delete val="0"/>
        <c:axPos val="l"/>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solidFill>
                      <a:schemeClr val="accent4"/>
                    </a:solidFill>
                  </a:rPr>
                  <a:t>Realization Rate</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crossAx val="580336408"/>
        <c:crosses val="autoZero"/>
        <c:crossBetween val="between"/>
      </c:valAx>
      <c:catAx>
        <c:axId val="580336408"/>
        <c:scaling>
          <c:orientation val="minMax"/>
        </c:scaling>
        <c:delete val="1"/>
        <c:axPos val="b"/>
        <c:numFmt formatCode="General" sourceLinked="1"/>
        <c:majorTickMark val="out"/>
        <c:minorTickMark val="none"/>
        <c:tickLblPos val="nextTo"/>
        <c:crossAx val="5803357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accent4"/>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20409</xdr:colOff>
      <xdr:row>2</xdr:row>
      <xdr:rowOff>166006</xdr:rowOff>
    </xdr:from>
    <xdr:to>
      <xdr:col>22</xdr:col>
      <xdr:colOff>530679</xdr:colOff>
      <xdr:row>37</xdr:row>
      <xdr:rowOff>13607</xdr:rowOff>
    </xdr:to>
    <xdr:graphicFrame macro="">
      <xdr:nvGraphicFramePr>
        <xdr:cNvPr id="3" name="Chart 2">
          <a:extLst>
            <a:ext uri="{FF2B5EF4-FFF2-40B4-BE49-F238E27FC236}">
              <a16:creationId xmlns:a16="http://schemas.microsoft.com/office/drawing/2014/main" id="{66467550-DC3E-4013-84E1-AEEEC396B7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15875</xdr:colOff>
      <xdr:row>0</xdr:row>
      <xdr:rowOff>179160</xdr:rowOff>
    </xdr:from>
    <xdr:to>
      <xdr:col>32</xdr:col>
      <xdr:colOff>142875</xdr:colOff>
      <xdr:row>37</xdr:row>
      <xdr:rowOff>174625</xdr:rowOff>
    </xdr:to>
    <xdr:graphicFrame macro="">
      <xdr:nvGraphicFramePr>
        <xdr:cNvPr id="5" name="Chart 4">
          <a:extLst>
            <a:ext uri="{FF2B5EF4-FFF2-40B4-BE49-F238E27FC236}">
              <a16:creationId xmlns:a16="http://schemas.microsoft.com/office/drawing/2014/main" id="{344DE2C2-EA8C-4B27-A9F4-EECC7AE670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19955</xdr:colOff>
      <xdr:row>39</xdr:row>
      <xdr:rowOff>4307</xdr:rowOff>
    </xdr:from>
    <xdr:to>
      <xdr:col>33</xdr:col>
      <xdr:colOff>127000</xdr:colOff>
      <xdr:row>72</xdr:row>
      <xdr:rowOff>174625</xdr:rowOff>
    </xdr:to>
    <xdr:graphicFrame macro="">
      <xdr:nvGraphicFramePr>
        <xdr:cNvPr id="2" name="Chart 1">
          <a:extLst>
            <a:ext uri="{FF2B5EF4-FFF2-40B4-BE49-F238E27FC236}">
              <a16:creationId xmlns:a16="http://schemas.microsoft.com/office/drawing/2014/main" id="{458C421B-1C87-4BE0-9953-13D274884E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28119</xdr:colOff>
      <xdr:row>74</xdr:row>
      <xdr:rowOff>9523</xdr:rowOff>
    </xdr:from>
    <xdr:to>
      <xdr:col>33</xdr:col>
      <xdr:colOff>254000</xdr:colOff>
      <xdr:row>112</xdr:row>
      <xdr:rowOff>79375</xdr:rowOff>
    </xdr:to>
    <xdr:graphicFrame macro="">
      <xdr:nvGraphicFramePr>
        <xdr:cNvPr id="3" name="Chart 2">
          <a:extLst>
            <a:ext uri="{FF2B5EF4-FFF2-40B4-BE49-F238E27FC236}">
              <a16:creationId xmlns:a16="http://schemas.microsoft.com/office/drawing/2014/main" id="{5F2E4C77-8D10-456A-A4F3-A96111FB0D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15875</xdr:colOff>
      <xdr:row>113</xdr:row>
      <xdr:rowOff>74745</xdr:rowOff>
    </xdr:from>
    <xdr:to>
      <xdr:col>33</xdr:col>
      <xdr:colOff>349249</xdr:colOff>
      <xdr:row>150</xdr:row>
      <xdr:rowOff>111124</xdr:rowOff>
    </xdr:to>
    <xdr:graphicFrame macro="">
      <xdr:nvGraphicFramePr>
        <xdr:cNvPr id="4" name="Chart 3">
          <a:extLst>
            <a:ext uri="{FF2B5EF4-FFF2-40B4-BE49-F238E27FC236}">
              <a16:creationId xmlns:a16="http://schemas.microsoft.com/office/drawing/2014/main" id="{B05711FE-4CFA-4965-963A-6A5088F429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Katherine Steward" id="{E995CE98-76CC-42BF-AC96-0332A897EDA0}" userId="S-1-5-21-1299038590-1202130019-4192219949-111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herine Steward" refreshedDate="43971.563369444448" createdVersion="6" refreshedVersion="6" minRefreshableVersion="3" recordCount="31" xr:uid="{00000000-000A-0000-FFFF-FFFF02000000}">
  <cacheSource type="worksheet">
    <worksheetSource ref="A7:S38" sheet="Realization Rates_Tracker"/>
  </cacheSource>
  <cacheFields count="22">
    <cacheField name="Study" numFmtId="0">
      <sharedItems count="7">
        <s v="Residential Insulation and Windows Measures "/>
        <s v="UES Residential Lighting Projects"/>
        <s v="Site-Specific Savings Portfolio "/>
        <s v="Residential Ductless Heat Pump and Prescriptive Duct Sealing Measures"/>
        <s v="Performance Tested Comfort System Air-Source Heat Pump Conversions and Performance Duct Sealing Data"/>
        <s v="2017 Delivery Verification "/>
        <s v="Industrial SEM "/>
      </sharedItems>
    </cacheField>
    <cacheField name="Coverage Period" numFmtId="0">
      <sharedItems/>
    </cacheField>
    <cacheField name="Study Publish Date" numFmtId="14">
      <sharedItems containsSemiMixedTypes="0" containsNonDate="0" containsDate="1" containsString="0" minDate="2015-11-01T00:00:00" maxDate="2018-09-02T00:00:00"/>
    </cacheField>
    <cacheField name="Evaluation Method" numFmtId="0">
      <sharedItems count="5">
        <s v="Statistical "/>
        <s v="Statistical"/>
        <s v="Delivery Verification"/>
        <s v="Engineering Analysis"/>
        <s v="QA/QC Delivery Verification Pilot "/>
      </sharedItems>
    </cacheField>
    <cacheField name="Sector" numFmtId="0">
      <sharedItems/>
    </cacheField>
    <cacheField name="Measure" numFmtId="0">
      <sharedItems/>
    </cacheField>
    <cacheField name="Measure &amp; Study Period" numFmtId="0">
      <sharedItems count="31">
        <s v="Insulation (14-15)"/>
        <s v="Windows (14-15)"/>
        <s v="Retail Lighting (15)"/>
        <s v="By-Request Lighting (15)"/>
        <s v="Opt. 1 Com/Ag Lighting (12-13)"/>
        <s v="Opt. 1 Industrial Lighting (12-13)"/>
        <s v="Opt. 1 Com/Ag Non-Lighting (12-13)"/>
        <s v="Opt. 1 Industrial Non-Lighting (12-13_"/>
        <s v="Opt. 2 Commercial Lighting (12-13)"/>
        <s v="Opt. 2 Industrial Lighting (12-13)"/>
        <s v="Opt. 2 Commercial Non-Lighting (12-13)"/>
        <s v="Opt. 2 Industrial Non-Lighting (12-13)"/>
        <s v="Opt. 2 ESRP (12-13)"/>
        <s v="DHP Replacing eFAF (15-16)"/>
        <s v="DHP Replacing Zonal (15-16)"/>
        <s v="Prescriptive Duct Sealing (15-16)"/>
        <s v="ASHP Conversions (09-11)"/>
        <s v="ASHP Conversion w/ Duct Sealing (09-11)"/>
        <s v="Performance Duct Sealing (09-11)"/>
        <s v="Ductless Heat Pumps (17)"/>
        <s v="Advanced Power Strips (17)"/>
        <s v="Showerheads (17)"/>
        <s v="Heat Pump Water Heaters (17)"/>
        <s v="Transformer De-energization (17)"/>
        <s v="Green Motors (17)"/>
        <s v="Duct Sealing Prescriptive (17)"/>
        <s v="Duct Sealing PTCS (17)"/>
        <s v="Commissioning Controls Sizing (17)"/>
        <s v="Heat Pumps (17)"/>
        <s v="HPEM (10-14)"/>
        <s v="Track &amp; Tune (10-14)"/>
      </sharedItems>
    </cacheField>
    <cacheField name="Measure Notes" numFmtId="0">
      <sharedItems containsBlank="1" longText="1"/>
    </cacheField>
    <cacheField name="Realization Rate" numFmtId="9">
      <sharedItems containsSemiMixedTypes="0" containsString="0" containsNumber="1" minValue="-0.26200000000000001" maxValue="1.1499999999999999"/>
    </cacheField>
    <cacheField name="Population Size" numFmtId="0">
      <sharedItems containsBlank="1" containsMixedTypes="1" containsNumber="1" containsInteger="1" minValue="3" maxValue="5619"/>
    </cacheField>
    <cacheField name="Sample Size" numFmtId="0">
      <sharedItems containsSemiMixedTypes="0" containsString="0" containsNumber="1" containsInteger="1" minValue="3" maxValue="6187"/>
    </cacheField>
    <cacheField name="Uncertainty Bounds" numFmtId="0">
      <sharedItems containsMixedTypes="1" containsNumber="1" minValue="7.0000000000000007E-2" maxValue="0.69"/>
    </cacheField>
    <cacheField name="Confidence level" numFmtId="0">
      <sharedItems containsString="0" containsBlank="1" containsNumber="1" minValue="0.12" maxValue="0.9"/>
    </cacheField>
    <cacheField name="Relative Precision" numFmtId="0">
      <sharedItems containsMixedTypes="1" containsNumber="1" minValue="2E-3" maxValue="0.69"/>
    </cacheField>
    <cacheField name="Lower Bound RR" numFmtId="9">
      <sharedItems containsString="0" containsBlank="1" containsNumber="1" minValue="-0.95199999999999996" maxValue="1.02"/>
    </cacheField>
    <cacheField name="Upper Bound RR" numFmtId="9">
      <sharedItems containsString="0" containsBlank="1" containsNumber="1" minValue="0.42799999999999994" maxValue="1.3399999999999999"/>
    </cacheField>
    <cacheField name="Precision - Type (Sampling only or Regression)" numFmtId="9">
      <sharedItems/>
    </cacheField>
    <cacheField name="Notes on Precision" numFmtId="0">
      <sharedItems containsBlank="1"/>
    </cacheField>
    <cacheField name="Reported Savings Quantity (MWh)" numFmtId="0">
      <sharedItems containsSemiMixedTypes="0" containsString="0" containsNumber="1" minValue="175.20000000000002" maxValue="121830"/>
    </cacheField>
    <cacheField name="Evaluated Savings Quantity (MWh)" numFmtId="0">
      <sharedItems containsSemiMixedTypes="0" containsString="0" containsNumber="1" minValue="-64.2" maxValue="120332"/>
    </cacheField>
    <cacheField name="Evaluated Annual aMW " numFmtId="2">
      <sharedItems containsSemiMixedTypes="0" containsString="0" containsNumber="1" minValue="-7.3287671232876717E-3" maxValue="13.736529680365297"/>
    </cacheField>
    <cacheField name="Reported Annual aMW " numFmtId="2">
      <sharedItems containsSemiMixedTypes="0" containsString="0" containsNumber="1" minValue="0.02" maxValue="13.90753424657534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therine Steward" refreshedDate="43971.571782291663" createdVersion="6" refreshedVersion="6" minRefreshableVersion="3" recordCount="29" xr:uid="{00000000-000A-0000-FFFF-FFFF03000000}">
  <cacheSource type="worksheet">
    <worksheetSource ref="A7:S36" sheet="Realization Rates_Tracker"/>
  </cacheSource>
  <cacheFields count="22">
    <cacheField name="Study" numFmtId="0">
      <sharedItems count="6">
        <s v="Residential Insulation and Windows Measures "/>
        <s v="UES Residential Lighting Projects"/>
        <s v="Site-Specific Savings Portfolio "/>
        <s v="Residential Ductless Heat Pump and Prescriptive Duct Sealing Measures"/>
        <s v="Performance Tested Comfort System Air-Source Heat Pump Conversions and Performance Duct Sealing Data"/>
        <s v="2017 Delivery Verification "/>
      </sharedItems>
    </cacheField>
    <cacheField name="Coverage Period" numFmtId="0">
      <sharedItems/>
    </cacheField>
    <cacheField name="Study Publish Date" numFmtId="14">
      <sharedItems containsSemiMixedTypes="0" containsNonDate="0" containsDate="1" containsString="0" minDate="2015-11-01T00:00:00" maxDate="2018-09-02T00:00:00"/>
    </cacheField>
    <cacheField name="Evaluation Method" numFmtId="0">
      <sharedItems count="5">
        <s v="Statistical "/>
        <s v="Statistical"/>
        <s v="Delivery Verification"/>
        <s v="Engineering Analysis"/>
        <s v="QA/QC Delivery Verification Pilot "/>
      </sharedItems>
    </cacheField>
    <cacheField name="Sector" numFmtId="0">
      <sharedItems/>
    </cacheField>
    <cacheField name="Measure" numFmtId="0">
      <sharedItems/>
    </cacheField>
    <cacheField name="Measure &amp; Study Period" numFmtId="0">
      <sharedItems count="29">
        <s v="Insulation (14-15)"/>
        <s v="Windows (14-15)"/>
        <s v="Retail Lighting (15)"/>
        <s v="By-Request Lighting (15)"/>
        <s v="Opt. 1 Com/Ag Lighting (12-13)"/>
        <s v="Opt. 1 Industrial Lighting (12-13)"/>
        <s v="Opt. 1 Com/Ag Non-Lighting (12-13)"/>
        <s v="Opt. 1 Industrial Non-Lighting (12-13_"/>
        <s v="Opt. 2 Commercial Lighting (12-13)"/>
        <s v="Opt. 2 Industrial Lighting (12-13)"/>
        <s v="Opt. 2 Commercial Non-Lighting (12-13)"/>
        <s v="Opt. 2 Industrial Non-Lighting (12-13)"/>
        <s v="Opt. 2 ESRP (12-13)"/>
        <s v="DHP Replacing eFAF (15-16)"/>
        <s v="DHP Replacing Zonal (15-16)"/>
        <s v="Prescriptive Duct Sealing (15-16)"/>
        <s v="ASHP Conversions (09-11)"/>
        <s v="ASHP Conversion w/ Duct Sealing (09-11)"/>
        <s v="Performance Duct Sealing (09-11)"/>
        <s v="Ductless Heat Pumps (17)"/>
        <s v="Advanced Power Strips (17)"/>
        <s v="Showerheads (17)"/>
        <s v="Heat Pump Water Heaters (17)"/>
        <s v="Transformer De-energization (17)"/>
        <s v="Green Motors (17)"/>
        <s v="Duct Sealing Prescriptive (17)"/>
        <s v="Duct Sealing PTCS (17)"/>
        <s v="Commissioning Controls Sizing (17)"/>
        <s v="Heat Pumps (17)"/>
      </sharedItems>
    </cacheField>
    <cacheField name="Measure Notes" numFmtId="0">
      <sharedItems containsBlank="1" longText="1"/>
    </cacheField>
    <cacheField name="Realization Rate" numFmtId="9">
      <sharedItems containsSemiMixedTypes="0" containsString="0" containsNumber="1" minValue="-0.26200000000000001" maxValue="1.1499999999999999"/>
    </cacheField>
    <cacheField name="Population Size" numFmtId="0">
      <sharedItems containsBlank="1" containsMixedTypes="1" containsNumber="1" containsInteger="1" minValue="3" maxValue="5619"/>
    </cacheField>
    <cacheField name="Sample Size" numFmtId="0">
      <sharedItems containsSemiMixedTypes="0" containsString="0" containsNumber="1" containsInteger="1" minValue="3" maxValue="6187"/>
    </cacheField>
    <cacheField name="Uncertainty Bounds" numFmtId="0">
      <sharedItems containsMixedTypes="1" containsNumber="1" minValue="7.0000000000000007E-2" maxValue="0.69"/>
    </cacheField>
    <cacheField name="Confidence level" numFmtId="0">
      <sharedItems containsString="0" containsBlank="1" containsNumber="1" minValue="0.12" maxValue="0.9"/>
    </cacheField>
    <cacheField name="Relative Precision" numFmtId="0">
      <sharedItems containsMixedTypes="1" containsNumber="1" minValue="2E-3" maxValue="0.69"/>
    </cacheField>
    <cacheField name="Lower Bound RR" numFmtId="9">
      <sharedItems containsString="0" containsBlank="1" containsNumber="1" minValue="-0.95199999999999996" maxValue="1.02"/>
    </cacheField>
    <cacheField name="Upper Bound RR" numFmtId="9">
      <sharedItems containsString="0" containsBlank="1" containsNumber="1" minValue="0.42799999999999994" maxValue="1.3399999999999999"/>
    </cacheField>
    <cacheField name="Precision - Type (Sampling only or Regression)" numFmtId="9">
      <sharedItems/>
    </cacheField>
    <cacheField name="Notes on Precision" numFmtId="0">
      <sharedItems containsBlank="1"/>
    </cacheField>
    <cacheField name="Reported Savings Quantity (MWh)" numFmtId="0">
      <sharedItems containsSemiMixedTypes="0" containsString="0" containsNumber="1" minValue="175.20000000000002" maxValue="121830"/>
    </cacheField>
    <cacheField name="Evaluated Savings Quantity (MWh)" numFmtId="0">
      <sharedItems containsSemiMixedTypes="0" containsString="0" containsNumber="1" minValue="-64.2" maxValue="120332"/>
    </cacheField>
    <cacheField name="Evaluated Annual aMW " numFmtId="2">
      <sharedItems containsSemiMixedTypes="0" containsString="0" containsNumber="1" minValue="-7.3287671232876717E-3" maxValue="13.736529680365297"/>
    </cacheField>
    <cacheField name="Reported Annual aMW " numFmtId="2">
      <sharedItems containsSemiMixedTypes="0" containsString="0" containsNumber="1" minValue="0.02" maxValue="13.9075342465753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s v="FY2014-2015"/>
    <d v="2018-02-01T00:00:00"/>
    <x v="0"/>
    <s v="Residential"/>
    <s v="Insulation"/>
    <x v="0"/>
    <s v="combination of all heating zones and customer types"/>
    <n v="0.98"/>
    <n v="5619"/>
    <n v="1146"/>
    <n v="0.28999999999999998"/>
    <n v="0.9"/>
    <n v="0.28999999999999998"/>
    <n v="0.69"/>
    <n v="1.27"/>
    <s v="Regression"/>
    <s v="confidence and precision target is 90/15. uncertainty bound is +/- realization rate, and precision is measures expected error bound of an estimate on a normalized basis "/>
    <n v="1525.326"/>
    <n v="1493.2380000000001"/>
    <n v="0.17046095890410959"/>
    <n v="0.17412397260273973"/>
  </r>
  <r>
    <x v="0"/>
    <s v="FY2014-2015"/>
    <d v="2018-02-01T00:00:00"/>
    <x v="1"/>
    <s v="Residential"/>
    <s v="Windows"/>
    <x v="1"/>
    <s v="combination of all heating zones and customer types"/>
    <n v="0.68"/>
    <m/>
    <n v="1378"/>
    <n v="0.18"/>
    <n v="0.9"/>
    <n v="0.18"/>
    <n v="0.5"/>
    <n v="0.8600000000000001"/>
    <s v="Regression"/>
    <s v="confidence and precision target is 90/15. uncertainty bound is +/- realization rate, and precision is measures expected error bound of an estimate on a normalized basis "/>
    <n v="1818.96"/>
    <n v="1230.5999999999999"/>
    <n v="0.14047945205479451"/>
    <n v="0.20764383561643837"/>
  </r>
  <r>
    <x v="1"/>
    <s v="FY2015"/>
    <d v="2017-02-01T00:00:00"/>
    <x v="2"/>
    <s v="Residential"/>
    <s v="Retail Lighting"/>
    <x v="2"/>
    <m/>
    <n v="1"/>
    <n v="3194"/>
    <n v="70"/>
    <s v="-"/>
    <n v="0.9"/>
    <n v="2E-3"/>
    <n v="0.998"/>
    <n v="1.002"/>
    <s v="Sampling"/>
    <m/>
    <n v="44500.800000000003"/>
    <n v="44588.4"/>
    <n v="5.09"/>
    <n v="5.08"/>
  </r>
  <r>
    <x v="1"/>
    <s v="FY2015"/>
    <d v="2017-02-01T00:00:00"/>
    <x v="2"/>
    <s v="Residential"/>
    <s v="By-Request Lighting"/>
    <x v="3"/>
    <m/>
    <n v="0.92900000000000005"/>
    <n v="337"/>
    <n v="40"/>
    <s v="-"/>
    <n v="0.9"/>
    <n v="5.5E-2"/>
    <n v="0.874"/>
    <n v="0.9840000000000001"/>
    <s v="Sampling"/>
    <m/>
    <n v="4292.3999999999996"/>
    <n v="4029.6000000000004"/>
    <n v="0.46"/>
    <n v="0.48999999999999994"/>
  </r>
  <r>
    <x v="2"/>
    <s v="FY2012-13"/>
    <d v="2015-11-01T00:00:00"/>
    <x v="3"/>
    <s v="Commercial, Industrial &amp; Ag"/>
    <s v="Opt. 1 Com/Ag Lighting"/>
    <x v="4"/>
    <s v="Utilities divided into Option 1 and Option 2 utilities: for option 1 utilities, BPA is involved throughout the project lifecycle by providing technical support for project development, implementation, approval, and M&amp;V, option 2 utilities provide their own technical support "/>
    <n v="0.93"/>
    <n v="3845"/>
    <n v="33"/>
    <s v="-"/>
    <n v="0.9"/>
    <n v="0.05"/>
    <n v="0.88"/>
    <n v="0.98000000000000009"/>
    <s v="Sampling"/>
    <s v="target sampling error expressed as a relative precision of the realization rate. No +/- estimate of realization rate reported"/>
    <n v="96103"/>
    <n v="89471"/>
    <n v="10.213584474885845"/>
    <n v="10.970662100456622"/>
  </r>
  <r>
    <x v="2"/>
    <s v="FY2012-13"/>
    <d v="2015-11-01T00:00:00"/>
    <x v="3"/>
    <s v="Commercial, Industrial &amp; Ag"/>
    <s v="Opt. 1 Industrial Lighting"/>
    <x v="5"/>
    <s v="Utilities divided into Option 1 and Option 2 utilities: for option 1 utilities, BPA is involved throughout the project lifecycle by providing technical support for project development, implementation, approval, and M&amp;V, option 2 utilities provide their own technical support "/>
    <n v="0.93"/>
    <n v="303"/>
    <n v="9"/>
    <s v="-"/>
    <n v="0.8"/>
    <n v="0.08"/>
    <n v="0.85000000000000009"/>
    <n v="1.01"/>
    <s v="Sampling"/>
    <s v="target sampling error expressed as a relative precision of the realization rate. No +/- estimate of realization rate reported"/>
    <n v="35455"/>
    <n v="33117"/>
    <n v="3.7804794520547946"/>
    <n v="4.0473744292237441"/>
  </r>
  <r>
    <x v="2"/>
    <s v="FY2012-13"/>
    <d v="2015-11-01T00:00:00"/>
    <x v="3"/>
    <s v="Commercial, Industrial &amp; Ag"/>
    <s v="Opt. 1 Com/Ag Non-Lighting"/>
    <x v="6"/>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1499999999999999"/>
    <n v="200"/>
    <n v="8"/>
    <s v="-"/>
    <n v="0.8"/>
    <n v="0.19"/>
    <n v="0.96"/>
    <n v="1.3399999999999999"/>
    <s v="Sampling"/>
    <s v="target sampling error expressed as a relative precision of the realization rate. No +/- estimate of realization rate reported"/>
    <n v="26094"/>
    <n v="29886"/>
    <n v="3.4116438356164385"/>
    <n v="2.9787671232876711"/>
  </r>
  <r>
    <x v="2"/>
    <s v="FY2012-13"/>
    <d v="2015-11-01T00:00:00"/>
    <x v="3"/>
    <s v="Commercial, Industrial &amp; Ag"/>
    <s v="Opt. 1 Industrial Non-Lighting"/>
    <x v="7"/>
    <s v="Utilities divided into Option 1 and Option 2 utilities: for option 1 utilities, BPA is involved throughout the project lifecycle by providing technical support for project development, implementation, approval, and M&amp;V, option 2 utilities provide their own technical support "/>
    <n v="0.99"/>
    <n v="226"/>
    <n v="21"/>
    <s v="-"/>
    <n v="0.9"/>
    <n v="0.05"/>
    <n v="0.94"/>
    <n v="1.04"/>
    <s v="Sampling"/>
    <s v="target sampling error expressed as a relative precision of the realization rate. No +/- estimate of realization rate reported"/>
    <n v="121830"/>
    <n v="120332"/>
    <n v="13.736529680365297"/>
    <n v="13.907534246575343"/>
  </r>
  <r>
    <x v="2"/>
    <s v="FY2012-13"/>
    <d v="2015-11-01T00:00:00"/>
    <x v="3"/>
    <s v="Commercial, Industrial &amp; Ag"/>
    <s v="Opt. 2 Commercial Lighting"/>
    <x v="8"/>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0900000000000001"/>
    <n v="2369"/>
    <n v="62"/>
    <s v="-"/>
    <n v="0.9"/>
    <n v="0.08"/>
    <n v="1.01"/>
    <n v="1.1700000000000002"/>
    <s v="Sampling"/>
    <s v="target sampling error expressed as a relative precision of the realization rate. No +/- estimate of realization rate reported"/>
    <n v="94300"/>
    <n v="102407"/>
    <n v="11.690296803652968"/>
    <n v="10.764840182648403"/>
  </r>
  <r>
    <x v="2"/>
    <s v="FY2012-13"/>
    <d v="2015-11-01T00:00:00"/>
    <x v="3"/>
    <s v="Commercial, Industrial &amp; Ag"/>
    <s v="Opt. 2 Industrial Lighting"/>
    <x v="9"/>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02"/>
    <n v="119"/>
    <n v="24"/>
    <s v="-"/>
    <n v="0.9"/>
    <n v="0.03"/>
    <n v="0.99"/>
    <n v="1.05"/>
    <s v="Sampling"/>
    <s v="target sampling error expressed as a relative precision of the realization rate. No +/- estimate of realization rate reported"/>
    <n v="10244"/>
    <n v="10443"/>
    <n v="1.1921232876712329"/>
    <n v="1.1694063926940639"/>
  </r>
  <r>
    <x v="2"/>
    <s v="FY2012-13"/>
    <d v="2015-11-01T00:00:00"/>
    <x v="3"/>
    <s v="Commercial, Industrial &amp; Ag"/>
    <s v="Opt. 2 Commercial Non-Lighting"/>
    <x v="10"/>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1000000000000001"/>
    <n v="347"/>
    <n v="23"/>
    <s v="-"/>
    <n v="0.9"/>
    <n v="0.08"/>
    <n v="1.02"/>
    <n v="1.1800000000000002"/>
    <s v="Sampling"/>
    <s v="target sampling error expressed as a relative precision of the realization rate. No +/- estimate of realization rate reported"/>
    <n v="36904"/>
    <n v="40776"/>
    <n v="4.6547945205479451"/>
    <n v="4.2127853881278536"/>
  </r>
  <r>
    <x v="2"/>
    <s v="FY2012-13"/>
    <d v="2015-11-01T00:00:00"/>
    <x v="3"/>
    <s v="Commercial, Industrial &amp; Ag"/>
    <s v="Opt. 2 Industrial Non-Lighting"/>
    <x v="11"/>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01"/>
    <n v="77"/>
    <n v="20"/>
    <s v="-"/>
    <n v="0.9"/>
    <n v="7.0000000000000007E-2"/>
    <n v="0.94"/>
    <n v="1.08"/>
    <s v="Sampling"/>
    <s v="target sampling error expressed as a relative precision of the realization rate. No +/- estimate of realization rate reported"/>
    <n v="24143"/>
    <n v="24484"/>
    <n v="2.7949771689497718"/>
    <n v="2.7560502283105022"/>
  </r>
  <r>
    <x v="2"/>
    <s v="FY2012-13"/>
    <d v="2015-11-01T00:00:00"/>
    <x v="3"/>
    <s v="Commercial, Industrial &amp; Ag"/>
    <s v="ESRP"/>
    <x v="12"/>
    <s v="includes 5 selected measures from the Energy Smart Reserve Power program "/>
    <n v="0.49"/>
    <n v="15"/>
    <n v="5"/>
    <s v="-"/>
    <n v="0.8"/>
    <n v="0.18"/>
    <n v="0.31"/>
    <n v="0.66999999999999993"/>
    <s v="Sampling"/>
    <s v="target sampling error expressed as a relative precision of the realization rate. No +/- estimate of realization rate reported"/>
    <n v="26433"/>
    <n v="13078"/>
    <n v="1.4929223744292237"/>
    <n v="3.0174657534246574"/>
  </r>
  <r>
    <x v="3"/>
    <s v="FY2015 and FY2016"/>
    <d v="2018-09-01T00:00:00"/>
    <x v="1"/>
    <s v="Residential"/>
    <s v="DHP Replacing eFAF"/>
    <x v="13"/>
    <s v="combination of all heating zones and customer types"/>
    <n v="0.503"/>
    <n v="603"/>
    <n v="603"/>
    <n v="9.1999999999999998E-2"/>
    <n v="0.9"/>
    <n v="9.1999999999999998E-2"/>
    <n v="0.41100000000000003"/>
    <n v="0.59499999999999997"/>
    <s v="Regression"/>
    <s v="uncertainty bound is +/- realization rate - no precision recorded"/>
    <n v="2847.366"/>
    <n v="1432.1"/>
    <n v="0.16348173515981734"/>
    <n v="0.32504178082191781"/>
  </r>
  <r>
    <x v="3"/>
    <s v="FY2015 and FY2016"/>
    <d v="2018-09-01T00:00:00"/>
    <x v="1"/>
    <s v="Residential"/>
    <s v="DHP Replacing Zonal"/>
    <x v="14"/>
    <s v="combination of all heating zones and customer types"/>
    <n v="0.84299999999999997"/>
    <n v="1738"/>
    <n v="1738"/>
    <n v="9.9000000000000005E-2"/>
    <n v="0.9"/>
    <n v="9.9000000000000005E-2"/>
    <n v="0.74399999999999999"/>
    <n v="0.94199999999999995"/>
    <s v="Regression"/>
    <s v="uncertainty bound is +/- realization rate - no precision recorded"/>
    <n v="3521.1880000000001"/>
    <n v="2970.2"/>
    <n v="0.33906392694063925"/>
    <n v="0.40196210045662101"/>
  </r>
  <r>
    <x v="3"/>
    <s v="FY2015 and FY2016"/>
    <d v="2018-09-01T00:00:00"/>
    <x v="1"/>
    <s v="Residential"/>
    <s v="Prescriptive Duct Sealing "/>
    <x v="15"/>
    <s v="combination of all heating zones and customer types"/>
    <n v="-0.26200000000000001"/>
    <n v="486"/>
    <n v="486"/>
    <n v="0.69"/>
    <n v="0.9"/>
    <n v="0.69"/>
    <n v="-0.95199999999999996"/>
    <n v="0.42799999999999994"/>
    <s v="Regression"/>
    <s v="uncertainty bound is +/- realization rate - no precision recorded"/>
    <n v="244.458"/>
    <n v="-64.2"/>
    <n v="-7.3287671232876717E-3"/>
    <n v="2.7906164383561645E-2"/>
  </r>
  <r>
    <x v="4"/>
    <s v="FY2009-2011"/>
    <d v="2018-02-01T00:00:00"/>
    <x v="1"/>
    <s v="Residential"/>
    <s v="ASHP Conversions"/>
    <x v="16"/>
    <s v="combination of all heating zones and single family and manufactured homes"/>
    <n v="0.62"/>
    <s v="Not defined"/>
    <n v="414"/>
    <n v="0.1"/>
    <n v="0.16"/>
    <n v="0.1"/>
    <n v="0.52"/>
    <n v="0.72"/>
    <s v="Regression"/>
    <s v="uncertainty bound is +/- realization rate. Precision measures expected bound of an estimate on a normalized basis"/>
    <n v="2486.4839999999999"/>
    <n v="1533.9"/>
    <n v="0.17510273972602741"/>
    <n v="0.28384520547945202"/>
  </r>
  <r>
    <x v="4"/>
    <s v="FY2009-2011"/>
    <d v="2018-02-01T00:00:00"/>
    <x v="1"/>
    <s v="Residential"/>
    <s v="ASHP Conversion w/ Sealing "/>
    <x v="17"/>
    <s v="combination of all heating zones and single family and manufactured homes"/>
    <n v="0.56000000000000005"/>
    <s v="Not defined"/>
    <n v="829"/>
    <n v="7.0000000000000007E-2"/>
    <n v="0.12"/>
    <n v="7.0000000000000007E-2"/>
    <n v="0.49000000000000005"/>
    <n v="0.63000000000000012"/>
    <s v="Regression"/>
    <s v="uncertainty bound is +/- realization rate. Precision measures expected bound of an estimate on a normalized basis"/>
    <n v="4634.9390000000003"/>
    <n v="2574.9"/>
    <n v="0.29393835616438357"/>
    <n v="0.52910262557077625"/>
  </r>
  <r>
    <x v="4"/>
    <s v="FY2009-2011"/>
    <d v="2018-02-01T00:00:00"/>
    <x v="1"/>
    <s v="Residential"/>
    <s v="Performance Duct Sealing"/>
    <x v="18"/>
    <s v="combination of all heating zones and single family and manufactured homes"/>
    <n v="0.33"/>
    <s v="Not defined"/>
    <n v="6187"/>
    <n v="0.15"/>
    <n v="0.46"/>
    <n v="0.15"/>
    <n v="0.18000000000000002"/>
    <n v="0.48"/>
    <s v="Regression"/>
    <s v="uncertainty bound is +/- realization rate. Precision measures expected bound of an estimate on a normalized basis"/>
    <n v="6100.3819999999996"/>
    <n v="1992.2"/>
    <n v="0.22742009132420091"/>
    <n v="0.69639063926940636"/>
  </r>
  <r>
    <x v="5"/>
    <s v="CY2017"/>
    <d v="2018-05-01T00:00:00"/>
    <x v="2"/>
    <s v="Residential"/>
    <s v="Ductless Heat Pumps "/>
    <x v="19"/>
    <m/>
    <n v="0.95"/>
    <s v="Not defined"/>
    <n v="118"/>
    <s v="-"/>
    <n v="0.9"/>
    <n v="2.7E-2"/>
    <n v="0.92299999999999993"/>
    <n v="0.97699999999999998"/>
    <s v="Sampling"/>
    <m/>
    <n v="8847.6"/>
    <n v="8322"/>
    <n v="0.95"/>
    <n v="1.01"/>
  </r>
  <r>
    <x v="5"/>
    <s v="CY2017"/>
    <d v="2018-05-01T00:00:00"/>
    <x v="2"/>
    <s v="Residential"/>
    <s v="Advanced Power Strips"/>
    <x v="20"/>
    <s v="by-request and direct install only"/>
    <n v="1"/>
    <s v="Not defined"/>
    <n v="8"/>
    <s v="-"/>
    <n v="0.9"/>
    <n v="1.6E-2"/>
    <n v="0.98399999999999999"/>
    <n v="1.016"/>
    <s v="Sampling"/>
    <m/>
    <n v="6219.5999999999995"/>
    <n v="6219.5999999999995"/>
    <n v="0.71"/>
    <n v="0.71"/>
  </r>
  <r>
    <x v="5"/>
    <s v="CY2017"/>
    <d v="2018-05-01T00:00:00"/>
    <x v="2"/>
    <s v="Residential"/>
    <s v="Showerheads"/>
    <x v="21"/>
    <s v="by-request , direct install, and retail"/>
    <n v="1"/>
    <s v="Not defined"/>
    <n v="15"/>
    <s v="-"/>
    <n v="0.9"/>
    <n v="5.7099999999999998E-2"/>
    <n v="0.94289999999999996"/>
    <n v="1.0570999999999999"/>
    <s v="Sampling"/>
    <m/>
    <n v="8234.4"/>
    <n v="8234.4"/>
    <n v="0.94"/>
    <n v="0.94"/>
  </r>
  <r>
    <x v="5"/>
    <s v="CY2017"/>
    <d v="2018-05-01T00:00:00"/>
    <x v="2"/>
    <s v="Residential"/>
    <s v="Heat Pump Water Heaters"/>
    <x v="22"/>
    <s v="by-request only - mostly single family homes"/>
    <n v="1.0900000000000001"/>
    <s v="Not defined"/>
    <n v="43"/>
    <s v="-"/>
    <n v="0.9"/>
    <n v="7.0000000000000007E-2"/>
    <n v="1.02"/>
    <n v="1.1600000000000001"/>
    <s v="Sampling"/>
    <m/>
    <n v="963.6"/>
    <n v="963.6"/>
    <n v="0.11"/>
    <n v="0.11"/>
  </r>
  <r>
    <x v="5"/>
    <s v="CY2017"/>
    <d v="2018-05-01T00:00:00"/>
    <x v="2"/>
    <s v="Agricultural &amp; Industrial"/>
    <s v="Transformer De-energization"/>
    <x v="23"/>
    <m/>
    <n v="1"/>
    <n v="3"/>
    <n v="3"/>
    <s v="-"/>
    <n v="0.9"/>
    <s v="N/A"/>
    <m/>
    <m/>
    <s v="N/A"/>
    <m/>
    <n v="1752"/>
    <n v="1752"/>
    <n v="0.2"/>
    <n v="0.2"/>
  </r>
  <r>
    <x v="5"/>
    <s v="CY2017"/>
    <d v="2018-05-01T00:00:00"/>
    <x v="2"/>
    <s v="Agricultural &amp; Industrial"/>
    <s v="Green Motors"/>
    <x v="24"/>
    <m/>
    <n v="1"/>
    <s v="Not defined"/>
    <n v="13"/>
    <s v="-"/>
    <n v="0.9"/>
    <s v="N/A"/>
    <m/>
    <m/>
    <s v="N/A"/>
    <m/>
    <n v="525.6"/>
    <n v="525.6"/>
    <n v="0.06"/>
    <n v="6.0000000000000005E-2"/>
  </r>
  <r>
    <x v="5"/>
    <s v="CY2017"/>
    <d v="2018-05-01T00:00:00"/>
    <x v="4"/>
    <s v="Residential"/>
    <s v="Duct Sealing Prescriptive"/>
    <x v="25"/>
    <m/>
    <n v="0.78"/>
    <n v="1451"/>
    <n v="20"/>
    <s v="-"/>
    <m/>
    <s v="N/A"/>
    <m/>
    <m/>
    <s v="N/A"/>
    <s v="no precision or +/- RR recorded"/>
    <n v="2190"/>
    <n v="1752"/>
    <n v="0.2"/>
    <n v="0.25"/>
  </r>
  <r>
    <x v="5"/>
    <s v="CY2017"/>
    <d v="2018-05-01T00:00:00"/>
    <x v="4"/>
    <s v="Residential"/>
    <s v="Duct Sealing PTCS"/>
    <x v="26"/>
    <m/>
    <n v="0.56999999999999995"/>
    <n v="292"/>
    <n v="34"/>
    <s v="-"/>
    <m/>
    <s v="N/A"/>
    <m/>
    <m/>
    <s v="N/A"/>
    <s v="no precision or +/- RR recorded"/>
    <n v="613.20000000000005"/>
    <n v="350.40000000000003"/>
    <n v="0.04"/>
    <n v="7.0000000000000007E-2"/>
  </r>
  <r>
    <x v="5"/>
    <s v="CY2017"/>
    <d v="2018-05-01T00:00:00"/>
    <x v="4"/>
    <s v="Residential"/>
    <s v="Commissioning Controls Sizing"/>
    <x v="27"/>
    <m/>
    <n v="0.42"/>
    <n v="129"/>
    <n v="15"/>
    <s v="-"/>
    <m/>
    <s v="N/A"/>
    <m/>
    <m/>
    <s v="N/A"/>
    <s v="no precision or +/- RR recorded"/>
    <n v="175.20000000000002"/>
    <n v="87.600000000000009"/>
    <n v="0.01"/>
    <n v="0.02"/>
  </r>
  <r>
    <x v="5"/>
    <s v="CY2017"/>
    <d v="2018-05-01T00:00:00"/>
    <x v="4"/>
    <s v="Residential"/>
    <s v="Heat Pumps"/>
    <x v="28"/>
    <m/>
    <n v="0.37"/>
    <n v="1641"/>
    <n v="69"/>
    <s v="-"/>
    <m/>
    <s v="N/A"/>
    <m/>
    <m/>
    <s v="N/A"/>
    <s v="no precision or +/- RR recorded"/>
    <n v="8584.7999999999993"/>
    <n v="3153.6"/>
    <n v="0.36"/>
    <n v="0.97999999999999987"/>
  </r>
  <r>
    <x v="6"/>
    <s v="2010-2014"/>
    <d v="2017-02-01T00:00:00"/>
    <x v="1"/>
    <s v="Industrial"/>
    <s v="HPEM"/>
    <x v="29"/>
    <s v="includes all HPEM 1 and HPEM 2 facilities"/>
    <n v="0.79"/>
    <n v="47"/>
    <n v="24"/>
    <s v="-"/>
    <n v="0.8"/>
    <s v="N/A"/>
    <m/>
    <m/>
    <s v="N/A"/>
    <s v="no precision due to lack of analysis of capital project"/>
    <n v="14053"/>
    <n v="11136"/>
    <n v="1.2712328767123289"/>
    <n v="1.6042237442922374"/>
  </r>
  <r>
    <x v="6"/>
    <s v="2010-2014"/>
    <d v="2017-02-01T00:00:00"/>
    <x v="1"/>
    <s v="Industrial"/>
    <s v="Track &amp; Tune"/>
    <x v="30"/>
    <s v="sample of Track &amp; Tune facilities"/>
    <n v="1.05"/>
    <n v="18"/>
    <n v="7"/>
    <s v="-"/>
    <n v="0.8"/>
    <s v="N/A"/>
    <m/>
    <m/>
    <s v="N/A"/>
    <m/>
    <n v="9631"/>
    <n v="10068"/>
    <n v="1.1493150684931508"/>
    <n v="1.099429223744292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x v="0"/>
    <s v="FY2014-2015"/>
    <d v="2018-02-01T00:00:00"/>
    <x v="0"/>
    <s v="Residential"/>
    <s v="Insulation"/>
    <x v="0"/>
    <s v="combination of all heating zones and customer types"/>
    <n v="0.98"/>
    <n v="5619"/>
    <n v="1146"/>
    <n v="0.28999999999999998"/>
    <n v="0.9"/>
    <n v="0.28999999999999998"/>
    <n v="0.69"/>
    <n v="1.27"/>
    <s v="Regression"/>
    <s v="confidence and precision target is 90/15. uncertainty bound is +/- realization rate, and precision is measures expected error bound of an estimate on a normalized basis "/>
    <n v="1525.326"/>
    <n v="1493.2380000000001"/>
    <n v="0.17046095890410959"/>
    <n v="0.17412397260273973"/>
  </r>
  <r>
    <x v="0"/>
    <s v="FY2014-2015"/>
    <d v="2018-02-01T00:00:00"/>
    <x v="1"/>
    <s v="Residential"/>
    <s v="Windows"/>
    <x v="1"/>
    <s v="combination of all heating zones and customer types"/>
    <n v="0.68"/>
    <m/>
    <n v="1378"/>
    <n v="0.18"/>
    <n v="0.9"/>
    <n v="0.18"/>
    <n v="0.5"/>
    <n v="0.8600000000000001"/>
    <s v="Regression"/>
    <s v="confidence and precision target is 90/15. uncertainty bound is +/- realization rate, and precision is measures expected error bound of an estimate on a normalized basis "/>
    <n v="1818.96"/>
    <n v="1230.5999999999999"/>
    <n v="0.14047945205479451"/>
    <n v="0.20764383561643837"/>
  </r>
  <r>
    <x v="1"/>
    <s v="FY2015"/>
    <d v="2017-02-01T00:00:00"/>
    <x v="2"/>
    <s v="Residential"/>
    <s v="Retail Lighting"/>
    <x v="2"/>
    <m/>
    <n v="1"/>
    <n v="3194"/>
    <n v="70"/>
    <s v="-"/>
    <n v="0.9"/>
    <n v="2E-3"/>
    <n v="0.998"/>
    <n v="1.002"/>
    <s v="Sampling"/>
    <m/>
    <n v="44500.800000000003"/>
    <n v="44588.4"/>
    <n v="5.09"/>
    <n v="5.08"/>
  </r>
  <r>
    <x v="1"/>
    <s v="FY2015"/>
    <d v="2017-02-01T00:00:00"/>
    <x v="2"/>
    <s v="Residential"/>
    <s v="By-Request Lighting"/>
    <x v="3"/>
    <m/>
    <n v="0.92900000000000005"/>
    <n v="337"/>
    <n v="40"/>
    <s v="-"/>
    <n v="0.9"/>
    <n v="5.5E-2"/>
    <n v="0.874"/>
    <n v="0.9840000000000001"/>
    <s v="Sampling"/>
    <m/>
    <n v="4292.3999999999996"/>
    <n v="4029.6000000000004"/>
    <n v="0.46"/>
    <n v="0.48999999999999994"/>
  </r>
  <r>
    <x v="2"/>
    <s v="FY2012-13"/>
    <d v="2015-11-01T00:00:00"/>
    <x v="3"/>
    <s v="Commercial, Industrial &amp; Ag"/>
    <s v="Opt. 1 Com/Ag Lighting"/>
    <x v="4"/>
    <s v="Utilities divided into Option 1 and Option 2 utilities: for option 1 utilities, BPA is involved throughout the project lifecycle by providing technical support for project development, implementation, approval, and M&amp;V, option 2 utilities provide their own technical support "/>
    <n v="0.93"/>
    <n v="3845"/>
    <n v="33"/>
    <s v="-"/>
    <n v="0.9"/>
    <n v="0.05"/>
    <n v="0.88"/>
    <n v="0.98000000000000009"/>
    <s v="Sampling"/>
    <s v="target sampling error expressed as a relative precision of the realization rate. No +/- estimate of realization rate reported"/>
    <n v="96103"/>
    <n v="89471"/>
    <n v="10.213584474885845"/>
    <n v="10.970662100456622"/>
  </r>
  <r>
    <x v="2"/>
    <s v="FY2012-13"/>
    <d v="2015-11-01T00:00:00"/>
    <x v="3"/>
    <s v="Commercial, Industrial &amp; Ag"/>
    <s v="Opt. 1 Industrial Lighting"/>
    <x v="5"/>
    <s v="Utilities divided into Option 1 and Option 2 utilities: for option 1 utilities, BPA is involved throughout the project lifecycle by providing technical support for project development, implementation, approval, and M&amp;V, option 2 utilities provide their own technical support "/>
    <n v="0.93"/>
    <n v="303"/>
    <n v="9"/>
    <s v="-"/>
    <n v="0.8"/>
    <n v="0.08"/>
    <n v="0.85000000000000009"/>
    <n v="1.01"/>
    <s v="Sampling"/>
    <s v="target sampling error expressed as a relative precision of the realization rate. No +/- estimate of realization rate reported"/>
    <n v="35455"/>
    <n v="33117"/>
    <n v="3.7804794520547946"/>
    <n v="4.0473744292237441"/>
  </r>
  <r>
    <x v="2"/>
    <s v="FY2012-13"/>
    <d v="2015-11-01T00:00:00"/>
    <x v="3"/>
    <s v="Commercial, Industrial &amp; Ag"/>
    <s v="Opt. 1 Com/Ag Non-Lighting"/>
    <x v="6"/>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1499999999999999"/>
    <n v="200"/>
    <n v="8"/>
    <s v="-"/>
    <n v="0.8"/>
    <n v="0.19"/>
    <n v="0.96"/>
    <n v="1.3399999999999999"/>
    <s v="Sampling"/>
    <s v="target sampling error expressed as a relative precision of the realization rate. No +/- estimate of realization rate reported"/>
    <n v="26094"/>
    <n v="29886"/>
    <n v="3.4116438356164385"/>
    <n v="2.9787671232876711"/>
  </r>
  <r>
    <x v="2"/>
    <s v="FY2012-13"/>
    <d v="2015-11-01T00:00:00"/>
    <x v="3"/>
    <s v="Commercial, Industrial &amp; Ag"/>
    <s v="Opt. 1 Industrial Non-Lighting"/>
    <x v="7"/>
    <s v="Utilities divided into Option 1 and Option 2 utilities: for option 1 utilities, BPA is involved throughout the project lifecycle by providing technical support for project development, implementation, approval, and M&amp;V, option 2 utilities provide their own technical support "/>
    <n v="0.99"/>
    <n v="226"/>
    <n v="21"/>
    <s v="-"/>
    <n v="0.9"/>
    <n v="0.05"/>
    <n v="0.94"/>
    <n v="1.04"/>
    <s v="Sampling"/>
    <s v="target sampling error expressed as a relative precision of the realization rate. No +/- estimate of realization rate reported"/>
    <n v="121830"/>
    <n v="120332"/>
    <n v="13.736529680365297"/>
    <n v="13.907534246575343"/>
  </r>
  <r>
    <x v="2"/>
    <s v="FY2012-13"/>
    <d v="2015-11-01T00:00:00"/>
    <x v="3"/>
    <s v="Commercial, Industrial &amp; Ag"/>
    <s v="Opt. 2 Commercial Lighting"/>
    <x v="8"/>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0900000000000001"/>
    <n v="2369"/>
    <n v="62"/>
    <s v="-"/>
    <n v="0.9"/>
    <n v="0.08"/>
    <n v="1.01"/>
    <n v="1.1700000000000002"/>
    <s v="Sampling"/>
    <s v="target sampling error expressed as a relative precision of the realization rate. No +/- estimate of realization rate reported"/>
    <n v="94300"/>
    <n v="102407"/>
    <n v="11.690296803652968"/>
    <n v="10.764840182648403"/>
  </r>
  <r>
    <x v="2"/>
    <s v="FY2012-13"/>
    <d v="2015-11-01T00:00:00"/>
    <x v="3"/>
    <s v="Commercial, Industrial &amp; Ag"/>
    <s v="Opt. 2 Industrial Lighting"/>
    <x v="9"/>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02"/>
    <n v="119"/>
    <n v="24"/>
    <s v="-"/>
    <n v="0.9"/>
    <n v="0.03"/>
    <n v="0.99"/>
    <n v="1.05"/>
    <s v="Sampling"/>
    <s v="target sampling error expressed as a relative precision of the realization rate. No +/- estimate of realization rate reported"/>
    <n v="10244"/>
    <n v="10443"/>
    <n v="1.1921232876712329"/>
    <n v="1.1694063926940639"/>
  </r>
  <r>
    <x v="2"/>
    <s v="FY2012-13"/>
    <d v="2015-11-01T00:00:00"/>
    <x v="3"/>
    <s v="Commercial, Industrial &amp; Ag"/>
    <s v="Opt. 2 Commercial Non-Lighting"/>
    <x v="10"/>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1000000000000001"/>
    <n v="347"/>
    <n v="23"/>
    <s v="-"/>
    <n v="0.9"/>
    <n v="0.08"/>
    <n v="1.02"/>
    <n v="1.1800000000000002"/>
    <s v="Sampling"/>
    <s v="target sampling error expressed as a relative precision of the realization rate. No +/- estimate of realization rate reported"/>
    <n v="36904"/>
    <n v="40776"/>
    <n v="4.6547945205479451"/>
    <n v="4.2127853881278536"/>
  </r>
  <r>
    <x v="2"/>
    <s v="FY2012-13"/>
    <d v="2015-11-01T00:00:00"/>
    <x v="3"/>
    <s v="Commercial, Industrial &amp; Ag"/>
    <s v="Opt. 2 Industrial Non-Lighting"/>
    <x v="11"/>
    <s v="Utilities divided into Option 1 and Option 2 utilities: for option 1 utilities, BPA is involved throughout the project lifecycle by providing technical support for project development, implementation, approval, and M&amp;V, option 2 utilities provide their own technical support "/>
    <n v="1.01"/>
    <n v="77"/>
    <n v="20"/>
    <s v="-"/>
    <n v="0.9"/>
    <n v="7.0000000000000007E-2"/>
    <n v="0.94"/>
    <n v="1.08"/>
    <s v="Sampling"/>
    <s v="target sampling error expressed as a relative precision of the realization rate. No +/- estimate of realization rate reported"/>
    <n v="24143"/>
    <n v="24484"/>
    <n v="2.7949771689497718"/>
    <n v="2.7560502283105022"/>
  </r>
  <r>
    <x v="2"/>
    <s v="FY2012-13"/>
    <d v="2015-11-01T00:00:00"/>
    <x v="3"/>
    <s v="Commercial, Industrial &amp; Ag"/>
    <s v="ESRP"/>
    <x v="12"/>
    <s v="includes 5 selected measures from the Energy Smart Reserve Power program "/>
    <n v="0.49"/>
    <n v="15"/>
    <n v="5"/>
    <s v="-"/>
    <n v="0.8"/>
    <n v="0.18"/>
    <n v="0.31"/>
    <n v="0.66999999999999993"/>
    <s v="Sampling"/>
    <s v="target sampling error expressed as a relative precision of the realization rate. No +/- estimate of realization rate reported"/>
    <n v="26433"/>
    <n v="13078"/>
    <n v="1.4929223744292237"/>
    <n v="3.0174657534246574"/>
  </r>
  <r>
    <x v="3"/>
    <s v="FY2015 and FY2016"/>
    <d v="2018-09-01T00:00:00"/>
    <x v="1"/>
    <s v="Residential"/>
    <s v="DHP Replacing eFAF"/>
    <x v="13"/>
    <s v="combination of all heating zones and customer types"/>
    <n v="0.503"/>
    <n v="603"/>
    <n v="603"/>
    <n v="9.1999999999999998E-2"/>
    <n v="0.9"/>
    <n v="9.1999999999999998E-2"/>
    <n v="0.41100000000000003"/>
    <n v="0.59499999999999997"/>
    <s v="Regression"/>
    <s v="uncertainty bound is +/- realization rate - no precision recorded"/>
    <n v="2847.366"/>
    <n v="1432.1"/>
    <n v="0.16348173515981734"/>
    <n v="0.32504178082191781"/>
  </r>
  <r>
    <x v="3"/>
    <s v="FY2015 and FY2016"/>
    <d v="2018-09-01T00:00:00"/>
    <x v="1"/>
    <s v="Residential"/>
    <s v="DHP Replacing Zonal"/>
    <x v="14"/>
    <s v="combination of all heating zones and customer types"/>
    <n v="0.84299999999999997"/>
    <n v="1738"/>
    <n v="1738"/>
    <n v="9.9000000000000005E-2"/>
    <n v="0.9"/>
    <n v="9.9000000000000005E-2"/>
    <n v="0.74399999999999999"/>
    <n v="0.94199999999999995"/>
    <s v="Regression"/>
    <s v="uncertainty bound is +/- realization rate - no precision recorded"/>
    <n v="3521.1880000000001"/>
    <n v="2970.2"/>
    <n v="0.33906392694063925"/>
    <n v="0.40196210045662101"/>
  </r>
  <r>
    <x v="3"/>
    <s v="FY2015 and FY2016"/>
    <d v="2018-09-01T00:00:00"/>
    <x v="1"/>
    <s v="Residential"/>
    <s v="Prescriptive Duct Sealing "/>
    <x v="15"/>
    <s v="combination of all heating zones and customer types"/>
    <n v="-0.26200000000000001"/>
    <n v="486"/>
    <n v="486"/>
    <n v="0.69"/>
    <n v="0.9"/>
    <n v="0.69"/>
    <n v="-0.95199999999999996"/>
    <n v="0.42799999999999994"/>
    <s v="Regression"/>
    <s v="uncertainty bound is +/- realization rate - no precision recorded"/>
    <n v="244.458"/>
    <n v="-64.2"/>
    <n v="-7.3287671232876717E-3"/>
    <n v="2.7906164383561645E-2"/>
  </r>
  <r>
    <x v="4"/>
    <s v="FY2009-2011"/>
    <d v="2018-02-01T00:00:00"/>
    <x v="1"/>
    <s v="Residential"/>
    <s v="ASHP Conversions"/>
    <x v="16"/>
    <s v="combination of all heating zones and single family and manufactured homes"/>
    <n v="0.62"/>
    <s v="Not defined"/>
    <n v="414"/>
    <n v="0.1"/>
    <n v="0.16"/>
    <n v="0.1"/>
    <n v="0.52"/>
    <n v="0.72"/>
    <s v="Regression"/>
    <s v="uncertainty bound is +/- realization rate. Precision measures expected bound of an estimate on a normalized basis"/>
    <n v="2486.4839999999999"/>
    <n v="1533.9"/>
    <n v="0.17510273972602741"/>
    <n v="0.28384520547945202"/>
  </r>
  <r>
    <x v="4"/>
    <s v="FY2009-2011"/>
    <d v="2018-02-01T00:00:00"/>
    <x v="1"/>
    <s v="Residential"/>
    <s v="ASHP Conversion w/ Sealing "/>
    <x v="17"/>
    <s v="combination of all heating zones and single family and manufactured homes"/>
    <n v="0.56000000000000005"/>
    <s v="Not defined"/>
    <n v="829"/>
    <n v="7.0000000000000007E-2"/>
    <n v="0.12"/>
    <n v="7.0000000000000007E-2"/>
    <n v="0.49000000000000005"/>
    <n v="0.63000000000000012"/>
    <s v="Regression"/>
    <s v="uncertainty bound is +/- realization rate. Precision measures expected bound of an estimate on a normalized basis"/>
    <n v="4634.9390000000003"/>
    <n v="2574.9"/>
    <n v="0.29393835616438357"/>
    <n v="0.52910262557077625"/>
  </r>
  <r>
    <x v="4"/>
    <s v="FY2009-2011"/>
    <d v="2018-02-01T00:00:00"/>
    <x v="1"/>
    <s v="Residential"/>
    <s v="Performance Duct Sealing"/>
    <x v="18"/>
    <s v="combination of all heating zones and single family and manufactured homes"/>
    <n v="0.33"/>
    <s v="Not defined"/>
    <n v="6187"/>
    <n v="0.15"/>
    <n v="0.46"/>
    <n v="0.15"/>
    <n v="0.18000000000000002"/>
    <n v="0.48"/>
    <s v="Regression"/>
    <s v="uncertainty bound is +/- realization rate. Precision measures expected bound of an estimate on a normalized basis"/>
    <n v="6100.3819999999996"/>
    <n v="1992.2"/>
    <n v="0.22742009132420091"/>
    <n v="0.69639063926940636"/>
  </r>
  <r>
    <x v="5"/>
    <s v="CY2017"/>
    <d v="2018-05-01T00:00:00"/>
    <x v="2"/>
    <s v="Residential"/>
    <s v="Ductless Heat Pumps "/>
    <x v="19"/>
    <m/>
    <n v="0.95"/>
    <s v="Not defined"/>
    <n v="118"/>
    <s v="-"/>
    <n v="0.9"/>
    <n v="2.7E-2"/>
    <n v="0.92299999999999993"/>
    <n v="0.97699999999999998"/>
    <s v="Sampling"/>
    <m/>
    <n v="8847.6"/>
    <n v="8322"/>
    <n v="0.95"/>
    <n v="1.01"/>
  </r>
  <r>
    <x v="5"/>
    <s v="CY2017"/>
    <d v="2018-05-01T00:00:00"/>
    <x v="2"/>
    <s v="Residential"/>
    <s v="Advanced Power Strips"/>
    <x v="20"/>
    <s v="by-request and direct install only"/>
    <n v="1"/>
    <s v="Not defined"/>
    <n v="8"/>
    <s v="-"/>
    <n v="0.9"/>
    <n v="1.6E-2"/>
    <n v="0.98399999999999999"/>
    <n v="1.016"/>
    <s v="Sampling"/>
    <m/>
    <n v="6219.5999999999995"/>
    <n v="6219.5999999999995"/>
    <n v="0.71"/>
    <n v="0.71"/>
  </r>
  <r>
    <x v="5"/>
    <s v="CY2017"/>
    <d v="2018-05-01T00:00:00"/>
    <x v="2"/>
    <s v="Residential"/>
    <s v="Showerheads"/>
    <x v="21"/>
    <s v="by-request , direct install, and retail"/>
    <n v="1"/>
    <s v="Not defined"/>
    <n v="15"/>
    <s v="-"/>
    <n v="0.9"/>
    <n v="5.7099999999999998E-2"/>
    <n v="0.94289999999999996"/>
    <n v="1.0570999999999999"/>
    <s v="Sampling"/>
    <m/>
    <n v="8234.4"/>
    <n v="8234.4"/>
    <n v="0.94"/>
    <n v="0.94"/>
  </r>
  <r>
    <x v="5"/>
    <s v="CY2017"/>
    <d v="2018-05-01T00:00:00"/>
    <x v="2"/>
    <s v="Residential"/>
    <s v="Heat Pump Water Heaters"/>
    <x v="22"/>
    <s v="by-request only - mostly single family homes"/>
    <n v="1.0900000000000001"/>
    <s v="Not defined"/>
    <n v="43"/>
    <s v="-"/>
    <n v="0.9"/>
    <n v="7.0000000000000007E-2"/>
    <n v="1.02"/>
    <n v="1.1600000000000001"/>
    <s v="Sampling"/>
    <m/>
    <n v="963.6"/>
    <n v="963.6"/>
    <n v="0.11"/>
    <n v="0.11"/>
  </r>
  <r>
    <x v="5"/>
    <s v="CY2017"/>
    <d v="2018-05-01T00:00:00"/>
    <x v="2"/>
    <s v="Agricultural &amp; Industrial"/>
    <s v="Transformer De-energization"/>
    <x v="23"/>
    <m/>
    <n v="1"/>
    <n v="3"/>
    <n v="3"/>
    <s v="-"/>
    <n v="0.9"/>
    <s v="N/A"/>
    <m/>
    <m/>
    <s v="N/A"/>
    <m/>
    <n v="1752"/>
    <n v="1752"/>
    <n v="0.2"/>
    <n v="0.2"/>
  </r>
  <r>
    <x v="5"/>
    <s v="CY2017"/>
    <d v="2018-05-01T00:00:00"/>
    <x v="2"/>
    <s v="Agricultural &amp; Industrial"/>
    <s v="Green Motors"/>
    <x v="24"/>
    <m/>
    <n v="1"/>
    <s v="Not defined"/>
    <n v="13"/>
    <s v="-"/>
    <n v="0.9"/>
    <s v="N/A"/>
    <m/>
    <m/>
    <s v="N/A"/>
    <m/>
    <n v="525.6"/>
    <n v="525.6"/>
    <n v="0.06"/>
    <n v="6.0000000000000005E-2"/>
  </r>
  <r>
    <x v="5"/>
    <s v="CY2017"/>
    <d v="2018-05-01T00:00:00"/>
    <x v="4"/>
    <s v="Residential"/>
    <s v="Duct Sealing Prescriptive"/>
    <x v="25"/>
    <m/>
    <n v="0.78"/>
    <n v="1451"/>
    <n v="20"/>
    <s v="-"/>
    <m/>
    <s v="N/A"/>
    <m/>
    <m/>
    <s v="N/A"/>
    <s v="no precision or +/- RR recorded"/>
    <n v="2190"/>
    <n v="1752"/>
    <n v="0.2"/>
    <n v="0.25"/>
  </r>
  <r>
    <x v="5"/>
    <s v="CY2017"/>
    <d v="2018-05-01T00:00:00"/>
    <x v="4"/>
    <s v="Residential"/>
    <s v="Duct Sealing PTCS"/>
    <x v="26"/>
    <m/>
    <n v="0.56999999999999995"/>
    <n v="292"/>
    <n v="34"/>
    <s v="-"/>
    <m/>
    <s v="N/A"/>
    <m/>
    <m/>
    <s v="N/A"/>
    <s v="no precision or +/- RR recorded"/>
    <n v="613.20000000000005"/>
    <n v="350.40000000000003"/>
    <n v="0.04"/>
    <n v="7.0000000000000007E-2"/>
  </r>
  <r>
    <x v="5"/>
    <s v="CY2017"/>
    <d v="2018-05-01T00:00:00"/>
    <x v="4"/>
    <s v="Residential"/>
    <s v="Commissioning Controls Sizing"/>
    <x v="27"/>
    <m/>
    <n v="0.42"/>
    <n v="129"/>
    <n v="15"/>
    <s v="-"/>
    <m/>
    <s v="N/A"/>
    <m/>
    <m/>
    <s v="N/A"/>
    <s v="no precision or +/- RR recorded"/>
    <n v="175.20000000000002"/>
    <n v="87.600000000000009"/>
    <n v="0.01"/>
    <n v="0.02"/>
  </r>
  <r>
    <x v="5"/>
    <s v="CY2017"/>
    <d v="2018-05-01T00:00:00"/>
    <x v="4"/>
    <s v="Residential"/>
    <s v="Heat Pumps"/>
    <x v="28"/>
    <m/>
    <n v="0.37"/>
    <n v="1641"/>
    <n v="69"/>
    <s v="-"/>
    <m/>
    <s v="N/A"/>
    <m/>
    <m/>
    <s v="N/A"/>
    <s v="no precision or +/- RR recorded"/>
    <n v="8584.7999999999993"/>
    <n v="3153.6"/>
    <n v="0.36"/>
    <n v="0.9799999999999998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2000000}" name="PivotTable3"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9">
  <location ref="A111:D116" firstHeaderRow="0" firstDataRow="1" firstDataCol="1" rowPageCount="2" colPageCount="1"/>
  <pivotFields count="22">
    <pivotField axis="axisPage" showAll="0">
      <items count="7">
        <item x="4"/>
        <item x="3"/>
        <item x="0"/>
        <item x="2"/>
        <item x="1"/>
        <item x="5"/>
        <item t="default"/>
      </items>
    </pivotField>
    <pivotField showAll="0"/>
    <pivotField showAll="0"/>
    <pivotField axis="axisPage" showAll="0">
      <items count="6">
        <item x="2"/>
        <item x="3"/>
        <item x="1"/>
        <item x="4"/>
        <item x="0"/>
        <item t="default"/>
      </items>
    </pivotField>
    <pivotField showAll="0"/>
    <pivotField showAll="0"/>
    <pivotField axis="axisRow" showAll="0">
      <items count="30">
        <item x="20"/>
        <item x="17"/>
        <item x="16"/>
        <item x="3"/>
        <item x="27"/>
        <item x="13"/>
        <item x="14"/>
        <item x="25"/>
        <item x="26"/>
        <item x="19"/>
        <item x="24"/>
        <item x="22"/>
        <item x="28"/>
        <item x="0"/>
        <item x="4"/>
        <item x="6"/>
        <item x="5"/>
        <item x="7"/>
        <item x="8"/>
        <item x="10"/>
        <item x="12"/>
        <item x="9"/>
        <item x="11"/>
        <item x="18"/>
        <item x="15"/>
        <item x="2"/>
        <item x="21"/>
        <item x="23"/>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s>
  <rowFields count="1">
    <field x="6"/>
  </rowFields>
  <rowItems count="5">
    <i>
      <x v="4"/>
    </i>
    <i>
      <x v="7"/>
    </i>
    <i>
      <x v="8"/>
    </i>
    <i>
      <x v="12"/>
    </i>
    <i t="grand">
      <x/>
    </i>
  </rowItems>
  <colFields count="1">
    <field x="-2"/>
  </colFields>
  <colItems count="3">
    <i>
      <x/>
    </i>
    <i i="1">
      <x v="1"/>
    </i>
    <i i="2">
      <x v="2"/>
    </i>
  </colItems>
  <pageFields count="2">
    <pageField fld="3" item="3" hier="-1"/>
    <pageField fld="0" hier="-1"/>
  </pageFields>
  <dataFields count="3">
    <dataField name=" Realization Rate (Left Axis)" fld="8" baseField="6" baseItem="4" numFmtId="9"/>
    <dataField name="Annual aMW (Reported)" fld="21" baseField="0" baseItem="0"/>
    <dataField name="Annual aMW (Evaluated)" fld="20" baseField="0" baseItem="0"/>
  </dataFields>
  <formats count="1">
    <format dxfId="0">
      <pivotArea outline="0" collapsedLevelsAreSubtotals="1" fieldPosition="0">
        <references count="1">
          <reference field="4294967294" count="1" selected="0">
            <x v="0"/>
          </reference>
        </references>
      </pivotArea>
    </format>
  </formats>
  <chartFormats count="8">
    <chartFormat chart="2" format="1" series="1">
      <pivotArea type="data" outline="0" fieldPosition="0">
        <references count="1">
          <reference field="4294967294" count="1" selected="0">
            <x v="0"/>
          </reference>
        </references>
      </pivotArea>
    </chartFormat>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0"/>
          </reference>
        </references>
      </pivotArea>
    </chartFormat>
    <chartFormat chart="9" format="5" series="1">
      <pivotArea type="data" outline="0" fieldPosition="0">
        <references count="1">
          <reference field="4294967294" count="1" selected="0">
            <x v="2"/>
          </reference>
        </references>
      </pivotArea>
    </chartFormat>
    <chartFormat chart="9"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3000000}" name="PivotTable6"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9">
  <location ref="A51:D61" firstHeaderRow="0" firstDataRow="1" firstDataCol="1" rowPageCount="2" colPageCount="1"/>
  <pivotFields count="22">
    <pivotField axis="axisPage" showAll="0">
      <items count="7">
        <item x="4"/>
        <item x="3"/>
        <item x="0"/>
        <item x="2"/>
        <item x="1"/>
        <item x="5"/>
        <item t="default"/>
      </items>
    </pivotField>
    <pivotField showAll="0"/>
    <pivotField showAll="0"/>
    <pivotField axis="axisPage" showAll="0">
      <items count="6">
        <item x="2"/>
        <item x="3"/>
        <item x="1"/>
        <item x="4"/>
        <item x="0"/>
        <item t="default"/>
      </items>
    </pivotField>
    <pivotField showAll="0"/>
    <pivotField showAll="0"/>
    <pivotField axis="axisRow" showAll="0">
      <items count="30">
        <item x="20"/>
        <item x="17"/>
        <item x="16"/>
        <item x="3"/>
        <item x="27"/>
        <item x="13"/>
        <item x="14"/>
        <item x="25"/>
        <item x="26"/>
        <item x="19"/>
        <item x="24"/>
        <item x="22"/>
        <item x="28"/>
        <item x="0"/>
        <item x="4"/>
        <item x="6"/>
        <item x="5"/>
        <item x="7"/>
        <item x="8"/>
        <item x="10"/>
        <item x="12"/>
        <item x="9"/>
        <item x="11"/>
        <item x="18"/>
        <item x="15"/>
        <item x="2"/>
        <item x="21"/>
        <item x="23"/>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s>
  <rowFields count="1">
    <field x="6"/>
  </rowFields>
  <rowItems count="10">
    <i>
      <x v="14"/>
    </i>
    <i>
      <x v="15"/>
    </i>
    <i>
      <x v="16"/>
    </i>
    <i>
      <x v="17"/>
    </i>
    <i>
      <x v="18"/>
    </i>
    <i>
      <x v="19"/>
    </i>
    <i>
      <x v="20"/>
    </i>
    <i>
      <x v="21"/>
    </i>
    <i>
      <x v="22"/>
    </i>
    <i t="grand">
      <x/>
    </i>
  </rowItems>
  <colFields count="1">
    <field x="-2"/>
  </colFields>
  <colItems count="3">
    <i>
      <x/>
    </i>
    <i i="1">
      <x v="1"/>
    </i>
    <i i="2">
      <x v="2"/>
    </i>
  </colItems>
  <pageFields count="2">
    <pageField fld="3" item="1" hier="-1"/>
    <pageField fld="0" hier="-1"/>
  </pageFields>
  <dataFields count="3">
    <dataField name=" Realization Rate (Left Axis)" fld="8" baseField="6" baseItem="14" numFmtId="9"/>
    <dataField name="Annual aMW (Reported)" fld="21" baseField="0" baseItem="0"/>
    <dataField name="Annual aMW (Evaluated)" fld="20" baseField="0" baseItem="0"/>
  </dataFields>
  <formats count="1">
    <format dxfId="1">
      <pivotArea outline="0" collapsedLevelsAreSubtotals="1" fieldPosition="0">
        <references count="1">
          <reference field="4294967294" count="1" selected="0">
            <x v="0"/>
          </reference>
        </references>
      </pivotArea>
    </format>
  </formats>
  <chartFormats count="6">
    <chartFormat chart="2" format="1" series="1">
      <pivotArea type="data" outline="0" fieldPosition="0">
        <references count="1">
          <reference field="4294967294" count="1" selected="0">
            <x v="0"/>
          </reference>
        </references>
      </pivotArea>
    </chartFormat>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7" format="7" series="1">
      <pivotArea type="data" outline="0" fieldPosition="0">
        <references count="1">
          <reference field="4294967294" count="1" selected="0">
            <x v="2"/>
          </reference>
        </references>
      </pivotArea>
    </chartFormat>
    <chartFormat chart="7" format="8"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2">
  <location ref="A77:D87" firstHeaderRow="0" firstDataRow="1" firstDataCol="1" rowPageCount="2" colPageCount="1"/>
  <pivotFields count="22">
    <pivotField axis="axisPage" showAll="0">
      <items count="8">
        <item x="4"/>
        <item x="3"/>
        <item x="0"/>
        <item x="2"/>
        <item x="1"/>
        <item x="5"/>
        <item x="6"/>
        <item t="default"/>
      </items>
    </pivotField>
    <pivotField showAll="0"/>
    <pivotField showAll="0"/>
    <pivotField axis="axisPage" showAll="0">
      <items count="6">
        <item x="2"/>
        <item x="3"/>
        <item x="1"/>
        <item x="4"/>
        <item x="0"/>
        <item t="default"/>
      </items>
    </pivotField>
    <pivotField showAll="0"/>
    <pivotField showAll="0"/>
    <pivotField axis="axisRow" showAll="0">
      <items count="32">
        <item x="20"/>
        <item n="ASHP Conversion w/ Sealing (09-11)" x="17"/>
        <item x="16"/>
        <item x="3"/>
        <item x="27"/>
        <item x="13"/>
        <item x="14"/>
        <item x="25"/>
        <item x="26"/>
        <item x="19"/>
        <item x="24"/>
        <item x="22"/>
        <item x="28"/>
        <item x="29"/>
        <item x="0"/>
        <item x="4"/>
        <item x="6"/>
        <item x="5"/>
        <item x="7"/>
        <item x="8"/>
        <item x="10"/>
        <item x="12"/>
        <item x="9"/>
        <item x="11"/>
        <item x="18"/>
        <item x="15"/>
        <item x="2"/>
        <item x="21"/>
        <item x="30"/>
        <item x="23"/>
        <item x="1"/>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s>
  <rowFields count="1">
    <field x="6"/>
  </rowFields>
  <rowItems count="10">
    <i>
      <x v="1"/>
    </i>
    <i>
      <x v="2"/>
    </i>
    <i>
      <x v="5"/>
    </i>
    <i>
      <x v="6"/>
    </i>
    <i>
      <x v="13"/>
    </i>
    <i>
      <x v="24"/>
    </i>
    <i>
      <x v="25"/>
    </i>
    <i>
      <x v="28"/>
    </i>
    <i>
      <x v="30"/>
    </i>
    <i t="grand">
      <x/>
    </i>
  </rowItems>
  <colFields count="1">
    <field x="-2"/>
  </colFields>
  <colItems count="3">
    <i>
      <x/>
    </i>
    <i i="1">
      <x v="1"/>
    </i>
    <i i="2">
      <x v="2"/>
    </i>
  </colItems>
  <pageFields count="2">
    <pageField fld="3" item="2" hier="-1"/>
    <pageField fld="0" hier="-1"/>
  </pageFields>
  <dataFields count="3">
    <dataField name=" Realization Rate (Left Axis)" fld="8" baseField="6" baseItem="1" numFmtId="9"/>
    <dataField name="Annual aMW (Reported)" fld="21" baseField="0" baseItem="0"/>
    <dataField name="Annual aMW (Evaluated)" fld="20" baseField="0" baseItem="0"/>
  </dataFields>
  <formats count="1">
    <format dxfId="2">
      <pivotArea outline="0" collapsedLevelsAreSubtotals="1" fieldPosition="0">
        <references count="1">
          <reference field="4294967294" count="1" selected="0">
            <x v="0"/>
          </reference>
        </references>
      </pivotArea>
    </format>
  </formats>
  <chartFormats count="7">
    <chartFormat chart="2" format="1" series="1">
      <pivotArea type="data" outline="0" fieldPosition="0">
        <references count="1">
          <reference field="4294967294" count="1" selected="0">
            <x v="0"/>
          </reference>
        </references>
      </pivotArea>
    </chartFormat>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7" format="0" series="1">
      <pivotArea type="data" outline="0" fieldPosition="0">
        <references count="1">
          <reference field="4294967294" count="1" selected="0">
            <x v="0"/>
          </reference>
        </references>
      </pivotArea>
    </chartFormat>
    <chartFormat chart="8" format="0" series="1">
      <pivotArea type="data" outline="0" fieldPosition="0">
        <references count="1">
          <reference field="4294967294" count="1" selected="0">
            <x v="0"/>
          </reference>
        </references>
      </pivotArea>
    </chartFormat>
    <chartFormat chart="8" format="5" series="1">
      <pivotArea type="data" outline="0" fieldPosition="0">
        <references count="1">
          <reference field="4294967294" count="1" selected="0">
            <x v="2"/>
          </reference>
        </references>
      </pivotArea>
    </chartFormat>
    <chartFormat chart="8"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1"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chartFormat="20">
  <location ref="A4:D13" firstHeaderRow="0" firstDataRow="1" firstDataCol="1" rowPageCount="2" colPageCount="1"/>
  <pivotFields count="22">
    <pivotField axis="axisPage" showAll="0">
      <items count="8">
        <item x="4"/>
        <item x="3"/>
        <item x="0"/>
        <item x="2"/>
        <item x="1"/>
        <item x="5"/>
        <item x="6"/>
        <item t="default"/>
      </items>
    </pivotField>
    <pivotField showAll="0"/>
    <pivotField showAll="0"/>
    <pivotField axis="axisPage" showAll="0">
      <items count="6">
        <item x="2"/>
        <item x="3"/>
        <item x="1"/>
        <item x="4"/>
        <item x="0"/>
        <item t="default"/>
      </items>
    </pivotField>
    <pivotField showAll="0"/>
    <pivotField showAll="0"/>
    <pivotField axis="axisRow" showAll="0">
      <items count="32">
        <item x="0"/>
        <item x="1"/>
        <item x="2"/>
        <item x="3"/>
        <item x="4"/>
        <item x="5"/>
        <item x="6"/>
        <item x="7"/>
        <item x="8"/>
        <item x="9"/>
        <item x="10"/>
        <item x="11"/>
        <item x="12"/>
        <item x="13"/>
        <item x="14"/>
        <item x="15"/>
        <item x="16"/>
        <item x="17"/>
        <item x="18"/>
        <item x="19"/>
        <item x="20"/>
        <item x="21"/>
        <item x="22"/>
        <item x="23"/>
        <item x="24"/>
        <item x="25"/>
        <item x="26"/>
        <item x="27"/>
        <item x="28"/>
        <item x="29"/>
        <item x="30"/>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numFmtId="2" showAll="0"/>
    <pivotField dataField="1" numFmtId="2" showAll="0"/>
  </pivotFields>
  <rowFields count="1">
    <field x="6"/>
  </rowFields>
  <rowItems count="9">
    <i>
      <x v="2"/>
    </i>
    <i>
      <x v="3"/>
    </i>
    <i>
      <x v="19"/>
    </i>
    <i>
      <x v="20"/>
    </i>
    <i>
      <x v="21"/>
    </i>
    <i>
      <x v="22"/>
    </i>
    <i>
      <x v="23"/>
    </i>
    <i>
      <x v="24"/>
    </i>
    <i t="grand">
      <x/>
    </i>
  </rowItems>
  <colFields count="1">
    <field x="-2"/>
  </colFields>
  <colItems count="3">
    <i>
      <x/>
    </i>
    <i i="1">
      <x v="1"/>
    </i>
    <i i="2">
      <x v="2"/>
    </i>
  </colItems>
  <pageFields count="2">
    <pageField fld="3" item="0" hier="-1"/>
    <pageField fld="0" hier="-1"/>
  </pageFields>
  <dataFields count="3">
    <dataField name=" Realization Rate (Left Axis)" fld="8" baseField="0" baseItem="0" numFmtId="9"/>
    <dataField name="Annual aMW (Reported)" fld="21" baseField="0" baseItem="0"/>
    <dataField name="Annual aMW (Evaluated)" fld="20" baseField="0" baseItem="0"/>
  </dataFields>
  <formats count="1">
    <format dxfId="3">
      <pivotArea outline="0" collapsedLevelsAreSubtotals="1" fieldPosition="0">
        <references count="1">
          <reference field="4294967294" count="1" selected="0">
            <x v="0"/>
          </reference>
        </references>
      </pivotArea>
    </format>
  </formats>
  <chartFormats count="11">
    <chartFormat chart="4" format="36" series="1">
      <pivotArea type="data" outline="0" fieldPosition="0">
        <references count="1">
          <reference field="4294967294" count="1" selected="0">
            <x v="0"/>
          </reference>
        </references>
      </pivotArea>
    </chartFormat>
    <chartFormat chart="6" format="35" series="1">
      <pivotArea type="data" outline="0" fieldPosition="0">
        <references count="1">
          <reference field="4294967294" count="1" selected="0">
            <x v="0"/>
          </reference>
        </references>
      </pivotArea>
    </chartFormat>
    <chartFormat chart="9" format="35" series="1">
      <pivotArea type="data" outline="0" fieldPosition="0">
        <references count="1">
          <reference field="4294967294" count="1" selected="0">
            <x v="0"/>
          </reference>
        </references>
      </pivotArea>
    </chartFormat>
    <chartFormat chart="10" format="33" series="1">
      <pivotArea type="data" outline="0" fieldPosition="0">
        <references count="1">
          <reference field="4294967294" count="1" selected="0">
            <x v="0"/>
          </reference>
        </references>
      </pivotArea>
    </chartFormat>
    <chartFormat chart="11" format="35" series="1">
      <pivotArea type="data" outline="0" fieldPosition="0">
        <references count="1">
          <reference field="4294967294" count="1" selected="0">
            <x v="0"/>
          </reference>
        </references>
      </pivotArea>
    </chartFormat>
    <chartFormat chart="12" format="33" series="1">
      <pivotArea type="data" outline="0" fieldPosition="0">
        <references count="1">
          <reference field="4294967294" count="1" selected="0">
            <x v="0"/>
          </reference>
        </references>
      </pivotArea>
    </chartFormat>
    <chartFormat chart="13" format="35" series="1">
      <pivotArea type="data" outline="0" fieldPosition="0">
        <references count="1">
          <reference field="4294967294" count="1" selected="0">
            <x v="0"/>
          </reference>
        </references>
      </pivotArea>
    </chartFormat>
    <chartFormat chart="2" format="37" series="1">
      <pivotArea type="data" outline="0" fieldPosition="0">
        <references count="1">
          <reference field="4294967294" count="1" selected="0">
            <x v="0"/>
          </reference>
        </references>
      </pivotArea>
    </chartFormat>
    <chartFormat chart="14" format="35" series="1">
      <pivotArea type="data" outline="0" fieldPosition="0">
        <references count="1">
          <reference field="4294967294" count="1" selected="0">
            <x v="0"/>
          </reference>
        </references>
      </pivotArea>
    </chartFormat>
    <chartFormat chart="2" format="43" series="1">
      <pivotArea type="data" outline="0" fieldPosition="0">
        <references count="1">
          <reference field="4294967294" count="1" selected="0">
            <x v="2"/>
          </reference>
        </references>
      </pivotArea>
    </chartFormat>
    <chartFormat chart="2" format="4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BPA Theme">
  <a:themeElements>
    <a:clrScheme name="New Evaluation colors">
      <a:dk1>
        <a:srgbClr val="556270"/>
      </a:dk1>
      <a:lt1>
        <a:sysClr val="window" lastClr="FFFFFF"/>
      </a:lt1>
      <a:dk2>
        <a:srgbClr val="004990"/>
      </a:dk2>
      <a:lt2>
        <a:srgbClr val="C1D82F"/>
      </a:lt2>
      <a:accent1>
        <a:srgbClr val="004990"/>
      </a:accent1>
      <a:accent2>
        <a:srgbClr val="C1D82F"/>
      </a:accent2>
      <a:accent3>
        <a:srgbClr val="F54E39"/>
      </a:accent3>
      <a:accent4>
        <a:srgbClr val="556270"/>
      </a:accent4>
      <a:accent5>
        <a:srgbClr val="00929F"/>
      </a:accent5>
      <a:accent6>
        <a:srgbClr val="FFD200"/>
      </a:accent6>
      <a:hlink>
        <a:srgbClr val="0000FF"/>
      </a:hlink>
      <a:folHlink>
        <a:srgbClr val="800080"/>
      </a:folHlink>
    </a:clrScheme>
    <a:fontScheme name="New Evaluation template">
      <a:majorFont>
        <a:latin typeface="Caecilia LT Std Roman"/>
        <a:ea typeface=""/>
        <a:cs typeface=""/>
      </a:majorFont>
      <a:minorFont>
        <a:latin typeface="Caecilia LT Std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BPA Theme" id="{049680B2-F770-4882-8EF1-A785291CB0BB}" vid="{C8F4734D-72FD-4D5B-89C3-1882A42F93EA}"/>
    </a:ext>
  </a:extLst>
</a:theme>
</file>

<file path=xl/threadedComments/threadedComment1.xml><?xml version="1.0" encoding="utf-8"?>
<ThreadedComments xmlns="http://schemas.microsoft.com/office/spreadsheetml/2018/threadedcomments" xmlns:x="http://schemas.openxmlformats.org/spreadsheetml/2006/main">
  <threadedComment ref="I8" dT="2020-05-20T19:31:28.67" personId="{E995CE98-76CC-42BF-AC96-0332A897EDA0}" id="{504E0A81-8052-4EC8-9388-98A77F1BFB12}">
    <text>census of billing data for each utility</text>
  </threadedComment>
  <threadedComment ref="I9" dT="2020-05-20T19:31:39.37" personId="{E995CE98-76CC-42BF-AC96-0332A897EDA0}" id="{505AF726-003B-4CC6-8D5E-CFB723238781}">
    <text>census of billing data for each utility</text>
  </threadedComment>
  <threadedComment ref="I21" dT="2020-05-20T16:58:38.64" personId="{E995CE98-76CC-42BF-AC96-0332A897EDA0}" id="{65C6E139-BE64-4A16-8166-10AA1FF800E7}">
    <text>census of billing data for each utility</text>
  </threadedComment>
  <threadedComment ref="I22" dT="2020-05-20T16:59:29.78" personId="{E995CE98-76CC-42BF-AC96-0332A897EDA0}" id="{B22D2D94-7277-4E2C-911E-B0AEB6A6C930}">
    <text>census of billing data for each utility</text>
  </threadedComment>
  <threadedComment ref="H23" dT="2020-04-21T17:02:29.96" personId="{E995CE98-76CC-42BF-AC96-0332A897EDA0}" id="{61CF9CAE-D9B1-4E99-A745-E3152B7F89F5}">
    <text>negative RR confirmed</text>
  </threadedComment>
  <threadedComment ref="I23" dT="2020-05-20T16:59:39.60" personId="{E995CE98-76CC-42BF-AC96-0332A897EDA0}" id="{16D92F99-674C-426F-AB8D-F7EBCA2A7C48}">
    <text>census of billing data for each utility</text>
  </threadedComment>
  <threadedComment ref="I31" dT="2020-05-20T17:14:09.13" personId="{E995CE98-76CC-42BF-AC96-0332A897EDA0}" id="{079E1726-15BC-493C-AB48-9D8D12B89B16}">
    <text>evaluted census of projects</text>
  </threadedComment>
  <threadedComment ref="J37" dT="2020-05-13T21:52:10.60" personId="{E995CE98-76CC-42BF-AC96-0332A897EDA0}" id="{9FD99D2F-C80F-4A63-9223-E65A1484328D}">
    <text>sites included in evaluation, not total participating sites</text>
  </threadedComment>
  <threadedComment ref="J38" dT="2020-05-13T21:51:56.56" personId="{E995CE98-76CC-42BF-AC96-0332A897EDA0}" id="{9D5BB927-F56E-46A0-A17A-BC428D746BE9}">
    <text>sites included in evaluation, not total participating sites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pa.gov/EE/Utility/Evaluation/Evaluation/180219_PhaseIBillingAnalysis_BPA_Response_Memo.pdf" TargetMode="External"/><Relationship Id="rId13" Type="http://schemas.openxmlformats.org/officeDocument/2006/relationships/hyperlink" Target="https://www.bpa.gov/EE/Utility/Evaluation/Evaluation/Impact_Evaluation_Site-Specific_Portfolio_Final_Report.pdf" TargetMode="External"/><Relationship Id="rId18" Type="http://schemas.openxmlformats.org/officeDocument/2006/relationships/hyperlink" Target="https://www.bpa.gov/EE/Utility/Evaluation/Evaluation/170222_BPA_Industrial_SEM_Impact_Evaluation_Report.pdf" TargetMode="External"/><Relationship Id="rId3" Type="http://schemas.openxmlformats.org/officeDocument/2006/relationships/hyperlink" Target="https://www.bpa.gov/EE/Utility/Evaluation/Evaluation/1802_BPA_Residential_Impact_Evaluation_Final_Report.pdf" TargetMode="External"/><Relationship Id="rId21" Type="http://schemas.openxmlformats.org/officeDocument/2006/relationships/vmlDrawing" Target="../drawings/vmlDrawing1.vml"/><Relationship Id="rId7" Type="http://schemas.openxmlformats.org/officeDocument/2006/relationships/hyperlink" Target="https://www.bpa.gov/EE/Utility/Evaluation/Evaluation/180219_PhaseIBillingAnalysis_BPA_Response_Memo.pdf" TargetMode="External"/><Relationship Id="rId12" Type="http://schemas.openxmlformats.org/officeDocument/2006/relationships/hyperlink" Target="https://www.bpa.gov/EE/Utility/Evaluation/Evaluation/Impact_Evaluation_Site-Specific_Portfolio_Final_Report.pdf" TargetMode="External"/><Relationship Id="rId17" Type="http://schemas.openxmlformats.org/officeDocument/2006/relationships/hyperlink" Target="https://www.bpa.gov/EE/Utility/Evaluation/Evaluation/170213_Industrial_SEM_Impact_Evaluation_BPA_Response_Memo.pdf" TargetMode="External"/><Relationship Id="rId2" Type="http://schemas.openxmlformats.org/officeDocument/2006/relationships/hyperlink" Target="https://www.bpa.gov/EE/Utility/Evaluation/Evaluation/BPA_2017_Delivery_Verification_Evaluation_Report.pdf" TargetMode="External"/><Relationship Id="rId16" Type="http://schemas.openxmlformats.org/officeDocument/2006/relationships/hyperlink" Target="https://www.bpa.gov/EE/Utility/Evaluation/Evaluation/170215_BPA_Evaluation_UES_Res_Lighting_Report.pdf" TargetMode="External"/><Relationship Id="rId20" Type="http://schemas.openxmlformats.org/officeDocument/2006/relationships/printerSettings" Target="../printerSettings/printerSettings2.bin"/><Relationship Id="rId1" Type="http://schemas.openxmlformats.org/officeDocument/2006/relationships/hyperlink" Target="https://www.bpa.gov/EE/Utility/Evaluation/Evaluation/Impact_Evaluation_of_Res_DHP_and_Prescriptive_Duct_Sealing_Measures_draft_report.pdf" TargetMode="External"/><Relationship Id="rId6" Type="http://schemas.openxmlformats.org/officeDocument/2006/relationships/hyperlink" Target="https://www.bpa.gov/EE/Utility/Evaluation/Evaluation/180219_PhaseIBillingAnalysis_BPA_Response_Memo.pdf" TargetMode="External"/><Relationship Id="rId11" Type="http://schemas.openxmlformats.org/officeDocument/2006/relationships/hyperlink" Target="https://www.bpa.gov/EE/Utility/Evaluation/Evaluation/Impact_Evaluation_Site-Specific_Portfolio_Final_Report.pdf" TargetMode="External"/><Relationship Id="rId5" Type="http://schemas.openxmlformats.org/officeDocument/2006/relationships/hyperlink" Target="https://www.bpa.gov/EE/Utility/Evaluation/Evaluation/170209_Lighting_Impact_Evaluation-BPA_Response_Memo.pdf" TargetMode="External"/><Relationship Id="rId15" Type="http://schemas.openxmlformats.org/officeDocument/2006/relationships/hyperlink" Target="https://www.bpa.gov/EE/Utility/Evaluation/Evaluation/BPA_2017_Delivery_Verification_Evaluation_Report.pdf" TargetMode="External"/><Relationship Id="rId10" Type="http://schemas.openxmlformats.org/officeDocument/2006/relationships/hyperlink" Target="https://www.bpa.gov/EE/Utility/Evaluation/Evaluation/180501_BPA_2017_Delivery_Verification_Programs_Response_Memo.pdf" TargetMode="External"/><Relationship Id="rId19" Type="http://schemas.openxmlformats.org/officeDocument/2006/relationships/hyperlink" Target="https://www.bpa.gov/EE/Utility/Evaluation/Evaluation/170222_BPA_Industrial_SEM_Impact_Evaluation_Report.pdf" TargetMode="External"/><Relationship Id="rId4" Type="http://schemas.openxmlformats.org/officeDocument/2006/relationships/hyperlink" Target="https://www.bpa.gov/EE/Utility/Evaluation/Evaluation/170209_Lighting_Impact_Evaluation-BPA_Response_Memo.pdf" TargetMode="External"/><Relationship Id="rId9" Type="http://schemas.openxmlformats.org/officeDocument/2006/relationships/hyperlink" Target="https://www.bpa.gov/EE/Utility/Evaluation/Evaluation/180501_BPA_2017_Delivery_Verification_Programs_Response_Memo.pdf" TargetMode="External"/><Relationship Id="rId14" Type="http://schemas.openxmlformats.org/officeDocument/2006/relationships/hyperlink" Target="https://www.bpa.gov/EE/Utility/Evaluation/Evaluation/170222_BPA_Industrial_SEM_Impact_Evaluation_Report.pdf" TargetMode="Externa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bpa.gov/EE/Utility/Evaluation/Evaluation/1802_BPA_Residential_Impact_Evaluation_Final_Report.pdf" TargetMode="External"/><Relationship Id="rId13" Type="http://schemas.openxmlformats.org/officeDocument/2006/relationships/hyperlink" Target="https://www.bpa.gov/EE/Utility/Evaluation/Evaluation/BPA_2017_Delivery_Verification_Evaluation_Report.pdf" TargetMode="External"/><Relationship Id="rId18" Type="http://schemas.openxmlformats.org/officeDocument/2006/relationships/hyperlink" Target="https://www.bpa.gov/EE/Utility/Evaluation/Evaluation/Impact_Evaluation_Site-Specific_Portfolio_Final_Report.pdf" TargetMode="External"/><Relationship Id="rId3" Type="http://schemas.openxmlformats.org/officeDocument/2006/relationships/hyperlink" Target="https://www.bpa.gov/EE/Utility/Evaluation/Evaluation/Impact_Evaluation_of_Res_DHP_and_Prescriptive_Duct_Sealing_Measures_draft_report.pdf" TargetMode="External"/><Relationship Id="rId21" Type="http://schemas.openxmlformats.org/officeDocument/2006/relationships/comments" Target="../comments2.xml"/><Relationship Id="rId7" Type="http://schemas.openxmlformats.org/officeDocument/2006/relationships/hyperlink" Target="https://www.bpa.gov/EE/Utility/Evaluation/Evaluation/1802_BPA_Residential_Impact_Evaluation_Final_Report.pdf" TargetMode="External"/><Relationship Id="rId12" Type="http://schemas.openxmlformats.org/officeDocument/2006/relationships/hyperlink" Target="https://www.bpa.gov/EE/Utility/Evaluation/Evaluation/BPA_2017_Delivery_Verification_Evaluation_Report.pdf" TargetMode="External"/><Relationship Id="rId17" Type="http://schemas.openxmlformats.org/officeDocument/2006/relationships/hyperlink" Target="https://www.bpa.gov/EE/Utility/Evaluation/Evaluation/Impact_Evaluation_Site-Specific_Portfolio_Final_Report.pdf" TargetMode="External"/><Relationship Id="rId2" Type="http://schemas.openxmlformats.org/officeDocument/2006/relationships/hyperlink" Target="https://www.bpa.gov/EE/Utility/Evaluation/Evaluation/170215_BPA_Evaluation_UES_Res_Lighting_Report.pdf" TargetMode="External"/><Relationship Id="rId16" Type="http://schemas.openxmlformats.org/officeDocument/2006/relationships/hyperlink" Target="https://www.bpa.gov/EE/Utility/Evaluation/Evaluation/170222_BPA_Industrial_SEM_Impact_Evaluation_Report.pdf" TargetMode="External"/><Relationship Id="rId20" Type="http://schemas.openxmlformats.org/officeDocument/2006/relationships/vmlDrawing" Target="../drawings/vmlDrawing2.vml"/><Relationship Id="rId1" Type="http://schemas.openxmlformats.org/officeDocument/2006/relationships/hyperlink" Target="https://www.bpa.gov/EE/Utility/Evaluation/Evaluation/170215_BPA_Evaluation_UES_Res_Lighting_Report.pdf" TargetMode="External"/><Relationship Id="rId6" Type="http://schemas.openxmlformats.org/officeDocument/2006/relationships/hyperlink" Target="https://www.bpa.gov/EE/Utility/Evaluation/Evaluation/1802_BPA_Residential_Impact_Evaluation_Final_Report.pdf" TargetMode="External"/><Relationship Id="rId11" Type="http://schemas.openxmlformats.org/officeDocument/2006/relationships/hyperlink" Target="https://www.bpa.gov/EE/Utility/Evaluation/Evaluation/BPA_2017_Delivery_Verification_Evaluation_Report.pdf" TargetMode="External"/><Relationship Id="rId5" Type="http://schemas.openxmlformats.org/officeDocument/2006/relationships/hyperlink" Target="https://www.bpa.gov/EE/Utility/Evaluation/Evaluation/1802_BPA_Residential_Impact_Evaluation_Final_Report.pdf" TargetMode="External"/><Relationship Id="rId15" Type="http://schemas.openxmlformats.org/officeDocument/2006/relationships/hyperlink" Target="https://www.bpa.gov/EE/Utility/Evaluation/Evaluation/170222_BPA_Industrial_SEM_Impact_Evaluation_Report.pdf" TargetMode="External"/><Relationship Id="rId10" Type="http://schemas.openxmlformats.org/officeDocument/2006/relationships/hyperlink" Target="https://www.bpa.gov/EE/Utility/Evaluation/Evaluation/BPA_2017_Delivery_Verification_Evaluation_Report.pdf" TargetMode="External"/><Relationship Id="rId19" Type="http://schemas.openxmlformats.org/officeDocument/2006/relationships/printerSettings" Target="../printerSettings/printerSettings3.bin"/><Relationship Id="rId4" Type="http://schemas.openxmlformats.org/officeDocument/2006/relationships/hyperlink" Target="https://www.bpa.gov/EE/Utility/Evaluation/Evaluation/Impact_Evaluation_of_Res_DHP_and_Prescriptive_Duct_Sealing_Measures_draft_report.pdf" TargetMode="External"/><Relationship Id="rId9" Type="http://schemas.openxmlformats.org/officeDocument/2006/relationships/hyperlink" Target="https://www.bpa.gov/EE/Utility/Evaluation/Evaluation/Impact_Evaluation_Site-Specific_Portfolio_Final_Report.pdf" TargetMode="External"/><Relationship Id="rId14" Type="http://schemas.openxmlformats.org/officeDocument/2006/relationships/hyperlink" Target="https://www.bpa.gov/EE/Utility/Evaluation/Evaluation/Impact_Evaluation_Site-Specific_Portfolio_Final_Report.pdf" TargetMode="External"/><Relationship Id="rId22"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B39"/>
  <sheetViews>
    <sheetView zoomScale="85" zoomScaleNormal="85" workbookViewId="0"/>
  </sheetViews>
  <sheetFormatPr baseColWidth="10" defaultColWidth="8.83203125" defaultRowHeight="15"/>
  <cols>
    <col min="1" max="1" width="37.83203125" customWidth="1"/>
    <col min="2" max="2" width="77.1640625" style="7" customWidth="1"/>
  </cols>
  <sheetData>
    <row r="1" spans="1:2">
      <c r="A1" s="68" t="s">
        <v>407</v>
      </c>
    </row>
    <row r="2" spans="1:2">
      <c r="A2" t="s">
        <v>408</v>
      </c>
    </row>
    <row r="3" spans="1:2">
      <c r="A3" t="s">
        <v>409</v>
      </c>
    </row>
    <row r="4" spans="1:2" ht="64">
      <c r="A4" s="68" t="s">
        <v>410</v>
      </c>
      <c r="B4" s="7" t="s">
        <v>411</v>
      </c>
    </row>
    <row r="5" spans="1:2" ht="64">
      <c r="A5" s="68" t="s">
        <v>412</v>
      </c>
      <c r="B5" s="7" t="s">
        <v>414</v>
      </c>
    </row>
    <row r="6" spans="1:2" ht="80">
      <c r="A6" s="68" t="s">
        <v>413</v>
      </c>
      <c r="B6" s="7" t="s">
        <v>415</v>
      </c>
    </row>
    <row r="7" spans="1:2" ht="48">
      <c r="A7" s="68" t="s">
        <v>416</v>
      </c>
      <c r="B7" s="7" t="s">
        <v>417</v>
      </c>
    </row>
    <row r="8" spans="1:2" ht="32">
      <c r="A8" s="68" t="s">
        <v>418</v>
      </c>
      <c r="B8" s="7" t="s">
        <v>419</v>
      </c>
    </row>
    <row r="9" spans="1:2" ht="48">
      <c r="A9" s="68" t="s">
        <v>420</v>
      </c>
      <c r="B9" s="7" t="s">
        <v>421</v>
      </c>
    </row>
    <row r="10" spans="1:2" ht="32">
      <c r="A10" s="68" t="s">
        <v>422</v>
      </c>
      <c r="B10" s="7" t="s">
        <v>423</v>
      </c>
    </row>
    <row r="11" spans="1:2" ht="48">
      <c r="A11" s="68" t="s">
        <v>393</v>
      </c>
      <c r="B11" s="7" t="s">
        <v>424</v>
      </c>
    </row>
    <row r="12" spans="1:2" ht="48">
      <c r="A12" s="68" t="s">
        <v>425</v>
      </c>
      <c r="B12" s="7" t="s">
        <v>426</v>
      </c>
    </row>
    <row r="14" spans="1:2">
      <c r="A14" s="69" t="s">
        <v>427</v>
      </c>
    </row>
    <row r="15" spans="1:2">
      <c r="A15" t="s">
        <v>428</v>
      </c>
    </row>
    <row r="16" spans="1:2">
      <c r="A16" t="s">
        <v>429</v>
      </c>
    </row>
    <row r="17" spans="1:2" ht="48">
      <c r="A17" s="68" t="s">
        <v>430</v>
      </c>
      <c r="B17" s="7" t="s">
        <v>431</v>
      </c>
    </row>
    <row r="18" spans="1:2" ht="64">
      <c r="A18" s="68" t="s">
        <v>432</v>
      </c>
      <c r="B18" s="7" t="s">
        <v>433</v>
      </c>
    </row>
    <row r="19" spans="1:2" ht="48">
      <c r="A19" s="68" t="s">
        <v>434</v>
      </c>
      <c r="B19" s="7" t="s">
        <v>435</v>
      </c>
    </row>
    <row r="20" spans="1:2" ht="64">
      <c r="A20" s="68" t="s">
        <v>436</v>
      </c>
      <c r="B20" s="7" t="s">
        <v>437</v>
      </c>
    </row>
    <row r="21" spans="1:2" ht="48">
      <c r="A21" s="68" t="s">
        <v>438</v>
      </c>
      <c r="B21" s="7" t="s">
        <v>439</v>
      </c>
    </row>
    <row r="23" spans="1:2">
      <c r="A23" s="68" t="s">
        <v>440</v>
      </c>
    </row>
    <row r="24" spans="1:2">
      <c r="A24" t="s">
        <v>441</v>
      </c>
    </row>
    <row r="25" spans="1:2">
      <c r="A25" t="s">
        <v>443</v>
      </c>
    </row>
    <row r="26" spans="1:2" ht="64">
      <c r="A26" t="s">
        <v>442</v>
      </c>
      <c r="B26" s="7" t="s">
        <v>444</v>
      </c>
    </row>
    <row r="27" spans="1:2" ht="32">
      <c r="A27" t="s">
        <v>445</v>
      </c>
      <c r="B27" s="7" t="s">
        <v>446</v>
      </c>
    </row>
    <row r="28" spans="1:2" ht="16">
      <c r="A28" t="s">
        <v>452</v>
      </c>
      <c r="B28" s="7" t="s">
        <v>447</v>
      </c>
    </row>
    <row r="29" spans="1:2" ht="16">
      <c r="B29" s="70" t="s">
        <v>448</v>
      </c>
    </row>
    <row r="30" spans="1:2" ht="16">
      <c r="B30" s="70" t="s">
        <v>449</v>
      </c>
    </row>
    <row r="31" spans="1:2" ht="16">
      <c r="B31" s="70" t="s">
        <v>450</v>
      </c>
    </row>
    <row r="32" spans="1:2" ht="48">
      <c r="B32" s="70" t="s">
        <v>451</v>
      </c>
    </row>
    <row r="33" spans="1:2" ht="32">
      <c r="A33" t="s">
        <v>453</v>
      </c>
      <c r="B33" s="7" t="s">
        <v>454</v>
      </c>
    </row>
    <row r="34" spans="1:2" ht="64">
      <c r="A34" t="s">
        <v>455</v>
      </c>
      <c r="B34" s="7" t="s">
        <v>456</v>
      </c>
    </row>
    <row r="36" spans="1:2">
      <c r="A36" t="s">
        <v>457</v>
      </c>
    </row>
    <row r="37" spans="1:2">
      <c r="A37" t="s">
        <v>458</v>
      </c>
    </row>
    <row r="38" spans="1:2">
      <c r="A38" t="s">
        <v>459</v>
      </c>
    </row>
    <row r="39" spans="1:2">
      <c r="A39" t="s">
        <v>460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67"/>
  <sheetViews>
    <sheetView topLeftCell="C1" zoomScale="70" zoomScaleNormal="70" workbookViewId="0">
      <pane ySplit="1" topLeftCell="A2" activePane="bottomLeft" state="frozen"/>
      <selection pane="bottomLeft" activeCell="L1" sqref="L1"/>
    </sheetView>
  </sheetViews>
  <sheetFormatPr baseColWidth="10" defaultColWidth="8.83203125" defaultRowHeight="15"/>
  <cols>
    <col min="1" max="1" width="36.83203125" style="7" customWidth="1"/>
    <col min="2" max="2" width="11.83203125" style="7" customWidth="1"/>
    <col min="3" max="4" width="11.6640625" style="7" customWidth="1"/>
    <col min="5" max="5" width="10.33203125" style="7" customWidth="1"/>
    <col min="6" max="6" width="50.1640625" style="26" customWidth="1"/>
    <col min="7" max="7" width="34.1640625" style="26" customWidth="1"/>
    <col min="8" max="8" width="36.5" style="7" customWidth="1"/>
    <col min="9" max="9" width="31.83203125" customWidth="1"/>
    <col min="10" max="10" width="22.83203125" customWidth="1"/>
    <col min="11" max="11" width="10.33203125" style="7" customWidth="1"/>
    <col min="12" max="12" width="44.6640625" customWidth="1"/>
    <col min="13" max="13" width="32.1640625" customWidth="1"/>
    <col min="14" max="14" width="30.83203125" customWidth="1"/>
    <col min="15" max="15" width="19.1640625" style="6" customWidth="1"/>
    <col min="16" max="16" width="14.1640625" style="6" customWidth="1"/>
  </cols>
  <sheetData>
    <row r="1" spans="1:17" s="67" customFormat="1" ht="51">
      <c r="A1" s="20" t="s">
        <v>318</v>
      </c>
      <c r="B1" s="20" t="s">
        <v>21</v>
      </c>
      <c r="C1" s="20" t="s">
        <v>319</v>
      </c>
      <c r="D1" s="20" t="s">
        <v>14</v>
      </c>
      <c r="E1" s="20" t="s">
        <v>398</v>
      </c>
      <c r="F1" s="20" t="s">
        <v>2</v>
      </c>
      <c r="G1" s="20" t="s">
        <v>399</v>
      </c>
      <c r="H1" s="20" t="s">
        <v>400</v>
      </c>
      <c r="I1" s="20" t="s">
        <v>401</v>
      </c>
      <c r="J1" s="20" t="s">
        <v>402</v>
      </c>
      <c r="K1" s="20" t="s">
        <v>273</v>
      </c>
      <c r="L1" s="21" t="s">
        <v>397</v>
      </c>
      <c r="M1" s="21" t="s">
        <v>403</v>
      </c>
      <c r="N1" s="21" t="s">
        <v>13</v>
      </c>
      <c r="O1" s="20" t="s">
        <v>270</v>
      </c>
      <c r="P1" s="22" t="s">
        <v>404</v>
      </c>
      <c r="Q1" s="3"/>
    </row>
    <row r="2" spans="1:17" s="3" customFormat="1" ht="28.25" customHeight="1">
      <c r="A2" s="18" t="s">
        <v>32</v>
      </c>
      <c r="B2" s="18" t="s">
        <v>271</v>
      </c>
      <c r="C2" s="28">
        <v>43344</v>
      </c>
      <c r="D2" s="18" t="s">
        <v>23</v>
      </c>
      <c r="E2" s="23" t="s">
        <v>388</v>
      </c>
      <c r="F2" s="17" t="s">
        <v>99</v>
      </c>
      <c r="G2" s="17"/>
      <c r="H2" s="18" t="s">
        <v>120</v>
      </c>
      <c r="I2" s="14"/>
      <c r="J2" s="14"/>
      <c r="K2" s="23">
        <v>17</v>
      </c>
      <c r="L2" s="14" t="s">
        <v>119</v>
      </c>
      <c r="M2" s="14" t="s">
        <v>119</v>
      </c>
      <c r="N2" s="14" t="s">
        <v>119</v>
      </c>
      <c r="O2" s="24" t="s">
        <v>17</v>
      </c>
      <c r="P2" s="12"/>
    </row>
    <row r="3" spans="1:17" s="3" customFormat="1" ht="28.25" customHeight="1">
      <c r="A3" s="18" t="s">
        <v>32</v>
      </c>
      <c r="B3" s="18" t="s">
        <v>271</v>
      </c>
      <c r="C3" s="28">
        <v>43344</v>
      </c>
      <c r="D3" s="18" t="s">
        <v>23</v>
      </c>
      <c r="E3" s="23" t="s">
        <v>389</v>
      </c>
      <c r="F3" s="17" t="s">
        <v>100</v>
      </c>
      <c r="G3" s="17"/>
      <c r="H3" s="18" t="s">
        <v>120</v>
      </c>
      <c r="I3" s="14"/>
      <c r="J3" s="14"/>
      <c r="K3" s="23">
        <v>17</v>
      </c>
      <c r="L3" s="14" t="s">
        <v>119</v>
      </c>
      <c r="M3" s="14" t="s">
        <v>119</v>
      </c>
      <c r="N3" s="14" t="s">
        <v>119</v>
      </c>
      <c r="O3" s="15" t="s">
        <v>17</v>
      </c>
      <c r="P3" s="12"/>
    </row>
    <row r="4" spans="1:17" s="3" customFormat="1" ht="28.25" customHeight="1">
      <c r="A4" s="18" t="s">
        <v>32</v>
      </c>
      <c r="B4" s="18" t="s">
        <v>271</v>
      </c>
      <c r="C4" s="28">
        <v>43344</v>
      </c>
      <c r="D4" s="18" t="s">
        <v>23</v>
      </c>
      <c r="E4" s="23" t="s">
        <v>391</v>
      </c>
      <c r="F4" s="17" t="s">
        <v>101</v>
      </c>
      <c r="G4" s="17"/>
      <c r="H4" s="18" t="s">
        <v>121</v>
      </c>
      <c r="I4" s="14"/>
      <c r="J4" s="14"/>
      <c r="K4" s="23">
        <v>17</v>
      </c>
      <c r="L4" s="14" t="s">
        <v>119</v>
      </c>
      <c r="M4" s="14" t="s">
        <v>119</v>
      </c>
      <c r="N4" s="14" t="s">
        <v>119</v>
      </c>
      <c r="O4" s="15" t="s">
        <v>17</v>
      </c>
      <c r="P4" s="12"/>
    </row>
    <row r="5" spans="1:17" s="3" customFormat="1" ht="28.25" customHeight="1">
      <c r="A5" s="18" t="s">
        <v>32</v>
      </c>
      <c r="B5" s="18" t="s">
        <v>271</v>
      </c>
      <c r="C5" s="28">
        <v>43344</v>
      </c>
      <c r="D5" s="18" t="s">
        <v>23</v>
      </c>
      <c r="E5" s="23" t="s">
        <v>391</v>
      </c>
      <c r="F5" s="17" t="s">
        <v>102</v>
      </c>
      <c r="G5" s="17"/>
      <c r="H5" s="18" t="s">
        <v>103</v>
      </c>
      <c r="I5" s="14"/>
      <c r="J5" s="14"/>
      <c r="K5" s="23">
        <v>18</v>
      </c>
      <c r="L5" s="14" t="s">
        <v>119</v>
      </c>
      <c r="M5" s="14" t="s">
        <v>119</v>
      </c>
      <c r="N5" s="14" t="s">
        <v>119</v>
      </c>
      <c r="O5" s="15" t="s">
        <v>17</v>
      </c>
      <c r="P5" s="12"/>
    </row>
    <row r="6" spans="1:17" s="3" customFormat="1" ht="28.25" customHeight="1">
      <c r="A6" s="18" t="s">
        <v>32</v>
      </c>
      <c r="B6" s="18" t="s">
        <v>271</v>
      </c>
      <c r="C6" s="28">
        <v>43344</v>
      </c>
      <c r="D6" s="18" t="s">
        <v>23</v>
      </c>
      <c r="E6" s="23" t="s">
        <v>391</v>
      </c>
      <c r="F6" s="17" t="s">
        <v>104</v>
      </c>
      <c r="G6" s="17"/>
      <c r="H6" s="18" t="s">
        <v>105</v>
      </c>
      <c r="I6" s="14"/>
      <c r="J6" s="14"/>
      <c r="K6" s="23">
        <v>18</v>
      </c>
      <c r="L6" s="14" t="s">
        <v>119</v>
      </c>
      <c r="M6" s="14" t="s">
        <v>119</v>
      </c>
      <c r="N6" s="14" t="s">
        <v>119</v>
      </c>
      <c r="O6" s="15" t="s">
        <v>17</v>
      </c>
      <c r="P6" s="12"/>
    </row>
    <row r="7" spans="1:17" s="3" customFormat="1" ht="28.25" customHeight="1">
      <c r="A7" s="18" t="s">
        <v>32</v>
      </c>
      <c r="B7" s="18" t="s">
        <v>271</v>
      </c>
      <c r="C7" s="28">
        <v>43344</v>
      </c>
      <c r="D7" s="18" t="s">
        <v>23</v>
      </c>
      <c r="E7" s="23" t="s">
        <v>391</v>
      </c>
      <c r="F7" s="17" t="s">
        <v>122</v>
      </c>
      <c r="G7" s="17"/>
      <c r="H7" s="18" t="s">
        <v>123</v>
      </c>
      <c r="I7" s="14"/>
      <c r="J7" s="14"/>
      <c r="K7" s="23">
        <v>19</v>
      </c>
      <c r="L7" s="14" t="s">
        <v>119</v>
      </c>
      <c r="M7" s="14" t="s">
        <v>119</v>
      </c>
      <c r="N7" s="14" t="s">
        <v>119</v>
      </c>
      <c r="O7" s="15" t="s">
        <v>17</v>
      </c>
      <c r="P7" s="12"/>
    </row>
    <row r="8" spans="1:17" s="3" customFormat="1" ht="28.25" customHeight="1">
      <c r="A8" s="18" t="s">
        <v>118</v>
      </c>
      <c r="B8" s="18" t="s">
        <v>40</v>
      </c>
      <c r="C8" s="28">
        <v>43221</v>
      </c>
      <c r="D8" s="18" t="s">
        <v>23</v>
      </c>
      <c r="E8" s="23" t="s">
        <v>388</v>
      </c>
      <c r="F8" s="18" t="s">
        <v>106</v>
      </c>
      <c r="G8" s="18"/>
      <c r="H8" s="18" t="s">
        <v>107</v>
      </c>
      <c r="I8" s="14" t="s">
        <v>310</v>
      </c>
      <c r="J8" s="14"/>
      <c r="K8" s="23">
        <v>9</v>
      </c>
      <c r="L8" s="15" t="s">
        <v>152</v>
      </c>
      <c r="M8" s="14" t="s">
        <v>119</v>
      </c>
      <c r="N8" s="14" t="s">
        <v>119</v>
      </c>
      <c r="O8" s="13" t="s">
        <v>44</v>
      </c>
      <c r="P8" s="13" t="s">
        <v>151</v>
      </c>
    </row>
    <row r="9" spans="1:17" s="3" customFormat="1" ht="28.25" customHeight="1">
      <c r="A9" s="18" t="s">
        <v>118</v>
      </c>
      <c r="B9" s="18" t="s">
        <v>40</v>
      </c>
      <c r="C9" s="28">
        <v>43221</v>
      </c>
      <c r="D9" s="18" t="s">
        <v>23</v>
      </c>
      <c r="E9" s="23" t="s">
        <v>388</v>
      </c>
      <c r="F9" s="18" t="s">
        <v>108</v>
      </c>
      <c r="G9" s="18"/>
      <c r="H9" s="18" t="s">
        <v>109</v>
      </c>
      <c r="I9" s="14" t="s">
        <v>272</v>
      </c>
      <c r="J9" s="14"/>
      <c r="K9" s="23">
        <v>10</v>
      </c>
      <c r="L9" s="15" t="s">
        <v>153</v>
      </c>
      <c r="M9" s="14" t="s">
        <v>119</v>
      </c>
      <c r="N9" s="14" t="s">
        <v>119</v>
      </c>
      <c r="O9" s="15" t="s">
        <v>44</v>
      </c>
      <c r="P9" s="13" t="s">
        <v>151</v>
      </c>
    </row>
    <row r="10" spans="1:17" s="3" customFormat="1" ht="28.25" customHeight="1">
      <c r="A10" s="18" t="s">
        <v>118</v>
      </c>
      <c r="B10" s="18" t="s">
        <v>40</v>
      </c>
      <c r="C10" s="28">
        <v>43221</v>
      </c>
      <c r="D10" s="18" t="s">
        <v>23</v>
      </c>
      <c r="E10" s="23" t="s">
        <v>388</v>
      </c>
      <c r="F10" s="18" t="s">
        <v>274</v>
      </c>
      <c r="G10" s="18"/>
      <c r="H10" s="18" t="s">
        <v>110</v>
      </c>
      <c r="I10" s="14" t="s">
        <v>275</v>
      </c>
      <c r="J10" s="14"/>
      <c r="K10" s="23">
        <v>11</v>
      </c>
      <c r="L10" s="15" t="s">
        <v>154</v>
      </c>
      <c r="M10" s="14" t="s">
        <v>119</v>
      </c>
      <c r="N10" s="14" t="s">
        <v>119</v>
      </c>
      <c r="O10" s="13" t="s">
        <v>44</v>
      </c>
      <c r="P10" s="13" t="s">
        <v>151</v>
      </c>
    </row>
    <row r="11" spans="1:17" s="3" customFormat="1" ht="28.25" customHeight="1">
      <c r="A11" s="18" t="s">
        <v>118</v>
      </c>
      <c r="B11" s="18" t="s">
        <v>40</v>
      </c>
      <c r="C11" s="28">
        <v>43221</v>
      </c>
      <c r="D11" s="18" t="s">
        <v>23</v>
      </c>
      <c r="E11" s="23" t="s">
        <v>388</v>
      </c>
      <c r="F11" s="18" t="s">
        <v>111</v>
      </c>
      <c r="G11" s="18"/>
      <c r="H11" s="18" t="s">
        <v>112</v>
      </c>
      <c r="I11" s="14" t="s">
        <v>276</v>
      </c>
      <c r="J11" s="14"/>
      <c r="K11" s="23">
        <v>12</v>
      </c>
      <c r="L11" s="15" t="s">
        <v>277</v>
      </c>
      <c r="M11" s="14" t="s">
        <v>119</v>
      </c>
      <c r="N11" s="14" t="s">
        <v>119</v>
      </c>
      <c r="O11" s="15" t="s">
        <v>44</v>
      </c>
      <c r="P11" s="13" t="s">
        <v>151</v>
      </c>
    </row>
    <row r="12" spans="1:17" s="3" customFormat="1" ht="28.25" customHeight="1">
      <c r="A12" s="18" t="s">
        <v>118</v>
      </c>
      <c r="B12" s="18" t="s">
        <v>40</v>
      </c>
      <c r="C12" s="28">
        <v>43221</v>
      </c>
      <c r="D12" s="18" t="s">
        <v>23</v>
      </c>
      <c r="E12" s="23" t="s">
        <v>388</v>
      </c>
      <c r="F12" s="18" t="s">
        <v>113</v>
      </c>
      <c r="G12" s="18"/>
      <c r="H12" s="18" t="s">
        <v>114</v>
      </c>
      <c r="I12" s="14" t="s">
        <v>278</v>
      </c>
      <c r="J12" s="14"/>
      <c r="K12" s="23">
        <v>12</v>
      </c>
      <c r="L12" s="15" t="s">
        <v>155</v>
      </c>
      <c r="M12" s="14" t="s">
        <v>119</v>
      </c>
      <c r="N12" s="14" t="s">
        <v>119</v>
      </c>
      <c r="O12" s="15" t="s">
        <v>44</v>
      </c>
      <c r="P12" s="13" t="s">
        <v>151</v>
      </c>
    </row>
    <row r="13" spans="1:17" s="3" customFormat="1" ht="28.25" customHeight="1">
      <c r="A13" s="18" t="s">
        <v>118</v>
      </c>
      <c r="B13" s="18" t="s">
        <v>40</v>
      </c>
      <c r="C13" s="28">
        <v>43221</v>
      </c>
      <c r="D13" s="18" t="s">
        <v>23</v>
      </c>
      <c r="E13" s="23" t="s">
        <v>388</v>
      </c>
      <c r="F13" s="18" t="s">
        <v>115</v>
      </c>
      <c r="G13" s="18"/>
      <c r="H13" s="18" t="s">
        <v>116</v>
      </c>
      <c r="I13" s="14" t="s">
        <v>279</v>
      </c>
      <c r="J13" s="14"/>
      <c r="K13" s="23">
        <v>13</v>
      </c>
      <c r="L13" s="15" t="s">
        <v>156</v>
      </c>
      <c r="M13" s="14" t="s">
        <v>119</v>
      </c>
      <c r="N13" s="14" t="s">
        <v>119</v>
      </c>
      <c r="O13" s="15" t="s">
        <v>44</v>
      </c>
      <c r="P13" s="13" t="s">
        <v>151</v>
      </c>
    </row>
    <row r="14" spans="1:17" s="3" customFormat="1" ht="28.25" customHeight="1">
      <c r="A14" s="18" t="s">
        <v>20</v>
      </c>
      <c r="B14" s="18" t="s">
        <v>406</v>
      </c>
      <c r="C14" s="28">
        <v>43132</v>
      </c>
      <c r="D14" s="18" t="s">
        <v>23</v>
      </c>
      <c r="E14" s="23" t="s">
        <v>389</v>
      </c>
      <c r="F14" s="17" t="s">
        <v>117</v>
      </c>
      <c r="G14" s="17"/>
      <c r="H14" s="18" t="s">
        <v>144</v>
      </c>
      <c r="I14" s="14"/>
      <c r="J14" s="14"/>
      <c r="K14" s="23">
        <v>9</v>
      </c>
      <c r="L14" s="15" t="s">
        <v>145</v>
      </c>
      <c r="M14" s="14" t="s">
        <v>119</v>
      </c>
      <c r="N14" s="14" t="s">
        <v>119</v>
      </c>
      <c r="O14" s="13" t="s">
        <v>18</v>
      </c>
      <c r="P14" s="13" t="s">
        <v>143</v>
      </c>
    </row>
    <row r="15" spans="1:17" s="3" customFormat="1" ht="28.25" customHeight="1">
      <c r="A15" s="18" t="s">
        <v>20</v>
      </c>
      <c r="B15" s="18" t="s">
        <v>406</v>
      </c>
      <c r="C15" s="28">
        <v>43132</v>
      </c>
      <c r="D15" s="18" t="s">
        <v>23</v>
      </c>
      <c r="E15" s="23" t="s">
        <v>388</v>
      </c>
      <c r="F15" s="17" t="s">
        <v>134</v>
      </c>
      <c r="G15" s="17"/>
      <c r="H15" s="18" t="s">
        <v>150</v>
      </c>
      <c r="I15" s="14" t="s">
        <v>135</v>
      </c>
      <c r="J15" s="14"/>
      <c r="K15" s="23">
        <v>9</v>
      </c>
      <c r="L15" s="15" t="s">
        <v>146</v>
      </c>
      <c r="M15" s="14" t="s">
        <v>119</v>
      </c>
      <c r="N15" s="14" t="s">
        <v>119</v>
      </c>
      <c r="O15" s="15" t="s">
        <v>18</v>
      </c>
      <c r="P15" s="13" t="s">
        <v>143</v>
      </c>
    </row>
    <row r="16" spans="1:17" s="3" customFormat="1" ht="28.25" customHeight="1">
      <c r="A16" s="18" t="s">
        <v>20</v>
      </c>
      <c r="B16" s="18" t="s">
        <v>406</v>
      </c>
      <c r="C16" s="28">
        <v>43132</v>
      </c>
      <c r="D16" s="18" t="s">
        <v>23</v>
      </c>
      <c r="E16" s="23" t="s">
        <v>391</v>
      </c>
      <c r="F16" s="17" t="s">
        <v>138</v>
      </c>
      <c r="G16" s="17"/>
      <c r="H16" s="18" t="s">
        <v>136</v>
      </c>
      <c r="I16" s="14" t="s">
        <v>137</v>
      </c>
      <c r="J16" s="14"/>
      <c r="K16" s="23">
        <v>9</v>
      </c>
      <c r="L16" s="15" t="s">
        <v>147</v>
      </c>
      <c r="M16" s="14" t="s">
        <v>119</v>
      </c>
      <c r="N16" s="14" t="s">
        <v>119</v>
      </c>
      <c r="O16" s="15" t="s">
        <v>18</v>
      </c>
      <c r="P16" s="13" t="s">
        <v>143</v>
      </c>
    </row>
    <row r="17" spans="1:16" s="3" customFormat="1" ht="28.25" customHeight="1">
      <c r="A17" s="18" t="s">
        <v>20</v>
      </c>
      <c r="B17" s="18" t="s">
        <v>406</v>
      </c>
      <c r="C17" s="28">
        <v>43132</v>
      </c>
      <c r="D17" s="18" t="s">
        <v>23</v>
      </c>
      <c r="E17" s="23" t="s">
        <v>391</v>
      </c>
      <c r="F17" s="17" t="s">
        <v>139</v>
      </c>
      <c r="G17" s="17"/>
      <c r="H17" s="18" t="s">
        <v>140</v>
      </c>
      <c r="I17" s="14" t="s">
        <v>141</v>
      </c>
      <c r="J17" s="14"/>
      <c r="K17" s="23">
        <v>9</v>
      </c>
      <c r="L17" s="15" t="s">
        <v>148</v>
      </c>
      <c r="M17" s="14" t="s">
        <v>119</v>
      </c>
      <c r="N17" s="14" t="s">
        <v>119</v>
      </c>
      <c r="O17" s="15" t="s">
        <v>18</v>
      </c>
      <c r="P17" s="13" t="s">
        <v>143</v>
      </c>
    </row>
    <row r="18" spans="1:16" s="3" customFormat="1" ht="28.25" customHeight="1">
      <c r="A18" s="18" t="s">
        <v>20</v>
      </c>
      <c r="B18" s="18" t="s">
        <v>406</v>
      </c>
      <c r="C18" s="28">
        <v>43132</v>
      </c>
      <c r="D18" s="18" t="s">
        <v>23</v>
      </c>
      <c r="E18" s="23" t="s">
        <v>391</v>
      </c>
      <c r="F18" s="17" t="s">
        <v>142</v>
      </c>
      <c r="G18" s="17"/>
      <c r="H18" s="18"/>
      <c r="I18" s="14"/>
      <c r="J18" s="14"/>
      <c r="K18" s="23">
        <v>9</v>
      </c>
      <c r="L18" s="15" t="s">
        <v>149</v>
      </c>
      <c r="M18" s="14" t="s">
        <v>119</v>
      </c>
      <c r="N18" s="14" t="s">
        <v>119</v>
      </c>
      <c r="O18" s="15" t="s">
        <v>18</v>
      </c>
      <c r="P18" s="13" t="s">
        <v>143</v>
      </c>
    </row>
    <row r="19" spans="1:16" s="3" customFormat="1" ht="28.25" customHeight="1">
      <c r="A19" s="18" t="s">
        <v>53</v>
      </c>
      <c r="B19" s="18" t="s">
        <v>157</v>
      </c>
      <c r="C19" s="28">
        <v>42309</v>
      </c>
      <c r="D19" s="18" t="s">
        <v>200</v>
      </c>
      <c r="E19" s="23" t="s">
        <v>388</v>
      </c>
      <c r="F19" s="27" t="s">
        <v>158</v>
      </c>
      <c r="G19" s="27"/>
      <c r="H19" s="18" t="s">
        <v>159</v>
      </c>
      <c r="I19" s="14" t="s">
        <v>162</v>
      </c>
      <c r="J19" s="14"/>
      <c r="K19" s="23">
        <v>56</v>
      </c>
      <c r="L19" s="15" t="s">
        <v>206</v>
      </c>
      <c r="M19" s="14" t="s">
        <v>119</v>
      </c>
      <c r="N19" s="14" t="s">
        <v>207</v>
      </c>
      <c r="O19" s="13" t="s">
        <v>15</v>
      </c>
      <c r="P19" s="12" t="s">
        <v>205</v>
      </c>
    </row>
    <row r="20" spans="1:16" s="3" customFormat="1" ht="28.25" customHeight="1">
      <c r="A20" s="18" t="s">
        <v>53</v>
      </c>
      <c r="B20" s="18" t="s">
        <v>157</v>
      </c>
      <c r="C20" s="28">
        <v>42309</v>
      </c>
      <c r="D20" s="18" t="s">
        <v>200</v>
      </c>
      <c r="E20" s="23" t="s">
        <v>388</v>
      </c>
      <c r="F20" s="27" t="s">
        <v>160</v>
      </c>
      <c r="G20" s="27"/>
      <c r="H20" s="18" t="s">
        <v>161</v>
      </c>
      <c r="I20" s="14" t="s">
        <v>162</v>
      </c>
      <c r="J20" s="14"/>
      <c r="K20" s="23">
        <v>56</v>
      </c>
      <c r="L20" s="15" t="s">
        <v>208</v>
      </c>
      <c r="M20" s="14" t="s">
        <v>119</v>
      </c>
      <c r="N20" s="14" t="s">
        <v>209</v>
      </c>
      <c r="O20" s="15" t="s">
        <v>15</v>
      </c>
      <c r="P20" s="12" t="s">
        <v>205</v>
      </c>
    </row>
    <row r="21" spans="1:16" s="3" customFormat="1" ht="28.25" customHeight="1">
      <c r="A21" s="18" t="s">
        <v>53</v>
      </c>
      <c r="B21" s="18" t="s">
        <v>157</v>
      </c>
      <c r="C21" s="28">
        <v>42309</v>
      </c>
      <c r="D21" s="18" t="s">
        <v>200</v>
      </c>
      <c r="E21" s="23" t="s">
        <v>388</v>
      </c>
      <c r="F21" s="27" t="s">
        <v>163</v>
      </c>
      <c r="G21" s="27"/>
      <c r="H21" s="18" t="s">
        <v>164</v>
      </c>
      <c r="I21" s="14" t="s">
        <v>162</v>
      </c>
      <c r="J21" s="14"/>
      <c r="K21" s="23">
        <v>56</v>
      </c>
      <c r="L21" s="15" t="s">
        <v>210</v>
      </c>
      <c r="M21" s="14" t="s">
        <v>119</v>
      </c>
      <c r="N21" s="14" t="s">
        <v>119</v>
      </c>
      <c r="O21" s="13" t="s">
        <v>15</v>
      </c>
      <c r="P21" s="12" t="s">
        <v>205</v>
      </c>
    </row>
    <row r="22" spans="1:16" s="3" customFormat="1" ht="28.25" customHeight="1">
      <c r="A22" s="18" t="s">
        <v>53</v>
      </c>
      <c r="B22" s="18" t="s">
        <v>157</v>
      </c>
      <c r="C22" s="28">
        <v>42309</v>
      </c>
      <c r="D22" s="18" t="s">
        <v>200</v>
      </c>
      <c r="E22" s="23" t="s">
        <v>388</v>
      </c>
      <c r="F22" s="27" t="s">
        <v>165</v>
      </c>
      <c r="G22" s="27"/>
      <c r="H22" s="18" t="s">
        <v>166</v>
      </c>
      <c r="I22" s="14"/>
      <c r="J22" s="14"/>
      <c r="K22" s="23">
        <v>56</v>
      </c>
      <c r="L22" s="15" t="s">
        <v>208</v>
      </c>
      <c r="M22" s="14" t="s">
        <v>119</v>
      </c>
      <c r="N22" s="14" t="s">
        <v>211</v>
      </c>
      <c r="O22" s="15" t="s">
        <v>15</v>
      </c>
      <c r="P22" s="12" t="s">
        <v>205</v>
      </c>
    </row>
    <row r="23" spans="1:16" s="3" customFormat="1" ht="28.25" customHeight="1">
      <c r="A23" s="18" t="s">
        <v>53</v>
      </c>
      <c r="B23" s="18" t="s">
        <v>157</v>
      </c>
      <c r="C23" s="28">
        <v>42309</v>
      </c>
      <c r="D23" s="18" t="s">
        <v>200</v>
      </c>
      <c r="E23" s="23" t="s">
        <v>388</v>
      </c>
      <c r="F23" s="27" t="s">
        <v>167</v>
      </c>
      <c r="G23" s="27"/>
      <c r="H23" s="18" t="s">
        <v>168</v>
      </c>
      <c r="I23" s="14" t="s">
        <v>162</v>
      </c>
      <c r="J23" s="14"/>
      <c r="K23" s="23">
        <v>56</v>
      </c>
      <c r="L23" s="15" t="s">
        <v>212</v>
      </c>
      <c r="M23" s="14" t="s">
        <v>119</v>
      </c>
      <c r="N23" s="14" t="s">
        <v>213</v>
      </c>
      <c r="O23" s="15" t="s">
        <v>15</v>
      </c>
      <c r="P23" s="12" t="s">
        <v>205</v>
      </c>
    </row>
    <row r="24" spans="1:16" s="3" customFormat="1" ht="28.25" customHeight="1">
      <c r="A24" s="18" t="s">
        <v>53</v>
      </c>
      <c r="B24" s="18" t="s">
        <v>157</v>
      </c>
      <c r="C24" s="28">
        <v>42309</v>
      </c>
      <c r="D24" s="18" t="s">
        <v>200</v>
      </c>
      <c r="E24" s="23" t="s">
        <v>388</v>
      </c>
      <c r="F24" s="27" t="s">
        <v>169</v>
      </c>
      <c r="G24" s="27"/>
      <c r="H24" s="18" t="s">
        <v>170</v>
      </c>
      <c r="I24" s="14" t="s">
        <v>171</v>
      </c>
      <c r="J24" s="14"/>
      <c r="K24" s="23">
        <v>56</v>
      </c>
      <c r="L24" s="15" t="s">
        <v>214</v>
      </c>
      <c r="M24" s="14" t="s">
        <v>119</v>
      </c>
      <c r="N24" s="14" t="s">
        <v>215</v>
      </c>
      <c r="O24" s="15" t="s">
        <v>15</v>
      </c>
      <c r="P24" s="12" t="s">
        <v>205</v>
      </c>
    </row>
    <row r="25" spans="1:16" s="3" customFormat="1" ht="28.25" customHeight="1">
      <c r="A25" s="18" t="s">
        <v>53</v>
      </c>
      <c r="B25" s="18" t="s">
        <v>157</v>
      </c>
      <c r="C25" s="28">
        <v>42309</v>
      </c>
      <c r="D25" s="18" t="s">
        <v>200</v>
      </c>
      <c r="E25" s="23" t="s">
        <v>390</v>
      </c>
      <c r="F25" s="27" t="s">
        <v>172</v>
      </c>
      <c r="G25" s="27"/>
      <c r="H25" s="18" t="s">
        <v>173</v>
      </c>
      <c r="I25" s="14" t="s">
        <v>174</v>
      </c>
      <c r="J25" s="14"/>
      <c r="K25" s="23">
        <v>57</v>
      </c>
      <c r="L25" s="15" t="s">
        <v>216</v>
      </c>
      <c r="M25" s="14" t="s">
        <v>119</v>
      </c>
      <c r="N25" s="14" t="s">
        <v>119</v>
      </c>
      <c r="O25" s="13" t="s">
        <v>15</v>
      </c>
      <c r="P25" s="12" t="s">
        <v>205</v>
      </c>
    </row>
    <row r="26" spans="1:16" s="3" customFormat="1" ht="28.25" customHeight="1">
      <c r="A26" s="18" t="s">
        <v>53</v>
      </c>
      <c r="B26" s="18" t="s">
        <v>157</v>
      </c>
      <c r="C26" s="28">
        <v>42309</v>
      </c>
      <c r="D26" s="18" t="s">
        <v>200</v>
      </c>
      <c r="E26" s="23" t="s">
        <v>388</v>
      </c>
      <c r="F26" s="27" t="s">
        <v>175</v>
      </c>
      <c r="G26" s="27"/>
      <c r="H26" s="18" t="s">
        <v>176</v>
      </c>
      <c r="I26" s="14" t="s">
        <v>177</v>
      </c>
      <c r="J26" s="14"/>
      <c r="K26" s="23">
        <v>57</v>
      </c>
      <c r="L26" s="15" t="s">
        <v>217</v>
      </c>
      <c r="M26" s="14" t="s">
        <v>119</v>
      </c>
      <c r="N26" s="14" t="s">
        <v>119</v>
      </c>
      <c r="O26" s="15" t="s">
        <v>15</v>
      </c>
      <c r="P26" s="12" t="s">
        <v>205</v>
      </c>
    </row>
    <row r="27" spans="1:16" s="3" customFormat="1" ht="28.25" customHeight="1">
      <c r="A27" s="18" t="s">
        <v>53</v>
      </c>
      <c r="B27" s="18" t="s">
        <v>157</v>
      </c>
      <c r="C27" s="28">
        <v>42309</v>
      </c>
      <c r="D27" s="18" t="s">
        <v>200</v>
      </c>
      <c r="E27" s="23" t="s">
        <v>388</v>
      </c>
      <c r="F27" s="27" t="s">
        <v>178</v>
      </c>
      <c r="G27" s="27"/>
      <c r="H27" s="18" t="s">
        <v>179</v>
      </c>
      <c r="I27" s="14" t="s">
        <v>180</v>
      </c>
      <c r="J27" s="14" t="s">
        <v>396</v>
      </c>
      <c r="K27" s="23">
        <v>57</v>
      </c>
      <c r="L27" s="15" t="s">
        <v>218</v>
      </c>
      <c r="M27" s="14" t="s">
        <v>119</v>
      </c>
      <c r="N27" s="14" t="s">
        <v>119</v>
      </c>
      <c r="O27" s="15" t="s">
        <v>15</v>
      </c>
      <c r="P27" s="12" t="s">
        <v>205</v>
      </c>
    </row>
    <row r="28" spans="1:16" s="3" customFormat="1" ht="28.25" customHeight="1">
      <c r="A28" s="18" t="s">
        <v>53</v>
      </c>
      <c r="B28" s="18" t="s">
        <v>157</v>
      </c>
      <c r="C28" s="28">
        <v>42309</v>
      </c>
      <c r="D28" s="18" t="s">
        <v>200</v>
      </c>
      <c r="E28" s="23" t="s">
        <v>388</v>
      </c>
      <c r="F28" s="27" t="s">
        <v>181</v>
      </c>
      <c r="G28" s="27"/>
      <c r="H28" s="18" t="s">
        <v>182</v>
      </c>
      <c r="I28" s="14" t="s">
        <v>183</v>
      </c>
      <c r="J28" s="14"/>
      <c r="K28" s="23">
        <v>57</v>
      </c>
      <c r="L28" s="15" t="s">
        <v>219</v>
      </c>
      <c r="M28" s="14" t="s">
        <v>119</v>
      </c>
      <c r="N28" s="14" t="s">
        <v>119</v>
      </c>
      <c r="O28" s="15" t="s">
        <v>15</v>
      </c>
      <c r="P28" s="12" t="s">
        <v>205</v>
      </c>
    </row>
    <row r="29" spans="1:16" s="3" customFormat="1" ht="28.25" customHeight="1">
      <c r="A29" s="18" t="s">
        <v>53</v>
      </c>
      <c r="B29" s="18" t="s">
        <v>157</v>
      </c>
      <c r="C29" s="28">
        <v>42309</v>
      </c>
      <c r="D29" s="18" t="s">
        <v>200</v>
      </c>
      <c r="E29" s="23" t="s">
        <v>388</v>
      </c>
      <c r="F29" s="27" t="s">
        <v>184</v>
      </c>
      <c r="G29" s="27"/>
      <c r="H29" s="18" t="s">
        <v>186</v>
      </c>
      <c r="I29" s="14" t="s">
        <v>185</v>
      </c>
      <c r="J29" s="14"/>
      <c r="K29" s="23">
        <v>57</v>
      </c>
      <c r="L29" s="15" t="s">
        <v>220</v>
      </c>
      <c r="M29" s="14" t="s">
        <v>119</v>
      </c>
      <c r="N29" s="14" t="s">
        <v>119</v>
      </c>
      <c r="O29" s="15" t="s">
        <v>15</v>
      </c>
      <c r="P29" s="12" t="s">
        <v>205</v>
      </c>
    </row>
    <row r="30" spans="1:16" s="3" customFormat="1" ht="28.25" customHeight="1">
      <c r="A30" s="18" t="s">
        <v>53</v>
      </c>
      <c r="B30" s="18" t="s">
        <v>157</v>
      </c>
      <c r="C30" s="28">
        <v>42309</v>
      </c>
      <c r="D30" s="18" t="s">
        <v>200</v>
      </c>
      <c r="E30" s="23" t="s">
        <v>388</v>
      </c>
      <c r="F30" s="27" t="s">
        <v>187</v>
      </c>
      <c r="G30" s="27"/>
      <c r="H30" s="18" t="s">
        <v>188</v>
      </c>
      <c r="I30" s="14" t="s">
        <v>189</v>
      </c>
      <c r="J30" s="14"/>
      <c r="K30" s="23">
        <v>58</v>
      </c>
      <c r="L30" s="15" t="s">
        <v>221</v>
      </c>
      <c r="M30" s="14" t="s">
        <v>222</v>
      </c>
      <c r="N30" s="14" t="s">
        <v>119</v>
      </c>
      <c r="O30" s="15" t="s">
        <v>15</v>
      </c>
      <c r="P30" s="12" t="s">
        <v>205</v>
      </c>
    </row>
    <row r="31" spans="1:16" s="3" customFormat="1" ht="28.25" customHeight="1">
      <c r="A31" s="18" t="s">
        <v>53</v>
      </c>
      <c r="B31" s="18" t="s">
        <v>157</v>
      </c>
      <c r="C31" s="28">
        <v>42309</v>
      </c>
      <c r="D31" s="18" t="s">
        <v>200</v>
      </c>
      <c r="E31" s="23" t="s">
        <v>388</v>
      </c>
      <c r="F31" s="27" t="s">
        <v>190</v>
      </c>
      <c r="G31" s="27"/>
      <c r="H31" s="18" t="s">
        <v>191</v>
      </c>
      <c r="I31" s="14"/>
      <c r="J31" s="14"/>
      <c r="K31" s="23">
        <v>58</v>
      </c>
      <c r="L31" s="15" t="s">
        <v>223</v>
      </c>
      <c r="M31" s="14" t="s">
        <v>119</v>
      </c>
      <c r="N31" s="14" t="s">
        <v>119</v>
      </c>
      <c r="O31" s="15" t="s">
        <v>15</v>
      </c>
      <c r="P31" s="12" t="s">
        <v>205</v>
      </c>
    </row>
    <row r="32" spans="1:16" s="3" customFormat="1" ht="28.25" customHeight="1">
      <c r="A32" s="18" t="s">
        <v>53</v>
      </c>
      <c r="B32" s="18" t="s">
        <v>157</v>
      </c>
      <c r="C32" s="28">
        <v>42309</v>
      </c>
      <c r="D32" s="18" t="s">
        <v>200</v>
      </c>
      <c r="E32" s="23" t="s">
        <v>388</v>
      </c>
      <c r="F32" s="27" t="s">
        <v>192</v>
      </c>
      <c r="G32" s="27"/>
      <c r="H32" s="18" t="s">
        <v>193</v>
      </c>
      <c r="I32" s="14" t="s">
        <v>194</v>
      </c>
      <c r="J32" s="14"/>
      <c r="K32" s="23">
        <v>58</v>
      </c>
      <c r="L32" s="15" t="s">
        <v>224</v>
      </c>
      <c r="M32" s="14" t="s">
        <v>119</v>
      </c>
      <c r="N32" s="14" t="s">
        <v>225</v>
      </c>
      <c r="O32" s="15" t="s">
        <v>15</v>
      </c>
      <c r="P32" s="12" t="s">
        <v>205</v>
      </c>
    </row>
    <row r="33" spans="1:16" s="3" customFormat="1" ht="28.25" customHeight="1">
      <c r="A33" s="18" t="s">
        <v>53</v>
      </c>
      <c r="B33" s="18" t="s">
        <v>157</v>
      </c>
      <c r="C33" s="28">
        <v>42309</v>
      </c>
      <c r="D33" s="18" t="s">
        <v>200</v>
      </c>
      <c r="E33" s="23" t="s">
        <v>391</v>
      </c>
      <c r="F33" s="27" t="s">
        <v>195</v>
      </c>
      <c r="G33" s="27"/>
      <c r="H33" s="18" t="s">
        <v>193</v>
      </c>
      <c r="I33" s="14"/>
      <c r="J33" s="14"/>
      <c r="K33" s="23">
        <v>58</v>
      </c>
      <c r="L33" s="15" t="s">
        <v>226</v>
      </c>
      <c r="M33" s="14" t="s">
        <v>119</v>
      </c>
      <c r="N33" s="14" t="s">
        <v>119</v>
      </c>
      <c r="O33" s="15" t="s">
        <v>15</v>
      </c>
      <c r="P33" s="12" t="s">
        <v>205</v>
      </c>
    </row>
    <row r="34" spans="1:16" s="3" customFormat="1" ht="28.25" customHeight="1">
      <c r="A34" s="18" t="s">
        <v>53</v>
      </c>
      <c r="B34" s="18" t="s">
        <v>157</v>
      </c>
      <c r="C34" s="28">
        <v>42309</v>
      </c>
      <c r="D34" s="18" t="s">
        <v>200</v>
      </c>
      <c r="E34" s="23" t="s">
        <v>391</v>
      </c>
      <c r="F34" s="27" t="s">
        <v>309</v>
      </c>
      <c r="G34" s="27"/>
      <c r="H34" s="18" t="s">
        <v>196</v>
      </c>
      <c r="I34" s="14" t="s">
        <v>197</v>
      </c>
      <c r="J34" s="14"/>
      <c r="K34" s="23">
        <v>58</v>
      </c>
      <c r="L34" s="15" t="s">
        <v>227</v>
      </c>
      <c r="M34" s="14" t="s">
        <v>119</v>
      </c>
      <c r="N34" s="14" t="s">
        <v>119</v>
      </c>
      <c r="O34" s="15" t="s">
        <v>15</v>
      </c>
      <c r="P34" s="12" t="s">
        <v>205</v>
      </c>
    </row>
    <row r="35" spans="1:16" s="3" customFormat="1" ht="28.25" customHeight="1">
      <c r="A35" s="18" t="s">
        <v>53</v>
      </c>
      <c r="B35" s="18" t="s">
        <v>157</v>
      </c>
      <c r="C35" s="28">
        <v>42309</v>
      </c>
      <c r="D35" s="18" t="s">
        <v>200</v>
      </c>
      <c r="E35" s="23" t="s">
        <v>391</v>
      </c>
      <c r="F35" s="27" t="s">
        <v>198</v>
      </c>
      <c r="G35" s="27"/>
      <c r="H35" s="18" t="s">
        <v>199</v>
      </c>
      <c r="I35" s="14"/>
      <c r="J35" s="14"/>
      <c r="K35" s="23">
        <v>58</v>
      </c>
      <c r="L35" s="15" t="s">
        <v>228</v>
      </c>
      <c r="M35" s="14" t="s">
        <v>119</v>
      </c>
      <c r="N35" s="14" t="s">
        <v>119</v>
      </c>
      <c r="O35" s="15" t="s">
        <v>15</v>
      </c>
      <c r="P35" s="12" t="s">
        <v>205</v>
      </c>
    </row>
    <row r="36" spans="1:16" s="3" customFormat="1" ht="28.25" customHeight="1">
      <c r="A36" s="18" t="s">
        <v>53</v>
      </c>
      <c r="B36" s="18" t="s">
        <v>157</v>
      </c>
      <c r="C36" s="28">
        <v>42309</v>
      </c>
      <c r="D36" s="18" t="s">
        <v>200</v>
      </c>
      <c r="E36" s="23" t="s">
        <v>391</v>
      </c>
      <c r="F36" s="27" t="s">
        <v>201</v>
      </c>
      <c r="G36" s="27"/>
      <c r="H36" s="18" t="s">
        <v>202</v>
      </c>
      <c r="I36" s="14"/>
      <c r="J36" s="14"/>
      <c r="K36" s="23">
        <v>59</v>
      </c>
      <c r="L36" s="15" t="s">
        <v>229</v>
      </c>
      <c r="M36" s="14" t="s">
        <v>119</v>
      </c>
      <c r="N36" s="14" t="s">
        <v>119</v>
      </c>
      <c r="O36" s="15" t="s">
        <v>15</v>
      </c>
      <c r="P36" s="12" t="s">
        <v>205</v>
      </c>
    </row>
    <row r="37" spans="1:16" s="3" customFormat="1" ht="28.25" customHeight="1">
      <c r="A37" s="18" t="s">
        <v>53</v>
      </c>
      <c r="B37" s="18" t="s">
        <v>157</v>
      </c>
      <c r="C37" s="28">
        <v>42309</v>
      </c>
      <c r="D37" s="18" t="s">
        <v>200</v>
      </c>
      <c r="E37" s="23" t="s">
        <v>391</v>
      </c>
      <c r="F37" s="27" t="s">
        <v>203</v>
      </c>
      <c r="G37" s="27"/>
      <c r="H37" s="18" t="s">
        <v>246</v>
      </c>
      <c r="I37" s="14" t="s">
        <v>204</v>
      </c>
      <c r="J37" s="14"/>
      <c r="K37" s="23">
        <v>59</v>
      </c>
      <c r="L37" s="15" t="s">
        <v>230</v>
      </c>
      <c r="M37" s="14" t="s">
        <v>119</v>
      </c>
      <c r="N37" s="14" t="s">
        <v>119</v>
      </c>
      <c r="O37" s="15" t="s">
        <v>15</v>
      </c>
      <c r="P37" s="12" t="s">
        <v>205</v>
      </c>
    </row>
    <row r="38" spans="1:16" s="3" customFormat="1" ht="32">
      <c r="A38" s="18" t="s">
        <v>317</v>
      </c>
      <c r="B38" s="18" t="s">
        <v>405</v>
      </c>
      <c r="C38" s="28">
        <v>42767</v>
      </c>
      <c r="D38" s="18" t="s">
        <v>231</v>
      </c>
      <c r="E38" s="23" t="s">
        <v>389</v>
      </c>
      <c r="F38" s="18" t="s">
        <v>232</v>
      </c>
      <c r="G38" s="18"/>
      <c r="H38" s="18"/>
      <c r="I38" s="14" t="s">
        <v>233</v>
      </c>
      <c r="J38" s="14"/>
      <c r="K38" s="23">
        <v>51</v>
      </c>
      <c r="L38" s="15" t="s">
        <v>263</v>
      </c>
      <c r="M38" s="14" t="s">
        <v>119</v>
      </c>
      <c r="N38" s="14" t="s">
        <v>119</v>
      </c>
      <c r="O38" s="13" t="s">
        <v>61</v>
      </c>
      <c r="P38" s="12" t="s">
        <v>258</v>
      </c>
    </row>
    <row r="39" spans="1:16" s="3" customFormat="1" ht="48">
      <c r="A39" s="18" t="s">
        <v>317</v>
      </c>
      <c r="B39" s="18" t="s">
        <v>405</v>
      </c>
      <c r="C39" s="28">
        <v>42767</v>
      </c>
      <c r="D39" s="18" t="s">
        <v>231</v>
      </c>
      <c r="E39" s="23" t="s">
        <v>389</v>
      </c>
      <c r="F39" s="18" t="s">
        <v>234</v>
      </c>
      <c r="G39" s="18"/>
      <c r="H39" s="18" t="s">
        <v>307</v>
      </c>
      <c r="I39" s="14" t="s">
        <v>235</v>
      </c>
      <c r="J39" s="14"/>
      <c r="K39" s="23">
        <v>52</v>
      </c>
      <c r="L39" s="15" t="s">
        <v>263</v>
      </c>
      <c r="M39" s="14" t="s">
        <v>119</v>
      </c>
      <c r="N39" s="14" t="s">
        <v>119</v>
      </c>
      <c r="O39" s="15" t="s">
        <v>61</v>
      </c>
      <c r="P39" s="12" t="s">
        <v>258</v>
      </c>
    </row>
    <row r="40" spans="1:16" s="3" customFormat="1" ht="48">
      <c r="A40" s="18" t="s">
        <v>317</v>
      </c>
      <c r="B40" s="18" t="s">
        <v>405</v>
      </c>
      <c r="C40" s="28">
        <v>42767</v>
      </c>
      <c r="D40" s="18" t="s">
        <v>231</v>
      </c>
      <c r="E40" s="23" t="s">
        <v>389</v>
      </c>
      <c r="F40" s="18" t="s">
        <v>54</v>
      </c>
      <c r="G40" s="18"/>
      <c r="H40" s="18"/>
      <c r="I40" s="14"/>
      <c r="J40" s="14"/>
      <c r="K40" s="23">
        <v>52</v>
      </c>
      <c r="L40" s="15" t="s">
        <v>286</v>
      </c>
      <c r="M40" s="14" t="s">
        <v>119</v>
      </c>
      <c r="N40" s="14" t="s">
        <v>119</v>
      </c>
      <c r="O40" s="15" t="s">
        <v>61</v>
      </c>
      <c r="P40" s="13" t="s">
        <v>258</v>
      </c>
    </row>
    <row r="41" spans="1:16" s="3" customFormat="1" ht="32">
      <c r="A41" s="18" t="s">
        <v>317</v>
      </c>
      <c r="B41" s="18" t="s">
        <v>405</v>
      </c>
      <c r="C41" s="28">
        <v>42767</v>
      </c>
      <c r="D41" s="18" t="s">
        <v>231</v>
      </c>
      <c r="E41" s="23" t="s">
        <v>390</v>
      </c>
      <c r="F41" s="18" t="s">
        <v>284</v>
      </c>
      <c r="G41" s="18"/>
      <c r="H41" s="18"/>
      <c r="I41" s="14" t="s">
        <v>285</v>
      </c>
      <c r="J41" s="14"/>
      <c r="K41" s="23">
        <v>52</v>
      </c>
      <c r="L41" s="15" t="s">
        <v>287</v>
      </c>
      <c r="M41" s="14" t="s">
        <v>119</v>
      </c>
      <c r="N41" s="14" t="s">
        <v>119</v>
      </c>
      <c r="O41" s="15" t="s">
        <v>61</v>
      </c>
      <c r="P41" s="12" t="s">
        <v>258</v>
      </c>
    </row>
    <row r="42" spans="1:16" s="3" customFormat="1" ht="64">
      <c r="A42" s="18" t="s">
        <v>317</v>
      </c>
      <c r="B42" s="18" t="s">
        <v>405</v>
      </c>
      <c r="C42" s="28">
        <v>42767</v>
      </c>
      <c r="D42" s="18" t="s">
        <v>231</v>
      </c>
      <c r="E42" s="23" t="s">
        <v>388</v>
      </c>
      <c r="F42" s="18" t="s">
        <v>55</v>
      </c>
      <c r="G42" s="18"/>
      <c r="H42" s="18" t="s">
        <v>240</v>
      </c>
      <c r="I42" s="14" t="s">
        <v>241</v>
      </c>
      <c r="J42" s="14"/>
      <c r="K42" s="23">
        <v>52</v>
      </c>
      <c r="L42" s="15" t="s">
        <v>288</v>
      </c>
      <c r="M42" s="14" t="s">
        <v>119</v>
      </c>
      <c r="N42" s="14" t="s">
        <v>289</v>
      </c>
      <c r="O42" s="15" t="s">
        <v>61</v>
      </c>
      <c r="P42" s="12" t="s">
        <v>258</v>
      </c>
    </row>
    <row r="43" spans="1:16" s="3" customFormat="1" ht="48">
      <c r="A43" s="18" t="s">
        <v>317</v>
      </c>
      <c r="B43" s="18" t="s">
        <v>405</v>
      </c>
      <c r="C43" s="28">
        <v>42767</v>
      </c>
      <c r="D43" s="18" t="s">
        <v>231</v>
      </c>
      <c r="E43" s="23" t="s">
        <v>388</v>
      </c>
      <c r="F43" s="18" t="s">
        <v>56</v>
      </c>
      <c r="G43" s="18"/>
      <c r="H43" s="18" t="s">
        <v>242</v>
      </c>
      <c r="I43" s="14" t="s">
        <v>243</v>
      </c>
      <c r="J43" s="14"/>
      <c r="K43" s="23">
        <v>52</v>
      </c>
      <c r="L43" s="15" t="s">
        <v>290</v>
      </c>
      <c r="M43" s="14" t="s">
        <v>119</v>
      </c>
      <c r="N43" s="14" t="s">
        <v>119</v>
      </c>
      <c r="O43" s="15" t="s">
        <v>61</v>
      </c>
      <c r="P43" s="12" t="s">
        <v>258</v>
      </c>
    </row>
    <row r="44" spans="1:16" s="3" customFormat="1" ht="32">
      <c r="A44" s="18" t="s">
        <v>317</v>
      </c>
      <c r="B44" s="18" t="s">
        <v>405</v>
      </c>
      <c r="C44" s="28">
        <v>42767</v>
      </c>
      <c r="D44" s="18" t="s">
        <v>231</v>
      </c>
      <c r="E44" s="23" t="s">
        <v>391</v>
      </c>
      <c r="F44" s="18" t="s">
        <v>244</v>
      </c>
      <c r="G44" s="18"/>
      <c r="H44" s="18"/>
      <c r="I44" s="14" t="s">
        <v>245</v>
      </c>
      <c r="J44" s="14"/>
      <c r="K44" s="23">
        <v>52</v>
      </c>
      <c r="L44" s="15" t="s">
        <v>291</v>
      </c>
      <c r="M44" s="14" t="s">
        <v>119</v>
      </c>
      <c r="N44" s="14" t="s">
        <v>119</v>
      </c>
      <c r="O44" s="15" t="s">
        <v>61</v>
      </c>
      <c r="P44" s="12" t="s">
        <v>258</v>
      </c>
    </row>
    <row r="45" spans="1:16" s="3" customFormat="1" ht="32">
      <c r="A45" s="18" t="s">
        <v>317</v>
      </c>
      <c r="B45" s="18" t="s">
        <v>405</v>
      </c>
      <c r="C45" s="28">
        <v>42767</v>
      </c>
      <c r="D45" s="18" t="s">
        <v>231</v>
      </c>
      <c r="E45" s="23" t="s">
        <v>391</v>
      </c>
      <c r="F45" s="18" t="s">
        <v>247</v>
      </c>
      <c r="G45" s="18"/>
      <c r="H45" s="18"/>
      <c r="I45" s="14" t="s">
        <v>248</v>
      </c>
      <c r="J45" s="14"/>
      <c r="K45" s="23">
        <v>52</v>
      </c>
      <c r="L45" s="15" t="s">
        <v>291</v>
      </c>
      <c r="M45" s="14" t="s">
        <v>119</v>
      </c>
      <c r="N45" s="14" t="s">
        <v>119</v>
      </c>
      <c r="O45" s="15" t="s">
        <v>61</v>
      </c>
      <c r="P45" s="12" t="s">
        <v>258</v>
      </c>
    </row>
    <row r="46" spans="1:16" s="3" customFormat="1" ht="32">
      <c r="A46" s="18" t="s">
        <v>317</v>
      </c>
      <c r="B46" s="18" t="s">
        <v>405</v>
      </c>
      <c r="C46" s="28">
        <v>42767</v>
      </c>
      <c r="D46" s="18" t="s">
        <v>231</v>
      </c>
      <c r="E46" s="23" t="s">
        <v>391</v>
      </c>
      <c r="F46" s="18" t="s">
        <v>249</v>
      </c>
      <c r="G46" s="18"/>
      <c r="H46" s="18"/>
      <c r="I46" s="14" t="s">
        <v>250</v>
      </c>
      <c r="J46" s="14"/>
      <c r="K46" s="23">
        <v>52</v>
      </c>
      <c r="L46" s="15" t="s">
        <v>291</v>
      </c>
      <c r="M46" s="14" t="s">
        <v>119</v>
      </c>
      <c r="N46" s="14" t="s">
        <v>119</v>
      </c>
      <c r="O46" s="13" t="s">
        <v>61</v>
      </c>
      <c r="P46" s="12" t="s">
        <v>258</v>
      </c>
    </row>
    <row r="47" spans="1:16" s="3" customFormat="1" ht="32">
      <c r="A47" s="18" t="s">
        <v>317</v>
      </c>
      <c r="B47" s="18" t="s">
        <v>405</v>
      </c>
      <c r="C47" s="28">
        <v>42767</v>
      </c>
      <c r="D47" s="18" t="s">
        <v>231</v>
      </c>
      <c r="E47" s="23" t="s">
        <v>391</v>
      </c>
      <c r="F47" s="18" t="s">
        <v>251</v>
      </c>
      <c r="G47" s="18"/>
      <c r="H47" s="18"/>
      <c r="I47" s="14" t="s">
        <v>252</v>
      </c>
      <c r="J47" s="14"/>
      <c r="K47" s="23">
        <v>53</v>
      </c>
      <c r="L47" s="15" t="s">
        <v>291</v>
      </c>
      <c r="M47" s="14" t="s">
        <v>119</v>
      </c>
      <c r="N47" s="14" t="s">
        <v>119</v>
      </c>
      <c r="O47" s="15" t="s">
        <v>61</v>
      </c>
      <c r="P47" s="12" t="s">
        <v>258</v>
      </c>
    </row>
    <row r="48" spans="1:16" s="3" customFormat="1" ht="33" customHeight="1">
      <c r="A48" s="18" t="s">
        <v>317</v>
      </c>
      <c r="B48" s="18" t="s">
        <v>405</v>
      </c>
      <c r="C48" s="28">
        <v>42767</v>
      </c>
      <c r="D48" s="18" t="s">
        <v>231</v>
      </c>
      <c r="E48" s="23" t="s">
        <v>391</v>
      </c>
      <c r="F48" s="18" t="s">
        <v>259</v>
      </c>
      <c r="G48" s="18"/>
      <c r="H48" s="18" t="s">
        <v>260</v>
      </c>
      <c r="I48" s="14"/>
      <c r="J48" s="14"/>
      <c r="K48" s="23">
        <v>53</v>
      </c>
      <c r="L48" s="15" t="s">
        <v>298</v>
      </c>
      <c r="M48" s="14" t="s">
        <v>119</v>
      </c>
      <c r="N48" s="14" t="s">
        <v>119</v>
      </c>
      <c r="O48" s="15" t="s">
        <v>61</v>
      </c>
      <c r="P48" s="12" t="s">
        <v>258</v>
      </c>
    </row>
    <row r="49" spans="1:16" s="3" customFormat="1" ht="80">
      <c r="A49" s="18" t="s">
        <v>317</v>
      </c>
      <c r="B49" s="18" t="s">
        <v>405</v>
      </c>
      <c r="C49" s="28">
        <v>42767</v>
      </c>
      <c r="D49" s="18" t="s">
        <v>231</v>
      </c>
      <c r="E49" s="23" t="s">
        <v>391</v>
      </c>
      <c r="F49" s="18" t="s">
        <v>261</v>
      </c>
      <c r="G49" s="18"/>
      <c r="H49" s="18" t="s">
        <v>262</v>
      </c>
      <c r="I49" s="14"/>
      <c r="J49" s="14"/>
      <c r="K49" s="23">
        <v>54</v>
      </c>
      <c r="L49" s="15" t="s">
        <v>297</v>
      </c>
      <c r="M49" s="14" t="s">
        <v>119</v>
      </c>
      <c r="N49" s="14" t="s">
        <v>119</v>
      </c>
      <c r="O49" s="15" t="s">
        <v>61</v>
      </c>
      <c r="P49" s="12" t="s">
        <v>258</v>
      </c>
    </row>
    <row r="50" spans="1:16" s="3" customFormat="1" ht="32">
      <c r="A50" s="18" t="s">
        <v>317</v>
      </c>
      <c r="B50" s="18" t="s">
        <v>405</v>
      </c>
      <c r="C50" s="28">
        <v>42767</v>
      </c>
      <c r="D50" s="18" t="s">
        <v>231</v>
      </c>
      <c r="E50" s="23" t="s">
        <v>391</v>
      </c>
      <c r="F50" s="18" t="s">
        <v>264</v>
      </c>
      <c r="G50" s="18"/>
      <c r="H50" s="18"/>
      <c r="I50" s="14" t="s">
        <v>265</v>
      </c>
      <c r="J50" s="14"/>
      <c r="K50" s="23">
        <v>54</v>
      </c>
      <c r="L50" s="15" t="s">
        <v>296</v>
      </c>
      <c r="M50" s="14" t="s">
        <v>119</v>
      </c>
      <c r="N50" s="14" t="s">
        <v>119</v>
      </c>
      <c r="O50" s="13" t="s">
        <v>61</v>
      </c>
      <c r="P50" s="12" t="s">
        <v>258</v>
      </c>
    </row>
    <row r="51" spans="1:16" s="3" customFormat="1" ht="32">
      <c r="A51" s="18" t="s">
        <v>317</v>
      </c>
      <c r="B51" s="18" t="s">
        <v>405</v>
      </c>
      <c r="C51" s="28">
        <v>42767</v>
      </c>
      <c r="D51" s="18" t="s">
        <v>231</v>
      </c>
      <c r="E51" s="23" t="s">
        <v>391</v>
      </c>
      <c r="F51" s="18" t="s">
        <v>266</v>
      </c>
      <c r="G51" s="18"/>
      <c r="H51" s="18"/>
      <c r="I51" s="14" t="s">
        <v>299</v>
      </c>
      <c r="J51" s="14"/>
      <c r="K51" s="23">
        <v>54</v>
      </c>
      <c r="L51" s="15" t="s">
        <v>300</v>
      </c>
      <c r="M51" s="14" t="s">
        <v>119</v>
      </c>
      <c r="N51" s="14" t="s">
        <v>119</v>
      </c>
      <c r="O51" s="15" t="s">
        <v>61</v>
      </c>
      <c r="P51" s="12" t="s">
        <v>258</v>
      </c>
    </row>
    <row r="52" spans="1:16" s="3" customFormat="1" ht="48">
      <c r="A52" s="18" t="s">
        <v>317</v>
      </c>
      <c r="B52" s="18" t="s">
        <v>405</v>
      </c>
      <c r="C52" s="28">
        <v>42767</v>
      </c>
      <c r="D52" s="18" t="s">
        <v>231</v>
      </c>
      <c r="E52" s="23" t="s">
        <v>391</v>
      </c>
      <c r="F52" s="18" t="s">
        <v>57</v>
      </c>
      <c r="G52" s="18"/>
      <c r="H52" s="18"/>
      <c r="I52" s="14"/>
      <c r="J52" s="14"/>
      <c r="K52" s="23">
        <v>54</v>
      </c>
      <c r="L52" s="15" t="s">
        <v>295</v>
      </c>
      <c r="M52" s="14" t="s">
        <v>119</v>
      </c>
      <c r="N52" s="14" t="s">
        <v>119</v>
      </c>
      <c r="O52" s="15" t="s">
        <v>61</v>
      </c>
      <c r="P52" s="12" t="s">
        <v>258</v>
      </c>
    </row>
    <row r="53" spans="1:16" s="3" customFormat="1" ht="32">
      <c r="A53" s="18" t="s">
        <v>317</v>
      </c>
      <c r="B53" s="18" t="s">
        <v>405</v>
      </c>
      <c r="C53" s="28">
        <v>42767</v>
      </c>
      <c r="D53" s="18" t="s">
        <v>231</v>
      </c>
      <c r="E53" s="23" t="s">
        <v>391</v>
      </c>
      <c r="F53" s="18" t="s">
        <v>308</v>
      </c>
      <c r="G53" s="18"/>
      <c r="H53" s="18"/>
      <c r="I53" s="14" t="s">
        <v>267</v>
      </c>
      <c r="J53" s="14"/>
      <c r="K53" s="23">
        <v>54</v>
      </c>
      <c r="L53" s="15" t="s">
        <v>301</v>
      </c>
      <c r="M53" s="14" t="s">
        <v>119</v>
      </c>
      <c r="N53" s="14" t="s">
        <v>119</v>
      </c>
      <c r="O53" s="15" t="s">
        <v>61</v>
      </c>
      <c r="P53" s="12" t="s">
        <v>258</v>
      </c>
    </row>
    <row r="54" spans="1:16" s="3" customFormat="1" ht="32">
      <c r="A54" s="18" t="s">
        <v>317</v>
      </c>
      <c r="B54" s="18" t="s">
        <v>405</v>
      </c>
      <c r="C54" s="28">
        <v>42767</v>
      </c>
      <c r="D54" s="18" t="s">
        <v>231</v>
      </c>
      <c r="E54" s="23" t="s">
        <v>391</v>
      </c>
      <c r="F54" s="18" t="s">
        <v>268</v>
      </c>
      <c r="G54" s="18"/>
      <c r="H54" s="18"/>
      <c r="I54" s="14" t="s">
        <v>269</v>
      </c>
      <c r="J54" s="14"/>
      <c r="K54" s="23">
        <v>54</v>
      </c>
      <c r="L54" s="15" t="s">
        <v>302</v>
      </c>
      <c r="M54" s="14" t="s">
        <v>119</v>
      </c>
      <c r="N54" s="14" t="s">
        <v>119</v>
      </c>
      <c r="O54" s="15" t="s">
        <v>61</v>
      </c>
      <c r="P54" s="12" t="s">
        <v>258</v>
      </c>
    </row>
    <row r="55" spans="1:16" s="3" customFormat="1" ht="32">
      <c r="A55" s="18" t="s">
        <v>317</v>
      </c>
      <c r="B55" s="18" t="s">
        <v>405</v>
      </c>
      <c r="C55" s="28">
        <v>42767</v>
      </c>
      <c r="D55" s="18" t="s">
        <v>231</v>
      </c>
      <c r="E55" s="23" t="s">
        <v>391</v>
      </c>
      <c r="F55" s="18" t="s">
        <v>58</v>
      </c>
      <c r="G55" s="18"/>
      <c r="H55" s="18"/>
      <c r="I55" s="14"/>
      <c r="J55" s="14"/>
      <c r="K55" s="23">
        <v>54</v>
      </c>
      <c r="L55" s="15" t="s">
        <v>292</v>
      </c>
      <c r="M55" s="14" t="s">
        <v>119</v>
      </c>
      <c r="N55" s="14" t="s">
        <v>119</v>
      </c>
      <c r="O55" s="15" t="s">
        <v>61</v>
      </c>
      <c r="P55" s="12" t="s">
        <v>258</v>
      </c>
    </row>
    <row r="56" spans="1:16" s="3" customFormat="1" ht="32">
      <c r="A56" s="18" t="s">
        <v>317</v>
      </c>
      <c r="B56" s="18" t="s">
        <v>405</v>
      </c>
      <c r="C56" s="28">
        <v>42767</v>
      </c>
      <c r="D56" s="18" t="s">
        <v>231</v>
      </c>
      <c r="E56" s="23" t="s">
        <v>391</v>
      </c>
      <c r="F56" s="18" t="s">
        <v>59</v>
      </c>
      <c r="G56" s="18"/>
      <c r="H56" s="18"/>
      <c r="I56" s="14"/>
      <c r="J56" s="14"/>
      <c r="K56" s="23">
        <v>54</v>
      </c>
      <c r="L56" s="15" t="s">
        <v>293</v>
      </c>
      <c r="M56" s="14" t="s">
        <v>294</v>
      </c>
      <c r="N56" s="14" t="s">
        <v>119</v>
      </c>
      <c r="O56" s="15" t="s">
        <v>61</v>
      </c>
      <c r="P56" s="12" t="s">
        <v>258</v>
      </c>
    </row>
    <row r="57" spans="1:16" s="3" customFormat="1" ht="39" customHeight="1">
      <c r="A57" s="18" t="s">
        <v>317</v>
      </c>
      <c r="B57" s="18" t="s">
        <v>405</v>
      </c>
      <c r="C57" s="28">
        <v>42767</v>
      </c>
      <c r="D57" s="18" t="s">
        <v>231</v>
      </c>
      <c r="E57" s="23" t="s">
        <v>391</v>
      </c>
      <c r="F57" s="18" t="s">
        <v>283</v>
      </c>
      <c r="G57" s="18"/>
      <c r="H57" s="18" t="s">
        <v>236</v>
      </c>
      <c r="I57" s="14" t="s">
        <v>237</v>
      </c>
      <c r="J57" s="14"/>
      <c r="K57" s="23">
        <v>53</v>
      </c>
      <c r="L57" s="15" t="s">
        <v>303</v>
      </c>
      <c r="M57" s="14" t="s">
        <v>119</v>
      </c>
      <c r="N57" s="14" t="s">
        <v>119</v>
      </c>
      <c r="O57" s="15" t="s">
        <v>61</v>
      </c>
      <c r="P57" s="12" t="s">
        <v>258</v>
      </c>
    </row>
    <row r="58" spans="1:16" s="3" customFormat="1" ht="32">
      <c r="A58" s="18" t="s">
        <v>317</v>
      </c>
      <c r="B58" s="18" t="s">
        <v>405</v>
      </c>
      <c r="C58" s="28">
        <v>42767</v>
      </c>
      <c r="D58" s="18" t="s">
        <v>231</v>
      </c>
      <c r="E58" s="23" t="s">
        <v>388</v>
      </c>
      <c r="F58" s="18" t="s">
        <v>238</v>
      </c>
      <c r="G58" s="18"/>
      <c r="H58" s="18" t="s">
        <v>239</v>
      </c>
      <c r="I58" s="14"/>
      <c r="J58" s="14"/>
      <c r="K58" s="23">
        <v>53</v>
      </c>
      <c r="L58" s="15" t="s">
        <v>304</v>
      </c>
      <c r="M58" s="14" t="s">
        <v>119</v>
      </c>
      <c r="N58" s="14" t="s">
        <v>119</v>
      </c>
      <c r="O58" s="15" t="s">
        <v>61</v>
      </c>
      <c r="P58" s="12" t="s">
        <v>258</v>
      </c>
    </row>
    <row r="59" spans="1:16" s="3" customFormat="1" ht="48">
      <c r="A59" s="18" t="s">
        <v>317</v>
      </c>
      <c r="B59" s="18" t="s">
        <v>405</v>
      </c>
      <c r="C59" s="28">
        <v>42767</v>
      </c>
      <c r="D59" s="18" t="s">
        <v>231</v>
      </c>
      <c r="E59" s="23" t="s">
        <v>388</v>
      </c>
      <c r="F59" s="18" t="s">
        <v>253</v>
      </c>
      <c r="G59" s="18"/>
      <c r="H59" s="18" t="s">
        <v>254</v>
      </c>
      <c r="I59" s="14"/>
      <c r="J59" s="14"/>
      <c r="K59" s="23">
        <v>53</v>
      </c>
      <c r="L59" s="15" t="s">
        <v>305</v>
      </c>
      <c r="M59" s="14" t="s">
        <v>119</v>
      </c>
      <c r="N59" s="14" t="s">
        <v>119</v>
      </c>
      <c r="O59" s="15" t="s">
        <v>61</v>
      </c>
      <c r="P59" s="12" t="s">
        <v>258</v>
      </c>
    </row>
    <row r="60" spans="1:16" s="3" customFormat="1" ht="32">
      <c r="A60" s="18" t="s">
        <v>317</v>
      </c>
      <c r="B60" s="18" t="s">
        <v>405</v>
      </c>
      <c r="C60" s="28">
        <v>42767</v>
      </c>
      <c r="D60" s="18" t="s">
        <v>231</v>
      </c>
      <c r="E60" s="23" t="s">
        <v>388</v>
      </c>
      <c r="F60" s="18" t="s">
        <v>255</v>
      </c>
      <c r="G60" s="18"/>
      <c r="H60" s="18" t="s">
        <v>256</v>
      </c>
      <c r="I60" s="14" t="s">
        <v>257</v>
      </c>
      <c r="J60" s="14"/>
      <c r="K60" s="23">
        <v>53</v>
      </c>
      <c r="L60" s="15" t="s">
        <v>306</v>
      </c>
      <c r="M60" s="14" t="s">
        <v>119</v>
      </c>
      <c r="N60" s="14" t="s">
        <v>119</v>
      </c>
      <c r="O60" s="15" t="s">
        <v>61</v>
      </c>
      <c r="P60" s="12" t="s">
        <v>258</v>
      </c>
    </row>
    <row r="61" spans="1:16" s="3" customFormat="1" ht="28.25" customHeight="1">
      <c r="A61" s="18" t="s">
        <v>30</v>
      </c>
      <c r="B61" s="18" t="s">
        <v>6</v>
      </c>
      <c r="C61" s="28">
        <v>42767</v>
      </c>
      <c r="D61" s="18" t="s">
        <v>23</v>
      </c>
      <c r="E61" s="23" t="s">
        <v>388</v>
      </c>
      <c r="F61" s="17" t="s">
        <v>60</v>
      </c>
      <c r="G61" s="17"/>
      <c r="H61" s="18" t="s">
        <v>124</v>
      </c>
      <c r="I61" s="14" t="s">
        <v>125</v>
      </c>
      <c r="J61" s="14"/>
      <c r="K61" s="23">
        <v>22</v>
      </c>
      <c r="L61" s="15" t="s">
        <v>280</v>
      </c>
      <c r="M61" s="14" t="s">
        <v>119</v>
      </c>
      <c r="N61" s="14" t="s">
        <v>281</v>
      </c>
      <c r="O61" s="13" t="s">
        <v>16</v>
      </c>
      <c r="P61" s="13" t="s">
        <v>132</v>
      </c>
    </row>
    <row r="62" spans="1:16" s="3" customFormat="1" ht="28.25" customHeight="1">
      <c r="A62" s="18" t="s">
        <v>30</v>
      </c>
      <c r="B62" s="18" t="s">
        <v>6</v>
      </c>
      <c r="C62" s="28">
        <v>42767</v>
      </c>
      <c r="D62" s="18" t="s">
        <v>23</v>
      </c>
      <c r="E62" s="23" t="s">
        <v>388</v>
      </c>
      <c r="F62" s="17" t="s">
        <v>126</v>
      </c>
      <c r="G62" s="17"/>
      <c r="H62" s="18" t="s">
        <v>128</v>
      </c>
      <c r="I62" s="14" t="s">
        <v>127</v>
      </c>
      <c r="J62" s="14"/>
      <c r="K62" s="23">
        <v>22</v>
      </c>
      <c r="L62" s="15" t="s">
        <v>282</v>
      </c>
      <c r="M62" s="14" t="s">
        <v>119</v>
      </c>
      <c r="N62" s="14" t="s">
        <v>119</v>
      </c>
      <c r="O62" s="15" t="s">
        <v>16</v>
      </c>
      <c r="P62" s="13" t="s">
        <v>132</v>
      </c>
    </row>
    <row r="63" spans="1:16" s="3" customFormat="1" ht="28.25" customHeight="1">
      <c r="A63" s="18" t="s">
        <v>30</v>
      </c>
      <c r="B63" s="18" t="s">
        <v>6</v>
      </c>
      <c r="C63" s="28">
        <v>42767</v>
      </c>
      <c r="D63" s="18" t="s">
        <v>23</v>
      </c>
      <c r="E63" s="23" t="s">
        <v>388</v>
      </c>
      <c r="F63" s="17" t="s">
        <v>129</v>
      </c>
      <c r="G63" s="17"/>
      <c r="H63" s="18" t="s">
        <v>130</v>
      </c>
      <c r="I63" s="14" t="s">
        <v>131</v>
      </c>
      <c r="J63" s="14"/>
      <c r="K63" s="23">
        <v>22</v>
      </c>
      <c r="L63" s="15" t="s">
        <v>133</v>
      </c>
      <c r="M63" s="14" t="s">
        <v>119</v>
      </c>
      <c r="N63" s="14" t="s">
        <v>119</v>
      </c>
      <c r="O63" s="15" t="s">
        <v>16</v>
      </c>
      <c r="P63" s="13" t="s">
        <v>132</v>
      </c>
    </row>
    <row r="64" spans="1:16" s="3" customFormat="1">
      <c r="A64" s="19"/>
      <c r="B64" s="19"/>
      <c r="C64" s="19"/>
      <c r="D64" s="19"/>
      <c r="E64" s="19"/>
      <c r="F64" s="25"/>
      <c r="G64" s="25"/>
      <c r="H64" s="19"/>
      <c r="K64" s="19"/>
      <c r="O64" s="16"/>
      <c r="P64" s="16"/>
    </row>
    <row r="67" spans="6:7">
      <c r="F67" s="17"/>
      <c r="G67" s="17"/>
    </row>
  </sheetData>
  <autoFilter ref="A1:R63" xr:uid="{00000000-0009-0000-0000-000001000000}"/>
  <phoneticPr fontId="1" type="noConversion"/>
  <hyperlinks>
    <hyperlink ref="O2" r:id="rId1" xr:uid="{00000000-0004-0000-0100-000000000000}"/>
    <hyperlink ref="O10" r:id="rId2" xr:uid="{00000000-0004-0000-0100-000001000000}"/>
    <hyperlink ref="O14" r:id="rId3" xr:uid="{00000000-0004-0000-0100-000002000000}"/>
    <hyperlink ref="P61" r:id="rId4" xr:uid="{00000000-0004-0000-0100-000003000000}"/>
    <hyperlink ref="P62:P63" r:id="rId5" display="https://www.bpa.gov/EE/Utility/Evaluation/Evaluation/170209_Lighting_Impact_Evaluation-BPA_Response_Memo.pdf" xr:uid="{00000000-0004-0000-0100-000004000000}"/>
    <hyperlink ref="P14" r:id="rId6" xr:uid="{00000000-0004-0000-0100-000005000000}"/>
    <hyperlink ref="P15:P17" r:id="rId7" display="https://www.bpa.gov/EE/Utility/Evaluation/Evaluation/180219_PhaseIBillingAnalysis_BPA_Response_Memo.pdf" xr:uid="{00000000-0004-0000-0100-000006000000}"/>
    <hyperlink ref="P18" r:id="rId8" xr:uid="{00000000-0004-0000-0100-000007000000}"/>
    <hyperlink ref="P8" r:id="rId9" xr:uid="{00000000-0004-0000-0100-000008000000}"/>
    <hyperlink ref="P9:P13" r:id="rId10" display="https://www.bpa.gov/EE/Utility/Evaluation/Evaluation/180501_BPA_2017_Delivery_Verification_Programs_Response_Memo.pdf" xr:uid="{00000000-0004-0000-0100-000009000000}"/>
    <hyperlink ref="O19" r:id="rId11" xr:uid="{00000000-0004-0000-0100-00000A000000}"/>
    <hyperlink ref="O21" r:id="rId12" xr:uid="{00000000-0004-0000-0100-00000B000000}"/>
    <hyperlink ref="O25" r:id="rId13" xr:uid="{00000000-0004-0000-0100-00000C000000}"/>
    <hyperlink ref="O38" r:id="rId14" xr:uid="{00000000-0004-0000-0100-00000D000000}"/>
    <hyperlink ref="O8" r:id="rId15" xr:uid="{00000000-0004-0000-0100-00000E000000}"/>
    <hyperlink ref="O61" r:id="rId16" xr:uid="{00000000-0004-0000-0100-00000F000000}"/>
    <hyperlink ref="P40" r:id="rId17" xr:uid="{00000000-0004-0000-0100-000010000000}"/>
    <hyperlink ref="O50" r:id="rId18" xr:uid="{00000000-0004-0000-0100-000011000000}"/>
    <hyperlink ref="O46" r:id="rId19" xr:uid="{00000000-0004-0000-0100-000012000000}"/>
  </hyperlinks>
  <pageMargins left="0.7" right="0.7" top="0.75" bottom="0.75" header="0.3" footer="0.3"/>
  <pageSetup orientation="portrait" r:id="rId20"/>
  <legacyDrawing r:id="rId2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F50"/>
  <sheetViews>
    <sheetView tabSelected="1" zoomScaleNormal="100" workbookViewId="0">
      <pane xSplit="7" ySplit="7" topLeftCell="X32" activePane="bottomRight" state="frozen"/>
      <selection pane="topRight" activeCell="H1" sqref="H1"/>
      <selection pane="bottomLeft" activeCell="A8" sqref="A8"/>
      <selection pane="bottomRight" activeCell="U43" sqref="U41:U43"/>
    </sheetView>
  </sheetViews>
  <sheetFormatPr baseColWidth="10" defaultColWidth="8.6640625" defaultRowHeight="16"/>
  <cols>
    <col min="1" max="1" width="36" style="42" customWidth="1"/>
    <col min="2" max="2" width="16.6640625" style="42" customWidth="1"/>
    <col min="3" max="3" width="10.6640625" style="43" customWidth="1"/>
    <col min="4" max="4" width="26.6640625" style="42" customWidth="1"/>
    <col min="5" max="5" width="18.6640625" style="42" customWidth="1"/>
    <col min="6" max="6" width="30.5" style="42" customWidth="1"/>
    <col min="7" max="7" width="30.5" style="42" hidden="1" customWidth="1"/>
    <col min="8" max="8" width="15.6640625" style="44" customWidth="1"/>
    <col min="9" max="9" width="15.6640625" style="45" customWidth="1"/>
    <col min="10" max="10" width="12.6640625" style="45" customWidth="1"/>
    <col min="11" max="11" width="13.5" style="42" customWidth="1"/>
    <col min="12" max="15" width="18.1640625" style="42" customWidth="1"/>
    <col min="16" max="17" width="19.5" style="45" customWidth="1"/>
    <col min="18" max="19" width="11.6640625" style="45" customWidth="1"/>
    <col min="20" max="20" width="15.6640625" style="45" customWidth="1"/>
    <col min="21" max="21" width="50.1640625" style="45" customWidth="1"/>
    <col min="22" max="22" width="26.33203125" style="42" customWidth="1"/>
    <col min="23" max="23" width="33.1640625" style="42" customWidth="1"/>
    <col min="24" max="24" width="27.1640625" style="42" customWidth="1"/>
    <col min="25" max="25" width="21.1640625" style="30" customWidth="1"/>
    <col min="26" max="26" width="11.83203125" style="42" bestFit="1" customWidth="1"/>
    <col min="27" max="16384" width="8.6640625" style="42"/>
  </cols>
  <sheetData>
    <row r="1" spans="1:32" ht="17.25" customHeight="1"/>
    <row r="2" spans="1:32" ht="17.25" customHeight="1"/>
    <row r="3" spans="1:32" ht="17.25" customHeight="1">
      <c r="L3" s="46"/>
    </row>
    <row r="4" spans="1:32" ht="17.25" customHeight="1">
      <c r="G4" s="46"/>
      <c r="X4" s="46"/>
    </row>
    <row r="5" spans="1:32">
      <c r="G5" s="46"/>
      <c r="L5" s="46"/>
      <c r="W5" s="46"/>
      <c r="X5" s="46"/>
    </row>
    <row r="6" spans="1:32">
      <c r="P6" s="65"/>
    </row>
    <row r="7" spans="1:32" s="35" customFormat="1" ht="59" customHeight="1">
      <c r="A7" s="31" t="s">
        <v>5</v>
      </c>
      <c r="B7" s="31" t="s">
        <v>21</v>
      </c>
      <c r="C7" s="32" t="s">
        <v>22</v>
      </c>
      <c r="D7" s="31" t="s">
        <v>371</v>
      </c>
      <c r="E7" s="31" t="s">
        <v>372</v>
      </c>
      <c r="F7" s="31" t="s">
        <v>0</v>
      </c>
      <c r="G7" s="31" t="s">
        <v>377</v>
      </c>
      <c r="H7" s="33" t="s">
        <v>1</v>
      </c>
      <c r="I7" s="34" t="s">
        <v>326</v>
      </c>
      <c r="J7" s="34" t="s">
        <v>28</v>
      </c>
      <c r="K7" s="31" t="s">
        <v>62</v>
      </c>
      <c r="L7" s="31" t="s">
        <v>327</v>
      </c>
      <c r="M7" s="31" t="s">
        <v>48</v>
      </c>
      <c r="N7" s="31" t="s">
        <v>49</v>
      </c>
      <c r="O7" s="31" t="s">
        <v>325</v>
      </c>
      <c r="P7" s="34" t="s">
        <v>76</v>
      </c>
      <c r="Q7" s="34" t="s">
        <v>68</v>
      </c>
      <c r="R7" s="34" t="s">
        <v>365</v>
      </c>
      <c r="S7" s="34" t="s">
        <v>366</v>
      </c>
      <c r="T7" s="34" t="s">
        <v>385</v>
      </c>
      <c r="U7" s="34" t="s">
        <v>374</v>
      </c>
      <c r="V7" s="31" t="s">
        <v>63</v>
      </c>
      <c r="W7" s="31" t="s">
        <v>375</v>
      </c>
      <c r="X7" s="31" t="s">
        <v>373</v>
      </c>
      <c r="Y7" s="31" t="s">
        <v>19</v>
      </c>
    </row>
    <row r="8" spans="1:32" s="46" customFormat="1">
      <c r="A8" s="47" t="s">
        <v>20</v>
      </c>
      <c r="B8" s="47" t="s">
        <v>34</v>
      </c>
      <c r="C8" s="48">
        <v>43132</v>
      </c>
      <c r="D8" s="47" t="s">
        <v>25</v>
      </c>
      <c r="E8" s="47" t="s">
        <v>23</v>
      </c>
      <c r="F8" s="47" t="s">
        <v>3</v>
      </c>
      <c r="G8" s="47" t="s">
        <v>331</v>
      </c>
      <c r="H8" s="49">
        <v>0.98</v>
      </c>
      <c r="I8" s="50">
        <v>1146</v>
      </c>
      <c r="J8" s="50">
        <v>1146</v>
      </c>
      <c r="K8" s="49">
        <v>0.9</v>
      </c>
      <c r="L8" s="49">
        <v>0.28999999999999998</v>
      </c>
      <c r="M8" s="49">
        <f>H8-29%</f>
        <v>0.69</v>
      </c>
      <c r="N8" s="49">
        <f>H8+29%</f>
        <v>1.27</v>
      </c>
      <c r="O8" s="49" t="s">
        <v>362</v>
      </c>
      <c r="P8" s="51">
        <f>(1331*1146)/1000</f>
        <v>1525.326</v>
      </c>
      <c r="Q8" s="51">
        <f>(1303*1146)/1000</f>
        <v>1493.2380000000001</v>
      </c>
      <c r="R8" s="52">
        <f>Q8/8760</f>
        <v>0.17046095890410959</v>
      </c>
      <c r="S8" s="52">
        <f>P8/8760</f>
        <v>0.17412397260273973</v>
      </c>
      <c r="T8" s="52" t="s">
        <v>379</v>
      </c>
      <c r="U8" s="53" t="s">
        <v>47</v>
      </c>
      <c r="V8" s="47" t="s">
        <v>64</v>
      </c>
      <c r="W8" s="49" t="s">
        <v>381</v>
      </c>
      <c r="X8" s="47" t="s">
        <v>331</v>
      </c>
      <c r="Y8" s="36" t="s">
        <v>18</v>
      </c>
      <c r="Z8" s="54"/>
      <c r="AF8" s="54"/>
    </row>
    <row r="9" spans="1:32" s="46" customFormat="1">
      <c r="A9" s="47" t="s">
        <v>20</v>
      </c>
      <c r="B9" s="47" t="s">
        <v>34</v>
      </c>
      <c r="C9" s="48">
        <v>43132</v>
      </c>
      <c r="D9" s="47" t="s">
        <v>25</v>
      </c>
      <c r="E9" s="47" t="s">
        <v>23</v>
      </c>
      <c r="F9" s="47" t="s">
        <v>4</v>
      </c>
      <c r="G9" s="47" t="s">
        <v>332</v>
      </c>
      <c r="H9" s="49">
        <v>0.68</v>
      </c>
      <c r="I9" s="50">
        <v>1378</v>
      </c>
      <c r="J9" s="50">
        <v>1378</v>
      </c>
      <c r="K9" s="49">
        <v>0.9</v>
      </c>
      <c r="L9" s="49">
        <v>0.18</v>
      </c>
      <c r="M9" s="49">
        <f>H9-18%</f>
        <v>0.5</v>
      </c>
      <c r="N9" s="49">
        <f>H9+18%</f>
        <v>0.8600000000000001</v>
      </c>
      <c r="O9" s="49" t="s">
        <v>362</v>
      </c>
      <c r="P9" s="51">
        <f>(1320*1378)/1000</f>
        <v>1818.96</v>
      </c>
      <c r="Q9" s="51">
        <v>1230.5999999999999</v>
      </c>
      <c r="R9" s="52">
        <f>Q9/8760</f>
        <v>0.14047945205479451</v>
      </c>
      <c r="S9" s="52">
        <f t="shared" ref="S9:S38" si="0">P9/8760</f>
        <v>0.20764383561643837</v>
      </c>
      <c r="T9" s="52" t="s">
        <v>379</v>
      </c>
      <c r="U9" s="53" t="s">
        <v>46</v>
      </c>
      <c r="V9" s="47" t="s">
        <v>64</v>
      </c>
      <c r="W9" s="49" t="s">
        <v>382</v>
      </c>
      <c r="X9" s="47" t="s">
        <v>332</v>
      </c>
      <c r="Y9" s="36" t="s">
        <v>18</v>
      </c>
      <c r="Z9" s="54"/>
      <c r="AF9" s="54"/>
    </row>
    <row r="10" spans="1:32" s="46" customFormat="1">
      <c r="A10" s="47" t="s">
        <v>30</v>
      </c>
      <c r="B10" s="47" t="s">
        <v>6</v>
      </c>
      <c r="C10" s="48">
        <v>42767</v>
      </c>
      <c r="D10" s="47" t="s">
        <v>26</v>
      </c>
      <c r="E10" s="47" t="s">
        <v>23</v>
      </c>
      <c r="F10" s="47" t="s">
        <v>82</v>
      </c>
      <c r="G10" s="47" t="s">
        <v>333</v>
      </c>
      <c r="H10" s="49">
        <v>1</v>
      </c>
      <c r="I10" s="50">
        <v>3194</v>
      </c>
      <c r="J10" s="53">
        <v>70</v>
      </c>
      <c r="K10" s="49">
        <v>0.9</v>
      </c>
      <c r="L10" s="55">
        <v>2E-3</v>
      </c>
      <c r="M10" s="49">
        <f t="shared" ref="M10:M30" si="1">H10-L10</f>
        <v>0.998</v>
      </c>
      <c r="N10" s="49">
        <f t="shared" ref="N10:N30" si="2">H10+L10</f>
        <v>1.002</v>
      </c>
      <c r="O10" s="49" t="s">
        <v>328</v>
      </c>
      <c r="P10" s="50">
        <f>5.08*8760</f>
        <v>44500.800000000003</v>
      </c>
      <c r="Q10" s="50">
        <f>R10*8760</f>
        <v>44588.4</v>
      </c>
      <c r="R10" s="52">
        <v>5.09</v>
      </c>
      <c r="S10" s="52">
        <f t="shared" si="0"/>
        <v>5.08</v>
      </c>
      <c r="T10" s="52"/>
      <c r="U10" s="53" t="s">
        <v>35</v>
      </c>
      <c r="V10" s="47"/>
      <c r="W10" s="49"/>
      <c r="X10" s="47" t="s">
        <v>333</v>
      </c>
      <c r="Y10" s="36" t="s">
        <v>16</v>
      </c>
      <c r="Z10" s="54"/>
    </row>
    <row r="11" spans="1:32" s="46" customFormat="1">
      <c r="A11" s="47" t="s">
        <v>30</v>
      </c>
      <c r="B11" s="47" t="s">
        <v>6</v>
      </c>
      <c r="C11" s="48">
        <v>42767</v>
      </c>
      <c r="D11" s="47" t="s">
        <v>26</v>
      </c>
      <c r="E11" s="47" t="s">
        <v>23</v>
      </c>
      <c r="F11" s="47" t="s">
        <v>83</v>
      </c>
      <c r="G11" s="47" t="s">
        <v>334</v>
      </c>
      <c r="H11" s="49">
        <v>0.92900000000000005</v>
      </c>
      <c r="I11" s="53">
        <v>337</v>
      </c>
      <c r="J11" s="53">
        <v>40</v>
      </c>
      <c r="K11" s="49">
        <v>0.9</v>
      </c>
      <c r="L11" s="55">
        <v>5.5E-2</v>
      </c>
      <c r="M11" s="49">
        <f t="shared" si="1"/>
        <v>0.874</v>
      </c>
      <c r="N11" s="49">
        <f t="shared" si="2"/>
        <v>0.9840000000000001</v>
      </c>
      <c r="O11" s="49" t="s">
        <v>328</v>
      </c>
      <c r="P11" s="50">
        <f>0.49*8760</f>
        <v>4292.3999999999996</v>
      </c>
      <c r="Q11" s="50">
        <f>R11*8760</f>
        <v>4029.6000000000004</v>
      </c>
      <c r="R11" s="52">
        <v>0.46</v>
      </c>
      <c r="S11" s="52">
        <f t="shared" si="0"/>
        <v>0.48999999999999994</v>
      </c>
      <c r="T11" s="52"/>
      <c r="U11" s="53" t="s">
        <v>383</v>
      </c>
      <c r="V11" s="47"/>
      <c r="W11" s="49"/>
      <c r="X11" s="47" t="s">
        <v>334</v>
      </c>
      <c r="Y11" s="36" t="s">
        <v>16</v>
      </c>
      <c r="Z11" s="54"/>
    </row>
    <row r="12" spans="1:32" s="46" customFormat="1">
      <c r="A12" s="47" t="s">
        <v>31</v>
      </c>
      <c r="B12" s="56" t="s">
        <v>12</v>
      </c>
      <c r="C12" s="48">
        <v>42309</v>
      </c>
      <c r="D12" s="56" t="s">
        <v>27</v>
      </c>
      <c r="E12" s="56" t="s">
        <v>67</v>
      </c>
      <c r="F12" s="47" t="s">
        <v>86</v>
      </c>
      <c r="G12" s="47" t="s">
        <v>335</v>
      </c>
      <c r="H12" s="49">
        <v>0.93</v>
      </c>
      <c r="I12" s="50">
        <v>3845</v>
      </c>
      <c r="J12" s="53">
        <v>33</v>
      </c>
      <c r="K12" s="49">
        <v>0.9</v>
      </c>
      <c r="L12" s="49">
        <v>0.05</v>
      </c>
      <c r="M12" s="49">
        <f t="shared" si="1"/>
        <v>0.88</v>
      </c>
      <c r="N12" s="49">
        <f t="shared" si="2"/>
        <v>0.98000000000000009</v>
      </c>
      <c r="O12" s="49" t="s">
        <v>328</v>
      </c>
      <c r="P12" s="50">
        <v>96103</v>
      </c>
      <c r="Q12" s="50">
        <v>89471</v>
      </c>
      <c r="R12" s="52">
        <f t="shared" ref="R12:R22" si="3">Q12/8760</f>
        <v>10.213584474885845</v>
      </c>
      <c r="S12" s="52">
        <f t="shared" si="0"/>
        <v>10.970662100456622</v>
      </c>
      <c r="T12" s="52"/>
      <c r="U12" s="53" t="s">
        <v>39</v>
      </c>
      <c r="V12" s="47"/>
      <c r="W12" s="49"/>
      <c r="X12" s="47" t="s">
        <v>335</v>
      </c>
      <c r="Y12" s="37" t="s">
        <v>15</v>
      </c>
      <c r="Z12" s="54"/>
    </row>
    <row r="13" spans="1:32" s="46" customFormat="1">
      <c r="A13" s="47" t="s">
        <v>31</v>
      </c>
      <c r="B13" s="56" t="s">
        <v>12</v>
      </c>
      <c r="C13" s="48">
        <v>42309</v>
      </c>
      <c r="D13" s="56" t="s">
        <v>27</v>
      </c>
      <c r="E13" s="56" t="s">
        <v>67</v>
      </c>
      <c r="F13" s="47" t="s">
        <v>85</v>
      </c>
      <c r="G13" s="47" t="s">
        <v>336</v>
      </c>
      <c r="H13" s="49">
        <v>0.93</v>
      </c>
      <c r="I13" s="53">
        <v>303</v>
      </c>
      <c r="J13" s="53">
        <v>9</v>
      </c>
      <c r="K13" s="49">
        <v>0.8</v>
      </c>
      <c r="L13" s="49">
        <v>0.08</v>
      </c>
      <c r="M13" s="49">
        <f t="shared" si="1"/>
        <v>0.85000000000000009</v>
      </c>
      <c r="N13" s="49">
        <f t="shared" si="2"/>
        <v>1.01</v>
      </c>
      <c r="O13" s="49" t="s">
        <v>328</v>
      </c>
      <c r="P13" s="50">
        <v>35455</v>
      </c>
      <c r="Q13" s="50">
        <v>33117</v>
      </c>
      <c r="R13" s="52">
        <f t="shared" si="3"/>
        <v>3.7804794520547946</v>
      </c>
      <c r="S13" s="52">
        <f t="shared" si="0"/>
        <v>4.0473744292237441</v>
      </c>
      <c r="T13" s="52"/>
      <c r="U13" s="53" t="s">
        <v>38</v>
      </c>
      <c r="V13" s="47"/>
      <c r="W13" s="49"/>
      <c r="X13" s="47" t="s">
        <v>336</v>
      </c>
      <c r="Y13" s="38" t="s">
        <v>15</v>
      </c>
      <c r="Z13" s="54"/>
    </row>
    <row r="14" spans="1:32" s="46" customFormat="1">
      <c r="A14" s="47" t="s">
        <v>31</v>
      </c>
      <c r="B14" s="56" t="s">
        <v>12</v>
      </c>
      <c r="C14" s="48">
        <v>42309</v>
      </c>
      <c r="D14" s="56" t="s">
        <v>27</v>
      </c>
      <c r="E14" s="56" t="s">
        <v>67</v>
      </c>
      <c r="F14" s="47" t="s">
        <v>87</v>
      </c>
      <c r="G14" s="47" t="s">
        <v>337</v>
      </c>
      <c r="H14" s="49">
        <v>1.1499999999999999</v>
      </c>
      <c r="I14" s="53">
        <v>200</v>
      </c>
      <c r="J14" s="53">
        <v>8</v>
      </c>
      <c r="K14" s="49">
        <v>0.8</v>
      </c>
      <c r="L14" s="49">
        <v>0.19</v>
      </c>
      <c r="M14" s="49">
        <f t="shared" si="1"/>
        <v>0.96</v>
      </c>
      <c r="N14" s="49">
        <f t="shared" si="2"/>
        <v>1.3399999999999999</v>
      </c>
      <c r="O14" s="49" t="s">
        <v>328</v>
      </c>
      <c r="P14" s="50">
        <v>26094</v>
      </c>
      <c r="Q14" s="50">
        <v>29886</v>
      </c>
      <c r="R14" s="52">
        <f t="shared" si="3"/>
        <v>3.4116438356164385</v>
      </c>
      <c r="S14" s="52">
        <f t="shared" si="0"/>
        <v>2.9787671232876711</v>
      </c>
      <c r="T14" s="52"/>
      <c r="U14" s="53" t="s">
        <v>38</v>
      </c>
      <c r="V14" s="47"/>
      <c r="W14" s="49"/>
      <c r="X14" s="47" t="s">
        <v>337</v>
      </c>
      <c r="Y14" s="37" t="s">
        <v>15</v>
      </c>
      <c r="Z14" s="54"/>
    </row>
    <row r="15" spans="1:32" s="46" customFormat="1">
      <c r="A15" s="47" t="s">
        <v>31</v>
      </c>
      <c r="B15" s="56" t="s">
        <v>12</v>
      </c>
      <c r="C15" s="48">
        <v>42309</v>
      </c>
      <c r="D15" s="56" t="s">
        <v>27</v>
      </c>
      <c r="E15" s="56" t="s">
        <v>67</v>
      </c>
      <c r="F15" s="47" t="s">
        <v>88</v>
      </c>
      <c r="G15" s="47" t="s">
        <v>348</v>
      </c>
      <c r="H15" s="49">
        <v>0.99</v>
      </c>
      <c r="I15" s="53">
        <v>226</v>
      </c>
      <c r="J15" s="53">
        <v>21</v>
      </c>
      <c r="K15" s="49">
        <v>0.9</v>
      </c>
      <c r="L15" s="49">
        <v>0.05</v>
      </c>
      <c r="M15" s="49">
        <f t="shared" si="1"/>
        <v>0.94</v>
      </c>
      <c r="N15" s="49">
        <f t="shared" si="2"/>
        <v>1.04</v>
      </c>
      <c r="O15" s="49" t="s">
        <v>328</v>
      </c>
      <c r="P15" s="50">
        <v>121830</v>
      </c>
      <c r="Q15" s="50">
        <v>120332</v>
      </c>
      <c r="R15" s="52">
        <f t="shared" si="3"/>
        <v>13.736529680365297</v>
      </c>
      <c r="S15" s="52">
        <f t="shared" si="0"/>
        <v>13.907534246575343</v>
      </c>
      <c r="T15" s="52"/>
      <c r="U15" s="53" t="s">
        <v>38</v>
      </c>
      <c r="V15" s="47"/>
      <c r="W15" s="49"/>
      <c r="X15" s="47" t="s">
        <v>348</v>
      </c>
      <c r="Y15" s="38" t="s">
        <v>15</v>
      </c>
      <c r="Z15" s="54"/>
    </row>
    <row r="16" spans="1:32" s="46" customFormat="1">
      <c r="A16" s="47" t="s">
        <v>31</v>
      </c>
      <c r="B16" s="56" t="s">
        <v>12</v>
      </c>
      <c r="C16" s="48">
        <v>42309</v>
      </c>
      <c r="D16" s="56" t="s">
        <v>27</v>
      </c>
      <c r="E16" s="56" t="s">
        <v>67</v>
      </c>
      <c r="F16" s="47" t="s">
        <v>89</v>
      </c>
      <c r="G16" s="47" t="s">
        <v>338</v>
      </c>
      <c r="H16" s="49">
        <v>1.0900000000000001</v>
      </c>
      <c r="I16" s="50">
        <v>2369</v>
      </c>
      <c r="J16" s="53">
        <v>62</v>
      </c>
      <c r="K16" s="49">
        <v>0.9</v>
      </c>
      <c r="L16" s="49">
        <v>0.08</v>
      </c>
      <c r="M16" s="49">
        <f t="shared" si="1"/>
        <v>1.01</v>
      </c>
      <c r="N16" s="49">
        <f t="shared" si="2"/>
        <v>1.1700000000000002</v>
      </c>
      <c r="O16" s="49" t="s">
        <v>328</v>
      </c>
      <c r="P16" s="50">
        <v>94300</v>
      </c>
      <c r="Q16" s="50">
        <v>102407</v>
      </c>
      <c r="R16" s="52">
        <f t="shared" si="3"/>
        <v>11.690296803652968</v>
      </c>
      <c r="S16" s="52">
        <f t="shared" si="0"/>
        <v>10.764840182648403</v>
      </c>
      <c r="T16" s="52"/>
      <c r="U16" s="53" t="s">
        <v>38</v>
      </c>
      <c r="V16" s="47"/>
      <c r="W16" s="49"/>
      <c r="X16" s="47" t="s">
        <v>338</v>
      </c>
      <c r="Y16" s="36" t="s">
        <v>15</v>
      </c>
      <c r="Z16" s="54"/>
    </row>
    <row r="17" spans="1:26" s="46" customFormat="1">
      <c r="A17" s="47" t="s">
        <v>31</v>
      </c>
      <c r="B17" s="56" t="s">
        <v>12</v>
      </c>
      <c r="C17" s="48">
        <v>42309</v>
      </c>
      <c r="D17" s="56" t="s">
        <v>27</v>
      </c>
      <c r="E17" s="56" t="s">
        <v>67</v>
      </c>
      <c r="F17" s="47" t="s">
        <v>90</v>
      </c>
      <c r="G17" s="47" t="s">
        <v>339</v>
      </c>
      <c r="H17" s="49">
        <v>1.02</v>
      </c>
      <c r="I17" s="53">
        <v>119</v>
      </c>
      <c r="J17" s="53">
        <v>24</v>
      </c>
      <c r="K17" s="49">
        <v>0.9</v>
      </c>
      <c r="L17" s="49">
        <v>0.03</v>
      </c>
      <c r="M17" s="49">
        <f t="shared" si="1"/>
        <v>0.99</v>
      </c>
      <c r="N17" s="49">
        <f t="shared" si="2"/>
        <v>1.05</v>
      </c>
      <c r="O17" s="49" t="s">
        <v>328</v>
      </c>
      <c r="P17" s="50">
        <v>10244</v>
      </c>
      <c r="Q17" s="50">
        <v>10443</v>
      </c>
      <c r="R17" s="52">
        <f t="shared" si="3"/>
        <v>1.1921232876712329</v>
      </c>
      <c r="S17" s="52">
        <f t="shared" si="0"/>
        <v>1.1694063926940639</v>
      </c>
      <c r="T17" s="52"/>
      <c r="U17" s="53" t="s">
        <v>38</v>
      </c>
      <c r="V17" s="47"/>
      <c r="W17" s="49"/>
      <c r="X17" s="47" t="s">
        <v>339</v>
      </c>
      <c r="Y17" s="38" t="s">
        <v>15</v>
      </c>
      <c r="Z17" s="54"/>
    </row>
    <row r="18" spans="1:26" s="46" customFormat="1">
      <c r="A18" s="47" t="s">
        <v>31</v>
      </c>
      <c r="B18" s="56" t="s">
        <v>12</v>
      </c>
      <c r="C18" s="48">
        <v>42309</v>
      </c>
      <c r="D18" s="56" t="s">
        <v>27</v>
      </c>
      <c r="E18" s="56" t="s">
        <v>67</v>
      </c>
      <c r="F18" s="47" t="s">
        <v>91</v>
      </c>
      <c r="G18" s="47" t="s">
        <v>340</v>
      </c>
      <c r="H18" s="49">
        <v>1.1000000000000001</v>
      </c>
      <c r="I18" s="53">
        <v>347</v>
      </c>
      <c r="J18" s="53">
        <v>23</v>
      </c>
      <c r="K18" s="49">
        <v>0.9</v>
      </c>
      <c r="L18" s="49">
        <v>0.08</v>
      </c>
      <c r="M18" s="49">
        <f t="shared" si="1"/>
        <v>1.02</v>
      </c>
      <c r="N18" s="49">
        <f t="shared" si="2"/>
        <v>1.1800000000000002</v>
      </c>
      <c r="O18" s="49" t="s">
        <v>328</v>
      </c>
      <c r="P18" s="50">
        <v>36904</v>
      </c>
      <c r="Q18" s="50">
        <v>40776</v>
      </c>
      <c r="R18" s="52">
        <f t="shared" si="3"/>
        <v>4.6547945205479451</v>
      </c>
      <c r="S18" s="52">
        <f t="shared" si="0"/>
        <v>4.2127853881278536</v>
      </c>
      <c r="T18" s="52"/>
      <c r="U18" s="53" t="s">
        <v>39</v>
      </c>
      <c r="V18" s="47"/>
      <c r="W18" s="49"/>
      <c r="X18" s="47" t="s">
        <v>340</v>
      </c>
      <c r="Y18" s="38" t="s">
        <v>15</v>
      </c>
      <c r="Z18" s="54"/>
    </row>
    <row r="19" spans="1:26" s="46" customFormat="1">
      <c r="A19" s="47" t="s">
        <v>31</v>
      </c>
      <c r="B19" s="56" t="s">
        <v>12</v>
      </c>
      <c r="C19" s="48">
        <v>42309</v>
      </c>
      <c r="D19" s="56" t="s">
        <v>27</v>
      </c>
      <c r="E19" s="56" t="s">
        <v>67</v>
      </c>
      <c r="F19" s="47" t="s">
        <v>92</v>
      </c>
      <c r="G19" s="47" t="s">
        <v>341</v>
      </c>
      <c r="H19" s="49">
        <v>1.01</v>
      </c>
      <c r="I19" s="53">
        <v>77</v>
      </c>
      <c r="J19" s="53">
        <v>20</v>
      </c>
      <c r="K19" s="49">
        <v>0.9</v>
      </c>
      <c r="L19" s="49">
        <v>7.0000000000000007E-2</v>
      </c>
      <c r="M19" s="49">
        <f t="shared" si="1"/>
        <v>0.94</v>
      </c>
      <c r="N19" s="49">
        <f t="shared" si="2"/>
        <v>1.08</v>
      </c>
      <c r="O19" s="49" t="s">
        <v>328</v>
      </c>
      <c r="P19" s="50">
        <v>24143</v>
      </c>
      <c r="Q19" s="50">
        <v>24484</v>
      </c>
      <c r="R19" s="52">
        <f t="shared" si="3"/>
        <v>2.7949771689497718</v>
      </c>
      <c r="S19" s="52">
        <f t="shared" si="0"/>
        <v>2.7560502283105022</v>
      </c>
      <c r="T19" s="52"/>
      <c r="U19" s="53" t="s">
        <v>38</v>
      </c>
      <c r="V19" s="47"/>
      <c r="W19" s="49"/>
      <c r="X19" s="47" t="s">
        <v>341</v>
      </c>
      <c r="Y19" s="38" t="s">
        <v>15</v>
      </c>
      <c r="Z19" s="54"/>
    </row>
    <row r="20" spans="1:26" s="46" customFormat="1" ht="28.25" customHeight="1">
      <c r="A20" s="47" t="s">
        <v>31</v>
      </c>
      <c r="B20" s="56" t="s">
        <v>12</v>
      </c>
      <c r="C20" s="48">
        <v>42309</v>
      </c>
      <c r="D20" s="56" t="s">
        <v>27</v>
      </c>
      <c r="E20" s="56" t="s">
        <v>67</v>
      </c>
      <c r="F20" s="56" t="s">
        <v>29</v>
      </c>
      <c r="G20" s="47" t="s">
        <v>349</v>
      </c>
      <c r="H20" s="49">
        <v>0.49</v>
      </c>
      <c r="I20" s="53">
        <v>15</v>
      </c>
      <c r="J20" s="53">
        <v>5</v>
      </c>
      <c r="K20" s="49">
        <v>0.8</v>
      </c>
      <c r="L20" s="49">
        <v>0.18</v>
      </c>
      <c r="M20" s="49">
        <f t="shared" si="1"/>
        <v>0.31</v>
      </c>
      <c r="N20" s="49">
        <f t="shared" si="2"/>
        <v>0.66999999999999993</v>
      </c>
      <c r="O20" s="49" t="s">
        <v>328</v>
      </c>
      <c r="P20" s="50">
        <v>26433</v>
      </c>
      <c r="Q20" s="50">
        <v>13078</v>
      </c>
      <c r="R20" s="52">
        <f t="shared" si="3"/>
        <v>1.4929223744292237</v>
      </c>
      <c r="S20" s="52">
        <f t="shared" si="0"/>
        <v>3.0174657534246574</v>
      </c>
      <c r="T20" s="52"/>
      <c r="U20" s="53" t="s">
        <v>322</v>
      </c>
      <c r="V20" s="39" t="s">
        <v>72</v>
      </c>
      <c r="W20" s="49"/>
      <c r="X20" s="47" t="s">
        <v>349</v>
      </c>
      <c r="Y20" s="37" t="s">
        <v>15</v>
      </c>
      <c r="Z20" s="54"/>
    </row>
    <row r="21" spans="1:26" s="46" customFormat="1">
      <c r="A21" s="47" t="s">
        <v>32</v>
      </c>
      <c r="B21" s="47" t="s">
        <v>10</v>
      </c>
      <c r="C21" s="48">
        <v>43344</v>
      </c>
      <c r="D21" s="56" t="s">
        <v>25</v>
      </c>
      <c r="E21" s="56" t="s">
        <v>23</v>
      </c>
      <c r="F21" s="47" t="s">
        <v>7</v>
      </c>
      <c r="G21" s="47" t="s">
        <v>342</v>
      </c>
      <c r="H21" s="49">
        <v>0.503</v>
      </c>
      <c r="I21" s="53">
        <v>603</v>
      </c>
      <c r="J21" s="53">
        <v>603</v>
      </c>
      <c r="K21" s="40">
        <v>0.9</v>
      </c>
      <c r="L21" s="55">
        <v>9.1999999999999998E-2</v>
      </c>
      <c r="M21" s="49">
        <f t="shared" si="1"/>
        <v>0.41100000000000003</v>
      </c>
      <c r="N21" s="49">
        <f t="shared" si="2"/>
        <v>0.59499999999999997</v>
      </c>
      <c r="O21" s="49" t="s">
        <v>362</v>
      </c>
      <c r="P21" s="57">
        <f>(4722*603)/1000</f>
        <v>2847.366</v>
      </c>
      <c r="Q21" s="51">
        <v>1432.1</v>
      </c>
      <c r="R21" s="52">
        <f>Q21/8760</f>
        <v>0.16348173515981734</v>
      </c>
      <c r="S21" s="52">
        <f t="shared" si="0"/>
        <v>0.32504178082191781</v>
      </c>
      <c r="T21" s="52" t="s">
        <v>384</v>
      </c>
      <c r="U21" s="53" t="s">
        <v>376</v>
      </c>
      <c r="V21" s="38" t="s">
        <v>64</v>
      </c>
      <c r="W21" s="49"/>
      <c r="X21" s="47" t="s">
        <v>342</v>
      </c>
      <c r="Y21" s="36" t="s">
        <v>17</v>
      </c>
      <c r="Z21" s="54"/>
    </row>
    <row r="22" spans="1:26" s="46" customFormat="1">
      <c r="A22" s="47" t="s">
        <v>32</v>
      </c>
      <c r="B22" s="47" t="s">
        <v>10</v>
      </c>
      <c r="C22" s="48">
        <v>43344</v>
      </c>
      <c r="D22" s="56" t="s">
        <v>25</v>
      </c>
      <c r="E22" s="56" t="s">
        <v>23</v>
      </c>
      <c r="F22" s="47" t="s">
        <v>8</v>
      </c>
      <c r="G22" s="47" t="s">
        <v>343</v>
      </c>
      <c r="H22" s="49">
        <v>0.84299999999999997</v>
      </c>
      <c r="I22" s="50">
        <v>1738</v>
      </c>
      <c r="J22" s="50">
        <v>1738</v>
      </c>
      <c r="K22" s="41">
        <v>0.9</v>
      </c>
      <c r="L22" s="55">
        <v>9.9000000000000005E-2</v>
      </c>
      <c r="M22" s="49">
        <f t="shared" si="1"/>
        <v>0.74399999999999999</v>
      </c>
      <c r="N22" s="49">
        <f t="shared" si="2"/>
        <v>0.94199999999999995</v>
      </c>
      <c r="O22" s="49" t="s">
        <v>362</v>
      </c>
      <c r="P22" s="57">
        <f>(2026*1738)/1000</f>
        <v>3521.1880000000001</v>
      </c>
      <c r="Q22" s="51">
        <v>2970.2</v>
      </c>
      <c r="R22" s="52">
        <f t="shared" si="3"/>
        <v>0.33906392694063925</v>
      </c>
      <c r="S22" s="52">
        <f t="shared" si="0"/>
        <v>0.40196210045662101</v>
      </c>
      <c r="T22" s="52" t="s">
        <v>384</v>
      </c>
      <c r="U22" s="53" t="s">
        <v>380</v>
      </c>
      <c r="V22" s="38" t="s">
        <v>64</v>
      </c>
      <c r="W22" s="49"/>
      <c r="X22" s="47" t="s">
        <v>343</v>
      </c>
      <c r="Y22" s="36" t="s">
        <v>17</v>
      </c>
      <c r="Z22" s="54"/>
    </row>
    <row r="23" spans="1:26" s="46" customFormat="1">
      <c r="A23" s="47" t="s">
        <v>32</v>
      </c>
      <c r="B23" s="47" t="s">
        <v>10</v>
      </c>
      <c r="C23" s="48">
        <v>43344</v>
      </c>
      <c r="D23" s="56" t="s">
        <v>25</v>
      </c>
      <c r="E23" s="56" t="s">
        <v>23</v>
      </c>
      <c r="F23" s="47" t="s">
        <v>9</v>
      </c>
      <c r="G23" s="47" t="s">
        <v>344</v>
      </c>
      <c r="H23" s="49">
        <v>-0.26200000000000001</v>
      </c>
      <c r="I23" s="53">
        <v>486</v>
      </c>
      <c r="J23" s="53">
        <v>486</v>
      </c>
      <c r="K23" s="41">
        <v>0.9</v>
      </c>
      <c r="L23" s="49">
        <v>0.69</v>
      </c>
      <c r="M23" s="49">
        <f t="shared" si="1"/>
        <v>-0.95199999999999996</v>
      </c>
      <c r="N23" s="49">
        <f t="shared" si="2"/>
        <v>0.42799999999999994</v>
      </c>
      <c r="O23" s="49" t="s">
        <v>362</v>
      </c>
      <c r="P23" s="57">
        <f>(503*486)/1000</f>
        <v>244.458</v>
      </c>
      <c r="Q23" s="53">
        <v>-64.2</v>
      </c>
      <c r="R23" s="52">
        <f>Q23/8760</f>
        <v>-7.3287671232876717E-3</v>
      </c>
      <c r="S23" s="52">
        <f t="shared" si="0"/>
        <v>2.7906164383561645E-2</v>
      </c>
      <c r="T23" s="52" t="s">
        <v>384</v>
      </c>
      <c r="U23" s="53" t="s">
        <v>323</v>
      </c>
      <c r="V23" s="38" t="s">
        <v>64</v>
      </c>
      <c r="W23" s="49"/>
      <c r="X23" s="47" t="s">
        <v>344</v>
      </c>
      <c r="Y23" s="36" t="s">
        <v>17</v>
      </c>
      <c r="Z23" s="54"/>
    </row>
    <row r="24" spans="1:26" s="46" customFormat="1">
      <c r="A24" s="47" t="s">
        <v>33</v>
      </c>
      <c r="B24" s="47" t="s">
        <v>11</v>
      </c>
      <c r="C24" s="48">
        <v>43132</v>
      </c>
      <c r="D24" s="56" t="s">
        <v>25</v>
      </c>
      <c r="E24" s="47" t="s">
        <v>23</v>
      </c>
      <c r="F24" s="47" t="s">
        <v>98</v>
      </c>
      <c r="G24" s="47" t="s">
        <v>345</v>
      </c>
      <c r="H24" s="49">
        <v>0.62</v>
      </c>
      <c r="I24" s="53" t="s">
        <v>329</v>
      </c>
      <c r="J24" s="53">
        <v>414</v>
      </c>
      <c r="K24" s="49" t="s">
        <v>329</v>
      </c>
      <c r="L24" s="49">
        <v>0.1</v>
      </c>
      <c r="M24" s="49">
        <f>H24-L24</f>
        <v>0.52</v>
      </c>
      <c r="N24" s="49">
        <f>H24+L24</f>
        <v>0.72</v>
      </c>
      <c r="O24" s="49" t="s">
        <v>362</v>
      </c>
      <c r="P24" s="50">
        <f>(6006*414)/1000</f>
        <v>2486.4839999999999</v>
      </c>
      <c r="Q24" s="51">
        <v>1533.9</v>
      </c>
      <c r="R24" s="52">
        <f>Q24/8760</f>
        <v>0.17510273972602741</v>
      </c>
      <c r="S24" s="52">
        <f>P24/8760</f>
        <v>0.28384520547945202</v>
      </c>
      <c r="T24" s="52" t="s">
        <v>379</v>
      </c>
      <c r="U24" s="53" t="s">
        <v>36</v>
      </c>
      <c r="V24" s="38" t="s">
        <v>324</v>
      </c>
      <c r="W24" s="49" t="s">
        <v>367</v>
      </c>
      <c r="X24" s="47" t="s">
        <v>345</v>
      </c>
      <c r="Y24" s="36" t="s">
        <v>18</v>
      </c>
      <c r="Z24" s="54"/>
    </row>
    <row r="25" spans="1:26" s="46" customFormat="1">
      <c r="A25" s="47" t="s">
        <v>33</v>
      </c>
      <c r="B25" s="47" t="s">
        <v>11</v>
      </c>
      <c r="C25" s="48">
        <v>43132</v>
      </c>
      <c r="D25" s="56" t="s">
        <v>25</v>
      </c>
      <c r="E25" s="47" t="s">
        <v>23</v>
      </c>
      <c r="F25" s="47" t="s">
        <v>378</v>
      </c>
      <c r="G25" s="47" t="s">
        <v>346</v>
      </c>
      <c r="H25" s="49">
        <v>0.56000000000000005</v>
      </c>
      <c r="I25" s="53" t="s">
        <v>329</v>
      </c>
      <c r="J25" s="53">
        <v>829</v>
      </c>
      <c r="K25" s="49" t="s">
        <v>329</v>
      </c>
      <c r="L25" s="49">
        <v>7.0000000000000007E-2</v>
      </c>
      <c r="M25" s="49">
        <f>H25-L25</f>
        <v>0.49000000000000005</v>
      </c>
      <c r="N25" s="49">
        <f>H25+L25</f>
        <v>0.63000000000000012</v>
      </c>
      <c r="O25" s="49" t="s">
        <v>362</v>
      </c>
      <c r="P25" s="50">
        <f>(5591*829)/1000</f>
        <v>4634.9390000000003</v>
      </c>
      <c r="Q25" s="51">
        <v>2574.9</v>
      </c>
      <c r="R25" s="52">
        <f>Q25/8760</f>
        <v>0.29393835616438357</v>
      </c>
      <c r="S25" s="52">
        <f>P25/8760</f>
        <v>0.52910262557077625</v>
      </c>
      <c r="T25" s="52" t="s">
        <v>379</v>
      </c>
      <c r="U25" s="53" t="s">
        <v>36</v>
      </c>
      <c r="V25" s="38" t="s">
        <v>324</v>
      </c>
      <c r="W25" s="49" t="s">
        <v>368</v>
      </c>
      <c r="X25" s="47" t="s">
        <v>346</v>
      </c>
      <c r="Y25" s="36" t="s">
        <v>18</v>
      </c>
      <c r="Z25" s="54"/>
    </row>
    <row r="26" spans="1:26" s="46" customFormat="1" ht="15.75" customHeight="1">
      <c r="A26" s="47" t="s">
        <v>33</v>
      </c>
      <c r="B26" s="47" t="s">
        <v>11</v>
      </c>
      <c r="C26" s="48">
        <v>43132</v>
      </c>
      <c r="D26" s="56" t="s">
        <v>25</v>
      </c>
      <c r="E26" s="47" t="s">
        <v>23</v>
      </c>
      <c r="F26" s="47" t="s">
        <v>97</v>
      </c>
      <c r="G26" s="47" t="s">
        <v>347</v>
      </c>
      <c r="H26" s="49">
        <v>0.33</v>
      </c>
      <c r="I26" s="53" t="s">
        <v>329</v>
      </c>
      <c r="J26" s="50">
        <v>6187</v>
      </c>
      <c r="K26" s="49" t="s">
        <v>329</v>
      </c>
      <c r="L26" s="49">
        <v>0.15</v>
      </c>
      <c r="M26" s="49">
        <f>H26-L26</f>
        <v>0.18000000000000002</v>
      </c>
      <c r="N26" s="49">
        <f>H26+L26</f>
        <v>0.48</v>
      </c>
      <c r="O26" s="49" t="s">
        <v>362</v>
      </c>
      <c r="P26" s="50">
        <f>(986*6187)/1000</f>
        <v>6100.3819999999996</v>
      </c>
      <c r="Q26" s="51">
        <v>1992.2</v>
      </c>
      <c r="R26" s="52">
        <f>Q26/8760</f>
        <v>0.22742009132420091</v>
      </c>
      <c r="S26" s="52">
        <f>P26/8760</f>
        <v>0.69639063926940636</v>
      </c>
      <c r="T26" s="52" t="s">
        <v>379</v>
      </c>
      <c r="U26" s="53" t="s">
        <v>37</v>
      </c>
      <c r="V26" s="38" t="s">
        <v>324</v>
      </c>
      <c r="W26" s="49" t="s">
        <v>369</v>
      </c>
      <c r="X26" s="47" t="s">
        <v>347</v>
      </c>
      <c r="Y26" s="36" t="s">
        <v>18</v>
      </c>
      <c r="Z26" s="54"/>
    </row>
    <row r="27" spans="1:26" s="46" customFormat="1">
      <c r="A27" s="47" t="s">
        <v>118</v>
      </c>
      <c r="B27" s="47" t="s">
        <v>40</v>
      </c>
      <c r="C27" s="48">
        <v>43221</v>
      </c>
      <c r="D27" s="56" t="s">
        <v>26</v>
      </c>
      <c r="E27" s="47" t="s">
        <v>23</v>
      </c>
      <c r="F27" s="47" t="s">
        <v>78</v>
      </c>
      <c r="G27" s="47" t="s">
        <v>350</v>
      </c>
      <c r="H27" s="49">
        <v>0.95</v>
      </c>
      <c r="I27" s="53" t="s">
        <v>329</v>
      </c>
      <c r="J27" s="53">
        <v>118</v>
      </c>
      <c r="K27" s="49">
        <v>0.9</v>
      </c>
      <c r="L27" s="55">
        <v>2.7E-2</v>
      </c>
      <c r="M27" s="49">
        <f t="shared" si="1"/>
        <v>0.92299999999999993</v>
      </c>
      <c r="N27" s="49">
        <f t="shared" si="2"/>
        <v>0.97699999999999998</v>
      </c>
      <c r="O27" s="49" t="s">
        <v>328</v>
      </c>
      <c r="P27" s="50">
        <f>1.01*8760</f>
        <v>8847.6</v>
      </c>
      <c r="Q27" s="50">
        <f>R27*8760</f>
        <v>8322</v>
      </c>
      <c r="R27" s="52">
        <v>0.95</v>
      </c>
      <c r="S27" s="52">
        <f t="shared" si="0"/>
        <v>1.01</v>
      </c>
      <c r="T27" s="52"/>
      <c r="U27" s="53" t="s">
        <v>45</v>
      </c>
      <c r="V27" s="47"/>
      <c r="W27" s="47"/>
      <c r="X27" s="47" t="s">
        <v>350</v>
      </c>
      <c r="Y27" s="36" t="s">
        <v>44</v>
      </c>
      <c r="Z27" s="54"/>
    </row>
    <row r="28" spans="1:26" s="46" customFormat="1">
      <c r="A28" s="47" t="s">
        <v>118</v>
      </c>
      <c r="B28" s="47" t="s">
        <v>40</v>
      </c>
      <c r="C28" s="48">
        <v>43221</v>
      </c>
      <c r="D28" s="56" t="s">
        <v>26</v>
      </c>
      <c r="E28" s="47" t="s">
        <v>23</v>
      </c>
      <c r="F28" s="47" t="s">
        <v>79</v>
      </c>
      <c r="G28" s="47" t="s">
        <v>351</v>
      </c>
      <c r="H28" s="49">
        <v>1</v>
      </c>
      <c r="I28" s="53" t="s">
        <v>329</v>
      </c>
      <c r="J28" s="53">
        <v>8</v>
      </c>
      <c r="K28" s="49">
        <v>0.9</v>
      </c>
      <c r="L28" s="55">
        <v>1.6E-2</v>
      </c>
      <c r="M28" s="49">
        <f t="shared" si="1"/>
        <v>0.98399999999999999</v>
      </c>
      <c r="N28" s="49">
        <f t="shared" si="2"/>
        <v>1.016</v>
      </c>
      <c r="O28" s="49" t="s">
        <v>328</v>
      </c>
      <c r="P28" s="50">
        <f>0.71*8760</f>
        <v>6219.5999999999995</v>
      </c>
      <c r="Q28" s="50">
        <f t="shared" ref="Q28:Q36" si="4">R28*8760</f>
        <v>6219.5999999999995</v>
      </c>
      <c r="R28" s="52">
        <v>0.71</v>
      </c>
      <c r="S28" s="52">
        <f t="shared" si="0"/>
        <v>0.71</v>
      </c>
      <c r="T28" s="52"/>
      <c r="U28" s="53"/>
      <c r="V28" s="47" t="s">
        <v>73</v>
      </c>
      <c r="W28" s="47"/>
      <c r="X28" s="47" t="s">
        <v>351</v>
      </c>
      <c r="Y28" s="36" t="s">
        <v>44</v>
      </c>
      <c r="Z28" s="54"/>
    </row>
    <row r="29" spans="1:26" s="46" customFormat="1">
      <c r="A29" s="47" t="s">
        <v>118</v>
      </c>
      <c r="B29" s="47" t="s">
        <v>40</v>
      </c>
      <c r="C29" s="48">
        <v>43221</v>
      </c>
      <c r="D29" s="56" t="s">
        <v>26</v>
      </c>
      <c r="E29" s="47" t="s">
        <v>23</v>
      </c>
      <c r="F29" s="47" t="s">
        <v>41</v>
      </c>
      <c r="G29" s="47" t="s">
        <v>352</v>
      </c>
      <c r="H29" s="49">
        <v>1</v>
      </c>
      <c r="I29" s="53" t="s">
        <v>329</v>
      </c>
      <c r="J29" s="53">
        <v>15</v>
      </c>
      <c r="K29" s="49">
        <v>0.9</v>
      </c>
      <c r="L29" s="58">
        <v>5.7099999999999998E-2</v>
      </c>
      <c r="M29" s="49">
        <f t="shared" si="1"/>
        <v>0.94289999999999996</v>
      </c>
      <c r="N29" s="49">
        <f t="shared" si="2"/>
        <v>1.0570999999999999</v>
      </c>
      <c r="O29" s="49" t="s">
        <v>328</v>
      </c>
      <c r="P29" s="50">
        <f>0.94*8760</f>
        <v>8234.4</v>
      </c>
      <c r="Q29" s="50">
        <f t="shared" si="4"/>
        <v>8234.4</v>
      </c>
      <c r="R29" s="52">
        <v>0.94</v>
      </c>
      <c r="S29" s="52">
        <f t="shared" si="0"/>
        <v>0.94</v>
      </c>
      <c r="T29" s="52"/>
      <c r="U29" s="53"/>
      <c r="V29" s="47" t="s">
        <v>74</v>
      </c>
      <c r="W29" s="47"/>
      <c r="X29" s="47" t="s">
        <v>352</v>
      </c>
      <c r="Y29" s="36" t="s">
        <v>44</v>
      </c>
      <c r="Z29" s="54"/>
    </row>
    <row r="30" spans="1:26" s="46" customFormat="1">
      <c r="A30" s="47" t="s">
        <v>118</v>
      </c>
      <c r="B30" s="47" t="s">
        <v>40</v>
      </c>
      <c r="C30" s="48">
        <v>43221</v>
      </c>
      <c r="D30" s="56" t="s">
        <v>26</v>
      </c>
      <c r="E30" s="47" t="s">
        <v>23</v>
      </c>
      <c r="F30" s="47" t="s">
        <v>80</v>
      </c>
      <c r="G30" s="47" t="s">
        <v>353</v>
      </c>
      <c r="H30" s="49">
        <v>1.0900000000000001</v>
      </c>
      <c r="I30" s="53" t="s">
        <v>329</v>
      </c>
      <c r="J30" s="53">
        <v>43</v>
      </c>
      <c r="K30" s="49">
        <v>0.9</v>
      </c>
      <c r="L30" s="49">
        <v>7.0000000000000007E-2</v>
      </c>
      <c r="M30" s="49">
        <f t="shared" si="1"/>
        <v>1.02</v>
      </c>
      <c r="N30" s="49">
        <f t="shared" si="2"/>
        <v>1.1600000000000001</v>
      </c>
      <c r="O30" s="49" t="s">
        <v>328</v>
      </c>
      <c r="P30" s="50">
        <f>0.11*8760</f>
        <v>963.6</v>
      </c>
      <c r="Q30" s="50">
        <f t="shared" si="4"/>
        <v>963.6</v>
      </c>
      <c r="R30" s="52">
        <v>0.11</v>
      </c>
      <c r="S30" s="52">
        <f t="shared" si="0"/>
        <v>0.11</v>
      </c>
      <c r="T30" s="52"/>
      <c r="U30" s="53" t="s">
        <v>43</v>
      </c>
      <c r="V30" s="47" t="s">
        <v>75</v>
      </c>
      <c r="W30" s="47"/>
      <c r="X30" s="47" t="s">
        <v>353</v>
      </c>
      <c r="Y30" s="36" t="s">
        <v>44</v>
      </c>
      <c r="Z30" s="54"/>
    </row>
    <row r="31" spans="1:26" s="46" customFormat="1">
      <c r="A31" s="47" t="s">
        <v>118</v>
      </c>
      <c r="B31" s="47" t="s">
        <v>40</v>
      </c>
      <c r="C31" s="48">
        <v>43221</v>
      </c>
      <c r="D31" s="56" t="s">
        <v>26</v>
      </c>
      <c r="E31" s="47" t="s">
        <v>42</v>
      </c>
      <c r="F31" s="47" t="s">
        <v>84</v>
      </c>
      <c r="G31" s="47" t="s">
        <v>354</v>
      </c>
      <c r="H31" s="49">
        <v>1</v>
      </c>
      <c r="I31" s="53">
        <v>3</v>
      </c>
      <c r="J31" s="53">
        <v>3</v>
      </c>
      <c r="K31" s="49">
        <v>0.9</v>
      </c>
      <c r="L31" s="49" t="s">
        <v>119</v>
      </c>
      <c r="M31" s="49"/>
      <c r="N31" s="49"/>
      <c r="O31" s="49" t="s">
        <v>119</v>
      </c>
      <c r="P31" s="50">
        <f>0.2*8760</f>
        <v>1752</v>
      </c>
      <c r="Q31" s="50">
        <f t="shared" si="4"/>
        <v>1752</v>
      </c>
      <c r="R31" s="52">
        <v>0.2</v>
      </c>
      <c r="S31" s="52">
        <f t="shared" si="0"/>
        <v>0.2</v>
      </c>
      <c r="T31" s="52"/>
      <c r="U31" s="53"/>
      <c r="V31" s="47"/>
      <c r="W31" s="47"/>
      <c r="X31" s="47" t="s">
        <v>354</v>
      </c>
      <c r="Y31" s="36" t="s">
        <v>44</v>
      </c>
      <c r="Z31" s="54"/>
    </row>
    <row r="32" spans="1:26" s="46" customFormat="1">
      <c r="A32" s="47" t="s">
        <v>118</v>
      </c>
      <c r="B32" s="47" t="s">
        <v>40</v>
      </c>
      <c r="C32" s="48">
        <v>43221</v>
      </c>
      <c r="D32" s="56" t="s">
        <v>26</v>
      </c>
      <c r="E32" s="47" t="s">
        <v>42</v>
      </c>
      <c r="F32" s="47" t="s">
        <v>81</v>
      </c>
      <c r="G32" s="47" t="s">
        <v>355</v>
      </c>
      <c r="H32" s="49">
        <v>1</v>
      </c>
      <c r="I32" s="53" t="s">
        <v>329</v>
      </c>
      <c r="J32" s="53">
        <v>13</v>
      </c>
      <c r="K32" s="49">
        <v>0.9</v>
      </c>
      <c r="L32" s="49" t="s">
        <v>119</v>
      </c>
      <c r="M32" s="49"/>
      <c r="N32" s="49"/>
      <c r="O32" s="49" t="s">
        <v>119</v>
      </c>
      <c r="P32" s="50">
        <f>0.06*8760</f>
        <v>525.6</v>
      </c>
      <c r="Q32" s="50">
        <f t="shared" si="4"/>
        <v>525.6</v>
      </c>
      <c r="R32" s="52">
        <v>0.06</v>
      </c>
      <c r="S32" s="52">
        <f t="shared" si="0"/>
        <v>6.0000000000000005E-2</v>
      </c>
      <c r="T32" s="52"/>
      <c r="U32" s="53"/>
      <c r="V32" s="47"/>
      <c r="W32" s="47"/>
      <c r="X32" s="47" t="s">
        <v>355</v>
      </c>
      <c r="Y32" s="36" t="s">
        <v>44</v>
      </c>
      <c r="Z32" s="54"/>
    </row>
    <row r="33" spans="1:26" s="46" customFormat="1">
      <c r="A33" s="47" t="s">
        <v>118</v>
      </c>
      <c r="B33" s="47" t="s">
        <v>40</v>
      </c>
      <c r="C33" s="48">
        <v>43221</v>
      </c>
      <c r="D33" s="56" t="s">
        <v>65</v>
      </c>
      <c r="E33" s="47" t="s">
        <v>23</v>
      </c>
      <c r="F33" s="47" t="s">
        <v>93</v>
      </c>
      <c r="G33" s="47" t="s">
        <v>356</v>
      </c>
      <c r="H33" s="49">
        <v>0.78</v>
      </c>
      <c r="I33" s="47">
        <v>1451</v>
      </c>
      <c r="J33" s="53">
        <v>20</v>
      </c>
      <c r="K33" s="53" t="s">
        <v>329</v>
      </c>
      <c r="L33" s="49" t="s">
        <v>119</v>
      </c>
      <c r="M33" s="49"/>
      <c r="N33" s="49"/>
      <c r="O33" s="49" t="s">
        <v>119</v>
      </c>
      <c r="P33" s="50">
        <f>0.25*8760</f>
        <v>2190</v>
      </c>
      <c r="Q33" s="50">
        <f t="shared" si="4"/>
        <v>1752</v>
      </c>
      <c r="R33" s="52">
        <v>0.2</v>
      </c>
      <c r="S33" s="52">
        <f t="shared" si="0"/>
        <v>0.25</v>
      </c>
      <c r="T33" s="52"/>
      <c r="U33" s="47" t="s">
        <v>66</v>
      </c>
      <c r="W33" s="47" t="s">
        <v>370</v>
      </c>
      <c r="X33" s="47" t="s">
        <v>356</v>
      </c>
      <c r="Y33" s="36" t="s">
        <v>44</v>
      </c>
      <c r="Z33" s="54"/>
    </row>
    <row r="34" spans="1:26" s="46" customFormat="1">
      <c r="A34" s="47" t="s">
        <v>118</v>
      </c>
      <c r="B34" s="47" t="s">
        <v>40</v>
      </c>
      <c r="C34" s="48">
        <v>43221</v>
      </c>
      <c r="D34" s="56" t="s">
        <v>65</v>
      </c>
      <c r="E34" s="47" t="s">
        <v>23</v>
      </c>
      <c r="F34" s="47" t="s">
        <v>94</v>
      </c>
      <c r="G34" s="47" t="s">
        <v>357</v>
      </c>
      <c r="H34" s="49">
        <v>0.56999999999999995</v>
      </c>
      <c r="I34" s="47">
        <v>292</v>
      </c>
      <c r="J34" s="53">
        <v>34</v>
      </c>
      <c r="K34" s="53" t="s">
        <v>329</v>
      </c>
      <c r="L34" s="49" t="s">
        <v>119</v>
      </c>
      <c r="M34" s="49"/>
      <c r="N34" s="49"/>
      <c r="O34" s="49" t="s">
        <v>119</v>
      </c>
      <c r="P34" s="50">
        <f>0.07*8760</f>
        <v>613.20000000000005</v>
      </c>
      <c r="Q34" s="50">
        <f t="shared" si="4"/>
        <v>350.40000000000003</v>
      </c>
      <c r="R34" s="52">
        <v>0.04</v>
      </c>
      <c r="S34" s="52">
        <f t="shared" si="0"/>
        <v>7.0000000000000007E-2</v>
      </c>
      <c r="T34" s="52"/>
      <c r="U34" s="47" t="s">
        <v>66</v>
      </c>
      <c r="W34" s="47" t="s">
        <v>370</v>
      </c>
      <c r="X34" s="47" t="s">
        <v>357</v>
      </c>
      <c r="Y34" s="36" t="s">
        <v>44</v>
      </c>
      <c r="Z34" s="54"/>
    </row>
    <row r="35" spans="1:26" s="46" customFormat="1">
      <c r="A35" s="47" t="s">
        <v>118</v>
      </c>
      <c r="B35" s="47" t="s">
        <v>40</v>
      </c>
      <c r="C35" s="48">
        <v>43221</v>
      </c>
      <c r="D35" s="56" t="s">
        <v>65</v>
      </c>
      <c r="E35" s="47" t="s">
        <v>23</v>
      </c>
      <c r="F35" s="47" t="s">
        <v>95</v>
      </c>
      <c r="G35" s="47" t="s">
        <v>358</v>
      </c>
      <c r="H35" s="49">
        <v>0.42</v>
      </c>
      <c r="I35" s="47">
        <v>129</v>
      </c>
      <c r="J35" s="53">
        <v>15</v>
      </c>
      <c r="K35" s="53" t="s">
        <v>329</v>
      </c>
      <c r="L35" s="49" t="s">
        <v>119</v>
      </c>
      <c r="M35" s="49"/>
      <c r="N35" s="49"/>
      <c r="O35" s="49" t="s">
        <v>119</v>
      </c>
      <c r="P35" s="50">
        <f>0.02*8760</f>
        <v>175.20000000000002</v>
      </c>
      <c r="Q35" s="50">
        <f t="shared" si="4"/>
        <v>87.600000000000009</v>
      </c>
      <c r="R35" s="52">
        <v>0.01</v>
      </c>
      <c r="S35" s="52">
        <f t="shared" si="0"/>
        <v>0.02</v>
      </c>
      <c r="T35" s="52"/>
      <c r="U35" s="47" t="s">
        <v>66</v>
      </c>
      <c r="W35" s="47" t="s">
        <v>370</v>
      </c>
      <c r="X35" s="47" t="s">
        <v>358</v>
      </c>
      <c r="Y35" s="36" t="s">
        <v>44</v>
      </c>
      <c r="Z35" s="54"/>
    </row>
    <row r="36" spans="1:26" s="46" customFormat="1">
      <c r="A36" s="47" t="s">
        <v>118</v>
      </c>
      <c r="B36" s="47" t="s">
        <v>40</v>
      </c>
      <c r="C36" s="48">
        <v>43221</v>
      </c>
      <c r="D36" s="56" t="s">
        <v>65</v>
      </c>
      <c r="E36" s="47" t="s">
        <v>23</v>
      </c>
      <c r="F36" s="47" t="s">
        <v>96</v>
      </c>
      <c r="G36" s="47" t="s">
        <v>359</v>
      </c>
      <c r="H36" s="49">
        <v>0.37</v>
      </c>
      <c r="I36" s="47">
        <v>1641</v>
      </c>
      <c r="J36" s="53">
        <v>69</v>
      </c>
      <c r="K36" s="53" t="s">
        <v>329</v>
      </c>
      <c r="L36" s="49" t="s">
        <v>119</v>
      </c>
      <c r="M36" s="49"/>
      <c r="N36" s="49"/>
      <c r="O36" s="49" t="s">
        <v>119</v>
      </c>
      <c r="P36" s="50">
        <f>0.98*8760</f>
        <v>8584.7999999999993</v>
      </c>
      <c r="Q36" s="50">
        <f t="shared" si="4"/>
        <v>3153.6</v>
      </c>
      <c r="R36" s="52">
        <v>0.36</v>
      </c>
      <c r="S36" s="52">
        <f t="shared" si="0"/>
        <v>0.97999999999999987</v>
      </c>
      <c r="T36" s="52"/>
      <c r="U36" s="47" t="s">
        <v>66</v>
      </c>
      <c r="W36" s="47" t="s">
        <v>370</v>
      </c>
      <c r="X36" s="47" t="s">
        <v>359</v>
      </c>
      <c r="Y36" s="36" t="s">
        <v>44</v>
      </c>
      <c r="Z36" s="54"/>
    </row>
    <row r="37" spans="1:26" s="47" customFormat="1">
      <c r="A37" s="47" t="s">
        <v>314</v>
      </c>
      <c r="B37" s="47" t="s">
        <v>405</v>
      </c>
      <c r="C37" s="48">
        <v>42767</v>
      </c>
      <c r="D37" s="47" t="s">
        <v>25</v>
      </c>
      <c r="E37" s="47" t="s">
        <v>231</v>
      </c>
      <c r="F37" s="47" t="s">
        <v>312</v>
      </c>
      <c r="G37" s="47" t="s">
        <v>360</v>
      </c>
      <c r="H37" s="49">
        <v>0.79</v>
      </c>
      <c r="I37" s="53">
        <v>47</v>
      </c>
      <c r="J37" s="53">
        <v>24</v>
      </c>
      <c r="K37" s="59">
        <v>0.8</v>
      </c>
      <c r="L37" s="47" t="s">
        <v>119</v>
      </c>
      <c r="M37" s="49"/>
      <c r="N37" s="49"/>
      <c r="O37" s="49" t="s">
        <v>119</v>
      </c>
      <c r="P37" s="50">
        <v>14053</v>
      </c>
      <c r="Q37" s="50">
        <v>11136</v>
      </c>
      <c r="R37" s="52">
        <f>Q37/8760</f>
        <v>1.2712328767123289</v>
      </c>
      <c r="S37" s="52">
        <f t="shared" si="0"/>
        <v>1.6042237442922374</v>
      </c>
      <c r="T37" s="52"/>
      <c r="U37" s="53" t="s">
        <v>315</v>
      </c>
      <c r="V37" s="47" t="s">
        <v>320</v>
      </c>
      <c r="W37" s="47" t="s">
        <v>330</v>
      </c>
      <c r="X37" s="47" t="s">
        <v>360</v>
      </c>
      <c r="Y37" s="37" t="s">
        <v>61</v>
      </c>
      <c r="Z37" s="59"/>
    </row>
    <row r="38" spans="1:26" s="47" customFormat="1">
      <c r="A38" s="47" t="s">
        <v>314</v>
      </c>
      <c r="B38" s="47" t="s">
        <v>405</v>
      </c>
      <c r="C38" s="48">
        <v>42767</v>
      </c>
      <c r="D38" s="47" t="s">
        <v>25</v>
      </c>
      <c r="E38" s="47" t="s">
        <v>231</v>
      </c>
      <c r="F38" s="47" t="s">
        <v>313</v>
      </c>
      <c r="G38" s="47" t="s">
        <v>361</v>
      </c>
      <c r="H38" s="49">
        <v>1.05</v>
      </c>
      <c r="I38" s="53">
        <v>18</v>
      </c>
      <c r="J38" s="53">
        <v>7</v>
      </c>
      <c r="K38" s="59">
        <v>0.8</v>
      </c>
      <c r="L38" s="47" t="s">
        <v>119</v>
      </c>
      <c r="M38" s="49"/>
      <c r="N38" s="49"/>
      <c r="O38" s="49" t="s">
        <v>119</v>
      </c>
      <c r="P38" s="50">
        <v>9631</v>
      </c>
      <c r="Q38" s="50">
        <v>10068</v>
      </c>
      <c r="R38" s="52">
        <f>Q38/8760</f>
        <v>1.1493150684931508</v>
      </c>
      <c r="S38" s="52">
        <f t="shared" si="0"/>
        <v>1.0994292237442922</v>
      </c>
      <c r="T38" s="52"/>
      <c r="U38" s="53" t="s">
        <v>316</v>
      </c>
      <c r="V38" s="47" t="s">
        <v>321</v>
      </c>
      <c r="W38" s="47" t="s">
        <v>330</v>
      </c>
      <c r="X38" s="47" t="s">
        <v>361</v>
      </c>
      <c r="Y38" s="37" t="s">
        <v>61</v>
      </c>
      <c r="Z38" s="59"/>
    </row>
    <row r="39" spans="1:26">
      <c r="A39" s="47" t="s">
        <v>32</v>
      </c>
      <c r="B39" s="47" t="s">
        <v>461</v>
      </c>
      <c r="C39" s="48">
        <v>44267</v>
      </c>
      <c r="D39" s="47" t="s">
        <v>25</v>
      </c>
      <c r="E39" s="47" t="s">
        <v>23</v>
      </c>
      <c r="F39" s="47" t="s">
        <v>8</v>
      </c>
      <c r="G39" s="60"/>
      <c r="H39" s="49">
        <v>0.44</v>
      </c>
      <c r="I39" s="53">
        <v>11219</v>
      </c>
      <c r="J39" s="53">
        <v>450</v>
      </c>
      <c r="K39" s="59">
        <v>0.9</v>
      </c>
      <c r="L39" s="47" t="s">
        <v>119</v>
      </c>
      <c r="M39" s="59">
        <v>0.32</v>
      </c>
      <c r="N39" s="59">
        <v>0.56999999999999995</v>
      </c>
      <c r="O39" s="49" t="s">
        <v>362</v>
      </c>
      <c r="P39" s="50">
        <f>Q39/H39</f>
        <v>894.88636363636363</v>
      </c>
      <c r="Q39" s="50">
        <f>875/1000*J39</f>
        <v>393.75</v>
      </c>
      <c r="R39" s="52">
        <f t="shared" ref="R39:R45" si="5">Q39/8760</f>
        <v>4.4948630136986301E-2</v>
      </c>
      <c r="S39" s="52">
        <f t="shared" ref="S39:S45" si="6">P39/8760</f>
        <v>0.10215597758405977</v>
      </c>
      <c r="T39" s="45" t="s">
        <v>464</v>
      </c>
      <c r="X39" s="47" t="s">
        <v>469</v>
      </c>
      <c r="Y39" s="30" t="s">
        <v>476</v>
      </c>
    </row>
    <row r="40" spans="1:26">
      <c r="A40" s="47" t="s">
        <v>32</v>
      </c>
      <c r="B40" s="47" t="s">
        <v>461</v>
      </c>
      <c r="C40" s="48">
        <v>44267</v>
      </c>
      <c r="D40" s="47" t="s">
        <v>25</v>
      </c>
      <c r="E40" s="47" t="s">
        <v>23</v>
      </c>
      <c r="F40" s="47" t="s">
        <v>465</v>
      </c>
      <c r="H40" s="49">
        <v>0.69</v>
      </c>
      <c r="I40" s="53">
        <v>163</v>
      </c>
      <c r="J40" s="53">
        <v>39</v>
      </c>
      <c r="K40" s="59">
        <v>0.9</v>
      </c>
      <c r="L40" s="47" t="s">
        <v>119</v>
      </c>
      <c r="M40" s="59">
        <v>0.36</v>
      </c>
      <c r="N40" s="59">
        <v>1.01</v>
      </c>
      <c r="O40" s="49" t="s">
        <v>362</v>
      </c>
      <c r="P40" s="50">
        <f t="shared" ref="P40:P45" si="7">Q40/H40</f>
        <v>102.47391304347826</v>
      </c>
      <c r="Q40" s="50">
        <f>1813/1000*J40</f>
        <v>70.706999999999994</v>
      </c>
      <c r="R40" s="52">
        <f t="shared" si="5"/>
        <v>8.0715753424657529E-3</v>
      </c>
      <c r="S40" s="52">
        <f t="shared" si="6"/>
        <v>1.1697935278935874E-2</v>
      </c>
      <c r="T40" s="45" t="s">
        <v>464</v>
      </c>
      <c r="X40" s="47" t="s">
        <v>470</v>
      </c>
      <c r="Y40" s="30" t="s">
        <v>476</v>
      </c>
    </row>
    <row r="41" spans="1:26">
      <c r="A41" s="47" t="s">
        <v>32</v>
      </c>
      <c r="B41" s="47" t="s">
        <v>461</v>
      </c>
      <c r="C41" s="48">
        <v>44267</v>
      </c>
      <c r="D41" s="47" t="s">
        <v>25</v>
      </c>
      <c r="E41" s="47" t="s">
        <v>23</v>
      </c>
      <c r="F41" s="47" t="s">
        <v>378</v>
      </c>
      <c r="H41" s="49">
        <v>0.34</v>
      </c>
      <c r="I41" s="53" t="s">
        <v>467</v>
      </c>
      <c r="J41" s="53">
        <v>35</v>
      </c>
      <c r="K41" s="59">
        <v>0.9</v>
      </c>
      <c r="L41" s="47" t="s">
        <v>119</v>
      </c>
      <c r="M41" s="59">
        <v>0.14000000000000001</v>
      </c>
      <c r="N41" s="59">
        <v>0.54</v>
      </c>
      <c r="O41" s="49" t="s">
        <v>362</v>
      </c>
      <c r="P41" s="50">
        <f t="shared" si="7"/>
        <v>267.95588235294116</v>
      </c>
      <c r="Q41" s="50">
        <f>2603/1000*J41</f>
        <v>91.105000000000004</v>
      </c>
      <c r="R41" s="52">
        <f t="shared" si="5"/>
        <v>1.0400114155251142E-2</v>
      </c>
      <c r="S41" s="52">
        <f t="shared" si="6"/>
        <v>3.0588571044856298E-2</v>
      </c>
      <c r="T41" s="45" t="s">
        <v>464</v>
      </c>
      <c r="U41" s="53" t="s">
        <v>468</v>
      </c>
      <c r="X41" s="47" t="s">
        <v>471</v>
      </c>
      <c r="Y41" s="30" t="s">
        <v>476</v>
      </c>
    </row>
    <row r="42" spans="1:26">
      <c r="A42" s="47" t="s">
        <v>32</v>
      </c>
      <c r="B42" s="47" t="s">
        <v>461</v>
      </c>
      <c r="C42" s="48">
        <v>44267</v>
      </c>
      <c r="D42" s="47" t="s">
        <v>25</v>
      </c>
      <c r="E42" s="47" t="s">
        <v>23</v>
      </c>
      <c r="F42" s="47" t="s">
        <v>98</v>
      </c>
      <c r="G42" s="62"/>
      <c r="H42" s="49">
        <v>0.63</v>
      </c>
      <c r="I42" s="53">
        <v>1953</v>
      </c>
      <c r="J42" s="53">
        <v>176</v>
      </c>
      <c r="K42" s="59">
        <v>0.9</v>
      </c>
      <c r="L42" s="47" t="s">
        <v>119</v>
      </c>
      <c r="M42" s="59">
        <v>0.44</v>
      </c>
      <c r="N42" s="59">
        <v>0.83</v>
      </c>
      <c r="O42" s="49" t="s">
        <v>362</v>
      </c>
      <c r="P42" s="50">
        <f t="shared" si="7"/>
        <v>1143.7206349206351</v>
      </c>
      <c r="Q42" s="50">
        <f>4094/1000*J42</f>
        <v>720.5440000000001</v>
      </c>
      <c r="R42" s="52">
        <f t="shared" si="5"/>
        <v>8.2253881278538818E-2</v>
      </c>
      <c r="S42" s="52">
        <f t="shared" si="6"/>
        <v>0.13056171631514099</v>
      </c>
      <c r="T42" s="45" t="s">
        <v>464</v>
      </c>
      <c r="U42" s="53"/>
      <c r="V42" s="62"/>
      <c r="X42" s="47" t="s">
        <v>472</v>
      </c>
      <c r="Y42" s="30" t="s">
        <v>476</v>
      </c>
    </row>
    <row r="43" spans="1:26">
      <c r="A43" s="47" t="s">
        <v>32</v>
      </c>
      <c r="B43" s="47" t="s">
        <v>461</v>
      </c>
      <c r="C43" s="48">
        <v>44267</v>
      </c>
      <c r="D43" s="47" t="s">
        <v>25</v>
      </c>
      <c r="E43" s="47" t="s">
        <v>23</v>
      </c>
      <c r="F43" s="47" t="s">
        <v>462</v>
      </c>
      <c r="G43" s="62"/>
      <c r="H43" s="49">
        <v>0.66</v>
      </c>
      <c r="I43" s="53" t="s">
        <v>467</v>
      </c>
      <c r="J43" s="53">
        <v>22</v>
      </c>
      <c r="K43" s="59">
        <v>0.9</v>
      </c>
      <c r="L43" s="47" t="s">
        <v>119</v>
      </c>
      <c r="M43" s="59">
        <v>0.54</v>
      </c>
      <c r="N43" s="59">
        <v>0.78</v>
      </c>
      <c r="O43" s="49" t="s">
        <v>362</v>
      </c>
      <c r="P43" s="50">
        <f t="shared" si="7"/>
        <v>182.43333333333331</v>
      </c>
      <c r="Q43" s="50">
        <f>5473/1000*J43</f>
        <v>120.40599999999999</v>
      </c>
      <c r="R43" s="52">
        <f t="shared" si="5"/>
        <v>1.3744977168949771E-2</v>
      </c>
      <c r="S43" s="52">
        <f t="shared" si="6"/>
        <v>2.0825722983257227E-2</v>
      </c>
      <c r="T43" s="45" t="s">
        <v>464</v>
      </c>
      <c r="U43" s="53" t="s">
        <v>468</v>
      </c>
      <c r="V43" s="62"/>
      <c r="X43" s="47" t="s">
        <v>473</v>
      </c>
      <c r="Y43" s="30" t="s">
        <v>476</v>
      </c>
    </row>
    <row r="44" spans="1:26">
      <c r="A44" s="47" t="s">
        <v>32</v>
      </c>
      <c r="B44" s="47" t="s">
        <v>461</v>
      </c>
      <c r="C44" s="48">
        <v>44267</v>
      </c>
      <c r="D44" s="47" t="s">
        <v>25</v>
      </c>
      <c r="E44" s="47" t="s">
        <v>23</v>
      </c>
      <c r="F44" s="47" t="s">
        <v>463</v>
      </c>
      <c r="G44" s="62"/>
      <c r="H44" s="63">
        <v>0.15</v>
      </c>
      <c r="I44" s="64">
        <v>599</v>
      </c>
      <c r="J44" s="64">
        <v>48</v>
      </c>
      <c r="K44" s="59">
        <v>0.9</v>
      </c>
      <c r="L44" s="47" t="s">
        <v>119</v>
      </c>
      <c r="M44" s="59">
        <v>0.02</v>
      </c>
      <c r="N44" s="59">
        <v>0.28999999999999998</v>
      </c>
      <c r="O44" s="49" t="s">
        <v>362</v>
      </c>
      <c r="P44" s="50">
        <f t="shared" si="7"/>
        <v>352.32</v>
      </c>
      <c r="Q44" s="50">
        <f>1101/1000*J44</f>
        <v>52.847999999999999</v>
      </c>
      <c r="R44" s="52">
        <f t="shared" si="5"/>
        <v>6.0328767123287667E-3</v>
      </c>
      <c r="S44" s="52">
        <f t="shared" si="6"/>
        <v>4.0219178082191782E-2</v>
      </c>
      <c r="T44" s="45" t="s">
        <v>464</v>
      </c>
      <c r="V44" s="62"/>
      <c r="X44" s="47" t="s">
        <v>474</v>
      </c>
      <c r="Y44" s="30" t="s">
        <v>476</v>
      </c>
    </row>
    <row r="45" spans="1:26">
      <c r="A45" s="47" t="s">
        <v>32</v>
      </c>
      <c r="B45" s="47" t="s">
        <v>461</v>
      </c>
      <c r="C45" s="48">
        <v>44267</v>
      </c>
      <c r="D45" s="47" t="s">
        <v>25</v>
      </c>
      <c r="E45" s="47" t="s">
        <v>23</v>
      </c>
      <c r="F45" s="47" t="s">
        <v>466</v>
      </c>
      <c r="G45" s="62"/>
      <c r="H45" s="63">
        <v>2.44</v>
      </c>
      <c r="I45" s="64">
        <v>5266</v>
      </c>
      <c r="J45" s="64">
        <v>238</v>
      </c>
      <c r="K45" s="59">
        <v>0.9</v>
      </c>
      <c r="L45" s="47" t="s">
        <v>119</v>
      </c>
      <c r="M45" s="59">
        <v>2.0099999999999998</v>
      </c>
      <c r="N45" s="59">
        <v>2.87</v>
      </c>
      <c r="O45" s="49" t="s">
        <v>362</v>
      </c>
      <c r="P45" s="50">
        <f t="shared" si="7"/>
        <v>233.80573770491804</v>
      </c>
      <c r="Q45" s="50">
        <f>2397/1000*J45</f>
        <v>570.48599999999999</v>
      </c>
      <c r="R45" s="52">
        <f t="shared" si="5"/>
        <v>6.5123972602739721E-2</v>
      </c>
      <c r="S45" s="52">
        <f t="shared" si="6"/>
        <v>2.6690152706040873E-2</v>
      </c>
      <c r="T45" s="45" t="s">
        <v>464</v>
      </c>
      <c r="V45" s="62"/>
      <c r="X45" s="47" t="s">
        <v>475</v>
      </c>
      <c r="Y45" s="30" t="s">
        <v>476</v>
      </c>
    </row>
    <row r="46" spans="1:26">
      <c r="C46" s="61"/>
      <c r="D46" s="62"/>
      <c r="E46" s="62"/>
      <c r="F46" s="62"/>
      <c r="G46" s="62"/>
      <c r="H46" s="63"/>
      <c r="I46" s="64"/>
      <c r="J46" s="64"/>
      <c r="K46" s="62"/>
      <c r="V46" s="62"/>
      <c r="X46" s="62"/>
    </row>
    <row r="47" spans="1:26">
      <c r="C47" s="61"/>
      <c r="D47" s="62"/>
      <c r="E47" s="62"/>
      <c r="F47" s="62"/>
      <c r="G47" s="62"/>
      <c r="H47" s="63"/>
      <c r="I47" s="64"/>
      <c r="J47" s="64"/>
      <c r="K47" s="62"/>
      <c r="V47" s="62"/>
      <c r="X47" s="62"/>
    </row>
    <row r="48" spans="1:26">
      <c r="C48" s="61"/>
      <c r="D48" s="62"/>
      <c r="E48" s="62"/>
      <c r="F48" s="62"/>
      <c r="G48" s="62"/>
      <c r="H48" s="63"/>
      <c r="I48" s="64"/>
      <c r="J48" s="64"/>
      <c r="K48" s="62"/>
      <c r="V48" s="62"/>
      <c r="X48" s="62"/>
    </row>
    <row r="49" spans="3:24">
      <c r="C49" s="61"/>
      <c r="D49" s="62"/>
      <c r="E49" s="62"/>
      <c r="F49" s="62"/>
      <c r="G49" s="62"/>
      <c r="H49" s="63"/>
      <c r="I49" s="64"/>
      <c r="J49" s="64"/>
      <c r="K49" s="62"/>
      <c r="V49" s="62"/>
      <c r="X49" s="62"/>
    </row>
    <row r="50" spans="3:24">
      <c r="C50" s="61"/>
      <c r="D50" s="62"/>
      <c r="E50" s="62"/>
      <c r="F50" s="62"/>
      <c r="G50" s="62"/>
      <c r="H50" s="63"/>
      <c r="I50" s="64"/>
      <c r="J50" s="64"/>
      <c r="K50" s="62"/>
      <c r="V50" s="62"/>
      <c r="X50" s="62"/>
    </row>
  </sheetData>
  <autoFilter ref="A7:Y38" xr:uid="{00000000-0009-0000-0000-000002000000}"/>
  <phoneticPr fontId="1" type="noConversion"/>
  <hyperlinks>
    <hyperlink ref="Y10" r:id="rId1" xr:uid="{00000000-0004-0000-0200-000000000000}"/>
    <hyperlink ref="Y11" r:id="rId2" xr:uid="{00000000-0004-0000-0200-000001000000}"/>
    <hyperlink ref="Y21" r:id="rId3" xr:uid="{00000000-0004-0000-0200-000002000000}"/>
    <hyperlink ref="Y22:Y23" r:id="rId4" display="https://www.bpa.gov/EE/Utility/Evaluation/Evaluation/Impact_Evaluation_of_Res_DHP_and_Prescriptive_Duct_Sealing_Measures_draft_report.pdf" xr:uid="{00000000-0004-0000-0200-000003000000}"/>
    <hyperlink ref="Y24" r:id="rId5" xr:uid="{00000000-0004-0000-0200-000004000000}"/>
    <hyperlink ref="Y25:Y26" r:id="rId6" display="https://www.bpa.gov/EE/Utility/Evaluation/Evaluation/1802_BPA_Residential_Impact_Evaluation_Final_Report.pdf" xr:uid="{00000000-0004-0000-0200-000005000000}"/>
    <hyperlink ref="Y8" r:id="rId7" xr:uid="{00000000-0004-0000-0200-000006000000}"/>
    <hyperlink ref="Y9" r:id="rId8" xr:uid="{00000000-0004-0000-0200-000007000000}"/>
    <hyperlink ref="Y16" r:id="rId9" xr:uid="{00000000-0004-0000-0200-000008000000}"/>
    <hyperlink ref="Y27" r:id="rId10" xr:uid="{00000000-0004-0000-0200-000009000000}"/>
    <hyperlink ref="Y28:Y32" r:id="rId11" display="https://www.bpa.gov/EE/Utility/Evaluation/Evaluation/BPA_2017_Delivery_Verification_Evaluation_Report.pdf" xr:uid="{00000000-0004-0000-0200-00000A000000}"/>
    <hyperlink ref="Y34" r:id="rId12" xr:uid="{00000000-0004-0000-0200-00000B000000}"/>
    <hyperlink ref="Y33" r:id="rId13" xr:uid="{00000000-0004-0000-0200-00000C000000}"/>
    <hyperlink ref="Y14" r:id="rId14" xr:uid="{00000000-0004-0000-0200-00000D000000}"/>
    <hyperlink ref="Y37" r:id="rId15" xr:uid="{00000000-0004-0000-0200-00000E000000}"/>
    <hyperlink ref="Y38" r:id="rId16" xr:uid="{00000000-0004-0000-0200-00000F000000}"/>
    <hyperlink ref="Y20" r:id="rId17" xr:uid="{00000000-0004-0000-0200-000010000000}"/>
    <hyperlink ref="Y12" r:id="rId18" xr:uid="{00000000-0004-0000-0200-000011000000}"/>
  </hyperlinks>
  <pageMargins left="0.7" right="0.7" top="0.75" bottom="0.75" header="0.3" footer="0.3"/>
  <pageSetup orientation="portrait" r:id="rId19"/>
  <legacy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3:F21"/>
  <sheetViews>
    <sheetView zoomScale="55" zoomScaleNormal="55" workbookViewId="0">
      <selection activeCell="D22" sqref="D22"/>
    </sheetView>
  </sheetViews>
  <sheetFormatPr baseColWidth="10" defaultColWidth="8.83203125" defaultRowHeight="15"/>
  <cols>
    <col min="2" max="2" width="33.6640625" customWidth="1"/>
    <col min="3" max="4" width="19.6640625" customWidth="1"/>
    <col min="5" max="5" width="14.33203125" customWidth="1"/>
  </cols>
  <sheetData>
    <row r="3" spans="2:5">
      <c r="E3" s="10"/>
    </row>
    <row r="4" spans="2:5">
      <c r="B4" s="4" t="s">
        <v>69</v>
      </c>
      <c r="C4" s="4" t="s">
        <v>364</v>
      </c>
      <c r="D4" s="4" t="s">
        <v>311</v>
      </c>
      <c r="E4" s="4" t="s">
        <v>386</v>
      </c>
    </row>
    <row r="5" spans="2:5">
      <c r="B5" t="s">
        <v>25</v>
      </c>
      <c r="C5" s="5">
        <f>SUMIF('Realization Rates_Tracker'!$D$8:$D$38, Chart_OverallRR!B5, 'Realization Rates_Tracker'!$S$8:$S$38)</f>
        <v>5.3496692922374427</v>
      </c>
      <c r="D5" s="5">
        <f>SUMIF('Realization Rates_Tracker'!$D$8:$D$38, Chart_OverallRR!B5, 'Realization Rates_Tracker'!$R$8:$R$38)</f>
        <v>3.9231664383561644</v>
      </c>
      <c r="E5" s="11">
        <f>SUMIF('Realization Rates_Tracker'!$D$8:$D$38, Chart_OverallRR!B5, 'Realization Rates_Tracker'!$Q$8:$Q$38)/SUMIF('Realization Rates_Tracker'!$D$8:$D$38, Chart_OverallRR!B5, 'Realization Rates_Tracker'!$P$8:$P$38)</f>
        <v>0.73334746954336338</v>
      </c>
    </row>
    <row r="6" spans="2:5">
      <c r="B6" t="s">
        <v>26</v>
      </c>
      <c r="C6" s="5">
        <f>SUMIF('Realization Rates_Tracker'!$D$8:$D$36, Chart_OverallRR!B6, 'Realization Rates_Tracker'!$S$8:$S$36)</f>
        <v>8.6</v>
      </c>
      <c r="D6" s="5">
        <f>SUMIF('Realization Rates_Tracker'!$D$8:$D$36, Chart_OverallRR!B6, 'Realization Rates_Tracker'!$R$8:$R$36)</f>
        <v>8.52</v>
      </c>
      <c r="E6" s="11">
        <f>SUMIF('Realization Rates_Tracker'!$D$8:$D$36, Chart_OverallRR!B6, 'Realization Rates_Tracker'!$Q$8:$Q$36)/SUMIF('Realization Rates_Tracker'!$D$8:$D$36, Chart_OverallRR!B6, 'Realization Rates_Tracker'!$P$8:$P$36)</f>
        <v>0.99069767441860457</v>
      </c>
    </row>
    <row r="7" spans="2:5">
      <c r="B7" t="s">
        <v>27</v>
      </c>
      <c r="C7" s="5">
        <f>SUMIF('Realization Rates_Tracker'!$D$8:$D$36, Chart_OverallRR!B7, 'Realization Rates_Tracker'!$S$8:$S$36)</f>
        <v>53.824885844748856</v>
      </c>
      <c r="D7" s="5">
        <f>SUMIF('Realization Rates_Tracker'!$D$8:$D$36, Chart_OverallRR!B7, 'Realization Rates_Tracker'!$R$8:$R$36)</f>
        <v>52.967351598173508</v>
      </c>
      <c r="E7" s="11">
        <f>SUMIF('Realization Rates_Tracker'!$D$8:$D$36, Chart_OverallRR!B7, 'Realization Rates_Tracker'!$Q$8:$Q$36)/SUMIF('Realization Rates_Tracker'!$D$8:$D$36, Chart_OverallRR!B7, 'Realization Rates_Tracker'!$P$8:$P$36)</f>
        <v>0.98406807124405626</v>
      </c>
    </row>
    <row r="8" spans="2:5">
      <c r="B8" t="s">
        <v>70</v>
      </c>
      <c r="C8" s="5">
        <f>SUM('Realization Rates_Tracker'!$S$8:$S$36)</f>
        <v>66.390902168949779</v>
      </c>
      <c r="D8" s="5">
        <f>SUM('Realization Rates_Tracker'!$R$8:$R$36)</f>
        <v>63.599970091324209</v>
      </c>
      <c r="E8" s="11">
        <f>SUM('Realization Rates_Tracker'!$Q$8:$Q$36)/SUM('Realization Rates_Tracker'!$P$8:$P$36)</f>
        <v>0.95796213055633306</v>
      </c>
    </row>
    <row r="10" spans="2:5">
      <c r="C10" s="5"/>
      <c r="D10" s="5"/>
    </row>
    <row r="17" spans="6:6">
      <c r="F17" s="1"/>
    </row>
    <row r="18" spans="6:6">
      <c r="F18" s="1"/>
    </row>
    <row r="19" spans="6:6">
      <c r="F19" s="1"/>
    </row>
    <row r="20" spans="6:6">
      <c r="F20" s="1"/>
    </row>
    <row r="21" spans="6:6">
      <c r="F21" s="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M118"/>
  <sheetViews>
    <sheetView topLeftCell="A113" zoomScale="55" zoomScaleNormal="55" workbookViewId="0">
      <selection activeCell="AK79" sqref="AK79"/>
    </sheetView>
  </sheetViews>
  <sheetFormatPr baseColWidth="10" defaultColWidth="8.83203125" defaultRowHeight="15"/>
  <cols>
    <col min="1" max="1" width="33.33203125" bestFit="1" customWidth="1"/>
    <col min="2" max="2" width="33.5" bestFit="1" customWidth="1"/>
    <col min="3" max="3" width="24.1640625" bestFit="1" customWidth="1"/>
    <col min="4" max="4" width="25.1640625" bestFit="1" customWidth="1"/>
    <col min="5" max="5" width="48.5" customWidth="1"/>
    <col min="6" max="6" width="18.5" customWidth="1"/>
    <col min="7" max="7" width="5.83203125" customWidth="1"/>
    <col min="8" max="12" width="4.33203125" bestFit="1" customWidth="1"/>
    <col min="13" max="14" width="5.1640625" bestFit="1" customWidth="1"/>
    <col min="15" max="18" width="4.33203125" bestFit="1" customWidth="1"/>
    <col min="19" max="19" width="1.6640625" bestFit="1" customWidth="1"/>
    <col min="20" max="22" width="4.33203125" bestFit="1" customWidth="1"/>
    <col min="23" max="23" width="3.5" bestFit="1" customWidth="1"/>
    <col min="24" max="24" width="4.33203125" bestFit="1" customWidth="1"/>
    <col min="25" max="25" width="6.33203125" bestFit="1" customWidth="1"/>
    <col min="26" max="26" width="9.83203125" bestFit="1" customWidth="1"/>
    <col min="27" max="27" width="6.33203125" bestFit="1" customWidth="1"/>
    <col min="28" max="28" width="8.1640625" bestFit="1" customWidth="1"/>
    <col min="29" max="29" width="6.33203125" bestFit="1" customWidth="1"/>
    <col min="30" max="30" width="8.1640625" bestFit="1" customWidth="1"/>
    <col min="31" max="31" width="5.83203125" bestFit="1" customWidth="1"/>
    <col min="32" max="32" width="8.1640625" bestFit="1" customWidth="1"/>
    <col min="33" max="33" width="6.33203125" bestFit="1" customWidth="1"/>
    <col min="34" max="34" width="8.1640625" bestFit="1" customWidth="1"/>
    <col min="35" max="35" width="6.33203125" bestFit="1" customWidth="1"/>
    <col min="36" max="36" width="15.83203125" customWidth="1"/>
    <col min="37" max="37" width="6.33203125" bestFit="1" customWidth="1"/>
    <col min="38" max="38" width="8.1640625" bestFit="1" customWidth="1"/>
    <col min="39" max="39" width="6.33203125" bestFit="1" customWidth="1"/>
    <col min="40" max="40" width="8.1640625" bestFit="1" customWidth="1"/>
    <col min="41" max="41" width="6.33203125" bestFit="1" customWidth="1"/>
    <col min="42" max="42" width="8.1640625" bestFit="1" customWidth="1"/>
    <col min="43" max="43" width="6.33203125" bestFit="1" customWidth="1"/>
    <col min="44" max="44" width="7.33203125" bestFit="1" customWidth="1"/>
    <col min="45" max="45" width="6.33203125" bestFit="1" customWidth="1"/>
    <col min="46" max="46" width="8.1640625" bestFit="1" customWidth="1"/>
    <col min="47" max="47" width="8"/>
    <col min="48" max="48" width="10.6640625" bestFit="1" customWidth="1"/>
    <col min="49" max="49" width="9.83203125" bestFit="1" customWidth="1"/>
  </cols>
  <sheetData>
    <row r="1" spans="1:5">
      <c r="A1" s="8" t="s">
        <v>24</v>
      </c>
      <c r="B1" t="s">
        <v>26</v>
      </c>
      <c r="D1" t="s">
        <v>71</v>
      </c>
    </row>
    <row r="2" spans="1:5">
      <c r="A2" s="8" t="s">
        <v>5</v>
      </c>
      <c r="B2" t="s">
        <v>50</v>
      </c>
    </row>
    <row r="4" spans="1:5">
      <c r="B4" t="s">
        <v>387</v>
      </c>
      <c r="C4" t="s">
        <v>364</v>
      </c>
      <c r="D4" t="s">
        <v>311</v>
      </c>
      <c r="E4" t="s">
        <v>77</v>
      </c>
    </row>
    <row r="5" spans="1:5">
      <c r="A5" s="9" t="s">
        <v>333</v>
      </c>
      <c r="B5" s="29">
        <v>1</v>
      </c>
      <c r="C5" s="2">
        <v>5.08</v>
      </c>
      <c r="D5" s="2">
        <v>5.09</v>
      </c>
      <c r="E5" s="1">
        <f>VLOOKUP(A5,'Realization Rates_Tracker'!$G$8:$L$36,6,FALSE)</f>
        <v>2E-3</v>
      </c>
    </row>
    <row r="6" spans="1:5">
      <c r="A6" s="9" t="s">
        <v>334</v>
      </c>
      <c r="B6" s="29">
        <v>0.92900000000000005</v>
      </c>
      <c r="C6" s="2">
        <v>0.48999999999999994</v>
      </c>
      <c r="D6" s="2">
        <v>0.46</v>
      </c>
      <c r="E6" s="29">
        <f>VLOOKUP(A6,'Realization Rates_Tracker'!$G$8:$L$36,6,FALSE)</f>
        <v>5.5E-2</v>
      </c>
    </row>
    <row r="7" spans="1:5">
      <c r="A7" s="9" t="s">
        <v>350</v>
      </c>
      <c r="B7" s="29">
        <v>0.95</v>
      </c>
      <c r="C7" s="2">
        <v>1.01</v>
      </c>
      <c r="D7" s="2">
        <v>0.95</v>
      </c>
      <c r="E7" s="29">
        <f>VLOOKUP(A7,'Realization Rates_Tracker'!$G$8:$L$36,6,FALSE)</f>
        <v>2.7E-2</v>
      </c>
    </row>
    <row r="8" spans="1:5">
      <c r="A8" s="9" t="s">
        <v>351</v>
      </c>
      <c r="B8" s="29">
        <v>1</v>
      </c>
      <c r="C8" s="2">
        <v>0.71</v>
      </c>
      <c r="D8" s="2">
        <v>0.71</v>
      </c>
      <c r="E8" s="29">
        <f>VLOOKUP(A8,'Realization Rates_Tracker'!$G$8:$L$36,6,FALSE)</f>
        <v>1.6E-2</v>
      </c>
    </row>
    <row r="9" spans="1:5">
      <c r="A9" s="9" t="s">
        <v>352</v>
      </c>
      <c r="B9" s="29">
        <v>1</v>
      </c>
      <c r="C9" s="2">
        <v>0.94</v>
      </c>
      <c r="D9" s="2">
        <v>0.94</v>
      </c>
      <c r="E9" s="29">
        <f>VLOOKUP(A9,'Realization Rates_Tracker'!$G$8:$L$36,6,FALSE)</f>
        <v>5.7099999999999998E-2</v>
      </c>
    </row>
    <row r="10" spans="1:5">
      <c r="A10" s="9" t="s">
        <v>353</v>
      </c>
      <c r="B10" s="29">
        <v>1.0900000000000001</v>
      </c>
      <c r="C10" s="2">
        <v>0.11</v>
      </c>
      <c r="D10" s="2">
        <v>0.11</v>
      </c>
      <c r="E10" s="29">
        <f>VLOOKUP(A10,'Realization Rates_Tracker'!$G$8:$L$36,6,FALSE)</f>
        <v>7.0000000000000007E-2</v>
      </c>
    </row>
    <row r="11" spans="1:5">
      <c r="A11" s="9" t="s">
        <v>354</v>
      </c>
      <c r="B11" s="29">
        <v>1</v>
      </c>
      <c r="C11" s="2">
        <v>0.2</v>
      </c>
      <c r="D11" s="2">
        <v>0.2</v>
      </c>
      <c r="E11" s="29" t="str">
        <f>VLOOKUP(A11,'Realization Rates_Tracker'!$G$8:$L$36,6,FALSE)</f>
        <v>N/A</v>
      </c>
    </row>
    <row r="12" spans="1:5">
      <c r="A12" s="9" t="s">
        <v>355</v>
      </c>
      <c r="B12" s="29">
        <v>1</v>
      </c>
      <c r="C12" s="2">
        <v>6.0000000000000005E-2</v>
      </c>
      <c r="D12" s="2">
        <v>0.06</v>
      </c>
      <c r="E12" s="29" t="str">
        <f>VLOOKUP(A12,'Realization Rates_Tracker'!$G$8:$L$36,6,FALSE)</f>
        <v>N/A</v>
      </c>
    </row>
    <row r="13" spans="1:5">
      <c r="A13" s="9" t="s">
        <v>51</v>
      </c>
      <c r="B13" s="29">
        <v>7.9689999999999994</v>
      </c>
      <c r="C13" s="2">
        <v>8.6</v>
      </c>
      <c r="D13" s="2">
        <v>8.52</v>
      </c>
      <c r="E13" s="1" t="e">
        <f>VLOOKUP(A13,'Realization Rates_Tracker'!$H$8:$L$36,6,FALSE)</f>
        <v>#N/A</v>
      </c>
    </row>
    <row r="16" spans="1:5">
      <c r="E16" s="1"/>
    </row>
    <row r="24" spans="6:6">
      <c r="F24" s="8"/>
    </row>
    <row r="25" spans="6:6">
      <c r="F25" s="8"/>
    </row>
    <row r="48" spans="1:2">
      <c r="A48" s="8" t="s">
        <v>24</v>
      </c>
      <c r="B48" t="s">
        <v>27</v>
      </c>
    </row>
    <row r="49" spans="1:5">
      <c r="A49" s="8" t="s">
        <v>5</v>
      </c>
      <c r="B49" t="s">
        <v>50</v>
      </c>
    </row>
    <row r="51" spans="1:5">
      <c r="A51" s="8" t="s">
        <v>52</v>
      </c>
      <c r="B51" t="s">
        <v>387</v>
      </c>
      <c r="C51" t="s">
        <v>364</v>
      </c>
      <c r="D51" t="s">
        <v>311</v>
      </c>
      <c r="E51" s="8" t="s">
        <v>77</v>
      </c>
    </row>
    <row r="52" spans="1:5">
      <c r="A52" s="9" t="s">
        <v>335</v>
      </c>
      <c r="B52" s="29">
        <v>0.93</v>
      </c>
      <c r="C52" s="2">
        <v>10.970662100456622</v>
      </c>
      <c r="D52" s="2">
        <v>10.213584474885845</v>
      </c>
      <c r="E52" s="1">
        <f>VLOOKUP(A52,'Realization Rates_Tracker'!$G$8:$L$36,6,FALSE)</f>
        <v>0.05</v>
      </c>
    </row>
    <row r="53" spans="1:5">
      <c r="A53" s="9" t="s">
        <v>337</v>
      </c>
      <c r="B53" s="29">
        <v>1.1499999999999999</v>
      </c>
      <c r="C53" s="2">
        <v>2.9787671232876711</v>
      </c>
      <c r="D53" s="2">
        <v>3.4116438356164385</v>
      </c>
      <c r="E53" s="29">
        <f>VLOOKUP(A53,'Realization Rates_Tracker'!$G$8:$L$36,6,FALSE)</f>
        <v>0.19</v>
      </c>
    </row>
    <row r="54" spans="1:5">
      <c r="A54" s="9" t="s">
        <v>336</v>
      </c>
      <c r="B54" s="29">
        <v>0.93</v>
      </c>
      <c r="C54" s="2">
        <v>4.0473744292237441</v>
      </c>
      <c r="D54" s="2">
        <v>3.7804794520547946</v>
      </c>
      <c r="E54" s="29">
        <f>VLOOKUP(A54,'Realization Rates_Tracker'!$G$8:$L$36,6,FALSE)</f>
        <v>0.08</v>
      </c>
    </row>
    <row r="55" spans="1:5">
      <c r="A55" s="9" t="s">
        <v>348</v>
      </c>
      <c r="B55" s="29">
        <v>0.99</v>
      </c>
      <c r="C55" s="2">
        <v>13.907534246575343</v>
      </c>
      <c r="D55" s="2">
        <v>13.736529680365297</v>
      </c>
      <c r="E55" s="29">
        <f>VLOOKUP(A55,'Realization Rates_Tracker'!$G$8:$L$36,6,FALSE)</f>
        <v>0.05</v>
      </c>
    </row>
    <row r="56" spans="1:5">
      <c r="A56" s="9" t="s">
        <v>338</v>
      </c>
      <c r="B56" s="29">
        <v>1.0900000000000001</v>
      </c>
      <c r="C56" s="2">
        <v>10.764840182648403</v>
      </c>
      <c r="D56" s="2">
        <v>11.690296803652968</v>
      </c>
      <c r="E56" s="29">
        <f>VLOOKUP(A56,'Realization Rates_Tracker'!$G$8:$L$36,6,FALSE)</f>
        <v>0.08</v>
      </c>
    </row>
    <row r="57" spans="1:5">
      <c r="A57" s="9" t="s">
        <v>340</v>
      </c>
      <c r="B57" s="29">
        <v>1.1000000000000001</v>
      </c>
      <c r="C57" s="2">
        <v>4.2127853881278536</v>
      </c>
      <c r="D57" s="2">
        <v>4.6547945205479451</v>
      </c>
      <c r="E57" s="29">
        <f>VLOOKUP(A57,'Realization Rates_Tracker'!$G$8:$L$36,6,FALSE)</f>
        <v>0.08</v>
      </c>
    </row>
    <row r="58" spans="1:5">
      <c r="A58" s="9" t="s">
        <v>349</v>
      </c>
      <c r="B58" s="29">
        <v>0.49</v>
      </c>
      <c r="C58" s="2">
        <v>3.0174657534246574</v>
      </c>
      <c r="D58" s="2">
        <v>1.4929223744292237</v>
      </c>
      <c r="E58" s="29">
        <f>VLOOKUP(A58,'Realization Rates_Tracker'!$G$8:$L$36,6,FALSE)</f>
        <v>0.18</v>
      </c>
    </row>
    <row r="59" spans="1:5">
      <c r="A59" s="9" t="s">
        <v>339</v>
      </c>
      <c r="B59" s="29">
        <v>1.02</v>
      </c>
      <c r="C59" s="2">
        <v>1.1694063926940639</v>
      </c>
      <c r="D59" s="2">
        <v>1.1921232876712329</v>
      </c>
      <c r="E59" s="29">
        <f>VLOOKUP(A59,'Realization Rates_Tracker'!$G$8:$L$36,6,FALSE)</f>
        <v>0.03</v>
      </c>
    </row>
    <row r="60" spans="1:5">
      <c r="A60" s="9" t="s">
        <v>341</v>
      </c>
      <c r="B60" s="29">
        <v>1.01</v>
      </c>
      <c r="C60" s="2">
        <v>2.7560502283105022</v>
      </c>
      <c r="D60" s="2">
        <v>2.7949771689497718</v>
      </c>
      <c r="E60" s="29">
        <f>VLOOKUP(A60,'Realization Rates_Tracker'!$G$8:$L$36,6,FALSE)</f>
        <v>7.0000000000000007E-2</v>
      </c>
    </row>
    <row r="61" spans="1:5">
      <c r="A61" s="9" t="s">
        <v>51</v>
      </c>
      <c r="B61" s="29">
        <v>8.7099999999999991</v>
      </c>
      <c r="C61" s="2">
        <v>53.824885844748856</v>
      </c>
      <c r="D61" s="2">
        <v>52.967351598173515</v>
      </c>
    </row>
    <row r="65" spans="1:39">
      <c r="E65" s="1"/>
    </row>
    <row r="66" spans="1:39">
      <c r="E66" s="1"/>
    </row>
    <row r="67" spans="1:39">
      <c r="E67" s="1"/>
    </row>
    <row r="68" spans="1:39">
      <c r="E68" s="1"/>
    </row>
    <row r="69" spans="1:39">
      <c r="E69" s="1"/>
    </row>
    <row r="70" spans="1:39">
      <c r="E70" s="1"/>
    </row>
    <row r="71" spans="1:39">
      <c r="E71" s="1"/>
    </row>
    <row r="74" spans="1:39">
      <c r="A74" s="8" t="s">
        <v>24</v>
      </c>
      <c r="B74" t="s">
        <v>25</v>
      </c>
    </row>
    <row r="75" spans="1:39">
      <c r="A75" s="8" t="s">
        <v>5</v>
      </c>
      <c r="B75" t="s">
        <v>50</v>
      </c>
    </row>
    <row r="77" spans="1:39">
      <c r="A77" s="8" t="s">
        <v>52</v>
      </c>
      <c r="B77" t="s">
        <v>387</v>
      </c>
      <c r="C77" t="s">
        <v>364</v>
      </c>
      <c r="D77" t="s">
        <v>311</v>
      </c>
      <c r="E77" s="8" t="s">
        <v>77</v>
      </c>
      <c r="AJ77" t="s">
        <v>392</v>
      </c>
      <c r="AK77" s="29">
        <f>AK78-AM78</f>
        <v>-0.5</v>
      </c>
      <c r="AM77" s="66" t="s">
        <v>393</v>
      </c>
    </row>
    <row r="78" spans="1:39">
      <c r="A78" s="9" t="s">
        <v>363</v>
      </c>
      <c r="B78" s="29">
        <v>0.56000000000000005</v>
      </c>
      <c r="C78" s="2">
        <v>0.52910262557077625</v>
      </c>
      <c r="D78" s="2">
        <v>0.29393835616438357</v>
      </c>
      <c r="E78" s="1" t="e">
        <f>VLOOKUP(A78,'Realization Rates_Tracker'!$G$8:$L$36,6,FALSE)</f>
        <v>#N/A</v>
      </c>
      <c r="AJ78" s="66" t="s">
        <v>395</v>
      </c>
      <c r="AK78" s="29">
        <v>0.5</v>
      </c>
      <c r="AM78" s="29">
        <v>1</v>
      </c>
    </row>
    <row r="79" spans="1:39">
      <c r="A79" s="9" t="s">
        <v>345</v>
      </c>
      <c r="B79" s="29">
        <v>0.62</v>
      </c>
      <c r="C79" s="2">
        <v>0.28384520547945202</v>
      </c>
      <c r="D79" s="2">
        <v>0.17510273972602741</v>
      </c>
      <c r="E79" s="29">
        <f>VLOOKUP(A79,'Realization Rates_Tracker'!$G$8:$L$36,6,FALSE)</f>
        <v>0.1</v>
      </c>
      <c r="AJ79" t="s">
        <v>394</v>
      </c>
      <c r="AK79" s="29">
        <f>AK78+AM78</f>
        <v>1.5</v>
      </c>
    </row>
    <row r="80" spans="1:39">
      <c r="A80" s="9" t="s">
        <v>342</v>
      </c>
      <c r="B80" s="29">
        <v>0.503</v>
      </c>
      <c r="C80" s="2">
        <v>0.32504178082191781</v>
      </c>
      <c r="D80" s="2">
        <v>0.16348173515981734</v>
      </c>
      <c r="E80" s="29">
        <f>VLOOKUP(A80,'Realization Rates_Tracker'!$G$8:$L$36,6,FALSE)</f>
        <v>9.1999999999999998E-2</v>
      </c>
    </row>
    <row r="81" spans="1:5">
      <c r="A81" s="9" t="s">
        <v>343</v>
      </c>
      <c r="B81" s="29">
        <v>0.84299999999999997</v>
      </c>
      <c r="C81" s="2">
        <v>0.40196210045662101</v>
      </c>
      <c r="D81" s="2">
        <v>0.33906392694063925</v>
      </c>
      <c r="E81" s="29">
        <f>VLOOKUP(A81,'Realization Rates_Tracker'!$G$8:$L$36,6,FALSE)</f>
        <v>9.9000000000000005E-2</v>
      </c>
    </row>
    <row r="82" spans="1:5">
      <c r="A82" s="9" t="s">
        <v>360</v>
      </c>
      <c r="B82" s="29">
        <v>0.79</v>
      </c>
      <c r="C82" s="2">
        <v>1.6042237442922374</v>
      </c>
      <c r="D82" s="2">
        <v>1.2712328767123289</v>
      </c>
      <c r="E82" s="29" t="e">
        <f>VLOOKUP(A82,'Realization Rates_Tracker'!$G$8:$L$36,6,FALSE)</f>
        <v>#N/A</v>
      </c>
    </row>
    <row r="83" spans="1:5">
      <c r="A83" s="9" t="s">
        <v>347</v>
      </c>
      <c r="B83" s="29">
        <v>0.33</v>
      </c>
      <c r="C83" s="2">
        <v>0.69639063926940636</v>
      </c>
      <c r="D83" s="2">
        <v>0.22742009132420091</v>
      </c>
      <c r="E83" s="29">
        <f>VLOOKUP(A83,'Realization Rates_Tracker'!$G$8:$L$36,6,FALSE)</f>
        <v>0.15</v>
      </c>
    </row>
    <row r="84" spans="1:5">
      <c r="A84" s="9" t="s">
        <v>344</v>
      </c>
      <c r="B84" s="29">
        <v>-0.26200000000000001</v>
      </c>
      <c r="C84" s="2">
        <v>2.7906164383561645E-2</v>
      </c>
      <c r="D84" s="2">
        <v>-7.3287671232876717E-3</v>
      </c>
      <c r="E84" s="29">
        <f>VLOOKUP(A84,'Realization Rates_Tracker'!$G$8:$L$36,6,FALSE)</f>
        <v>0.69</v>
      </c>
    </row>
    <row r="85" spans="1:5">
      <c r="A85" s="9" t="s">
        <v>361</v>
      </c>
      <c r="B85" s="29">
        <v>1.05</v>
      </c>
      <c r="C85" s="2">
        <v>1.0994292237442922</v>
      </c>
      <c r="D85" s="2">
        <v>1.1493150684931508</v>
      </c>
      <c r="E85" s="29" t="e">
        <f>VLOOKUP(A85,'Realization Rates_Tracker'!$G$8:$L$36,6,FALSE)</f>
        <v>#N/A</v>
      </c>
    </row>
    <row r="86" spans="1:5">
      <c r="A86" s="9" t="s">
        <v>332</v>
      </c>
      <c r="B86" s="29">
        <v>0.68</v>
      </c>
      <c r="C86" s="2">
        <v>0.20764383561643837</v>
      </c>
      <c r="D86" s="2">
        <v>0.14047945205479451</v>
      </c>
      <c r="E86" s="29">
        <f>VLOOKUP(A86,'Realization Rates_Tracker'!$G$8:$L$36,6,FALSE)</f>
        <v>0.18</v>
      </c>
    </row>
    <row r="87" spans="1:5">
      <c r="A87" s="9" t="s">
        <v>51</v>
      </c>
      <c r="B87" s="29">
        <v>5.1139999999999999</v>
      </c>
      <c r="C87" s="2">
        <v>5.1755453196347032</v>
      </c>
      <c r="D87" s="2">
        <v>3.7527054794520551</v>
      </c>
    </row>
    <row r="108" spans="1:5">
      <c r="A108" s="8" t="s">
        <v>24</v>
      </c>
      <c r="B108" t="s">
        <v>65</v>
      </c>
    </row>
    <row r="109" spans="1:5">
      <c r="A109" s="8" t="s">
        <v>5</v>
      </c>
      <c r="B109" t="s">
        <v>50</v>
      </c>
      <c r="E109" t="s">
        <v>77</v>
      </c>
    </row>
    <row r="110" spans="1:5">
      <c r="E110" s="1" t="str">
        <f>VLOOKUP(A112,'Realization Rates_Tracker'!$G$8:$L$36,6,FALSE)</f>
        <v>N/A</v>
      </c>
    </row>
    <row r="111" spans="1:5">
      <c r="A111" s="8" t="s">
        <v>52</v>
      </c>
      <c r="B111" t="s">
        <v>387</v>
      </c>
      <c r="C111" t="s">
        <v>364</v>
      </c>
      <c r="D111" t="s">
        <v>311</v>
      </c>
      <c r="E111" s="1" t="e">
        <f>VLOOKUP(A113,'Realization Rates_Tracker'!$H$8:$L$36,8,FALSE)</f>
        <v>#N/A</v>
      </c>
    </row>
    <row r="112" spans="1:5">
      <c r="A112" s="9" t="s">
        <v>358</v>
      </c>
      <c r="B112" s="29">
        <v>0.42</v>
      </c>
      <c r="C112" s="2">
        <v>0.02</v>
      </c>
      <c r="D112" s="2">
        <v>0.01</v>
      </c>
      <c r="E112" s="29" t="e">
        <f>VLOOKUP(A114,'Realization Rates_Tracker'!$H$8:$L$36,8,FALSE)</f>
        <v>#N/A</v>
      </c>
    </row>
    <row r="113" spans="1:5">
      <c r="A113" s="9" t="s">
        <v>356</v>
      </c>
      <c r="B113" s="29">
        <v>0.78</v>
      </c>
      <c r="C113" s="2">
        <v>0.25</v>
      </c>
      <c r="D113" s="2">
        <v>0.2</v>
      </c>
      <c r="E113" s="29" t="e">
        <f>VLOOKUP(A115,'Realization Rates_Tracker'!$H$8:$L$36,8,FALSE)</f>
        <v>#N/A</v>
      </c>
    </row>
    <row r="114" spans="1:5">
      <c r="A114" s="9" t="s">
        <v>357</v>
      </c>
      <c r="B114" s="29">
        <v>0.56999999999999995</v>
      </c>
      <c r="C114" s="2">
        <v>7.0000000000000007E-2</v>
      </c>
      <c r="D114" s="2">
        <v>0.04</v>
      </c>
      <c r="E114" s="29" t="e">
        <f>VLOOKUP(A116,'Realization Rates_Tracker'!$H$8:$L$36,8,FALSE)</f>
        <v>#N/A</v>
      </c>
    </row>
    <row r="115" spans="1:5">
      <c r="A115" s="9" t="s">
        <v>359</v>
      </c>
      <c r="B115" s="29">
        <v>0.37</v>
      </c>
      <c r="C115" s="2">
        <v>0.97999999999999987</v>
      </c>
      <c r="D115" s="2">
        <v>0.36</v>
      </c>
      <c r="E115" s="29" t="e">
        <f>VLOOKUP(A117,'Realization Rates_Tracker'!$H$8:$L$36,8,FALSE)</f>
        <v>#N/A</v>
      </c>
    </row>
    <row r="116" spans="1:5">
      <c r="A116" s="9" t="s">
        <v>51</v>
      </c>
      <c r="B116" s="29">
        <v>2.14</v>
      </c>
      <c r="C116" s="2">
        <v>1.3199999999999998</v>
      </c>
      <c r="D116" s="2">
        <v>0.61</v>
      </c>
      <c r="E116" s="29" t="e">
        <f>VLOOKUP(A118,'Realization Rates_Tracker'!$H$8:$L$36,8,FALSE)</f>
        <v>#N/A</v>
      </c>
    </row>
    <row r="117" spans="1:5">
      <c r="E117" s="29" t="e">
        <f>VLOOKUP(A119,'Realization Rates_Tracker'!$H$8:$L$36,8,FALSE)</f>
        <v>#N/A</v>
      </c>
    </row>
    <row r="118" spans="1:5">
      <c r="E118" s="1" t="e">
        <f>VLOOKUP(A120,'Realization Rates_Tracker'!$H$8:$L$36,8,FALSE)</f>
        <v>#N/A</v>
      </c>
    </row>
  </sheetData>
  <pageMargins left="0.7" right="0.7" top="0.75" bottom="0.75" header="0.3" footer="0.3"/>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DE78EBD32380143879455D2E3C24255" ma:contentTypeVersion="1" ma:contentTypeDescription="Create a new document." ma:contentTypeScope="" ma:versionID="20319459b37a87242765d8bb71a8d146">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DABC42-2F3B-4E53-BB07-98554A0F3949}"/>
</file>

<file path=customXml/itemProps2.xml><?xml version="1.0" encoding="utf-8"?>
<ds:datastoreItem xmlns:ds="http://schemas.openxmlformats.org/officeDocument/2006/customXml" ds:itemID="{0524FDC7-7C05-4944-96CC-8FAB4EA960D3}"/>
</file>

<file path=customXml/itemProps3.xml><?xml version="1.0" encoding="utf-8"?>
<ds:datastoreItem xmlns:ds="http://schemas.openxmlformats.org/officeDocument/2006/customXml" ds:itemID="{B847A8F8-3574-4F90-98AB-88F097267B8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RecommendationsTracker</vt:lpstr>
      <vt:lpstr>Realization Rates_Tracker</vt:lpstr>
      <vt:lpstr>Chart_OverallRR</vt:lpstr>
      <vt:lpstr>Chart_RRMethod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Katherine Steward</dc:creator>
  <dc:description/>
  <cp:lastModifiedBy>Microsoft Office User</cp:lastModifiedBy>
  <dcterms:created xsi:type="dcterms:W3CDTF">2020-04-16T15:02:21Z</dcterms:created>
  <dcterms:modified xsi:type="dcterms:W3CDTF">2021-09-17T20:05:18Z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0x010100BDE78EBD32380143879455D2E3C24255</vt:lpwstr>
  </property>
  <property fmtid="{D5CDD505-2E9C-101B-9397-08002B2CF9AE}" pid="3" name="_Coverage">
    <vt:lpwstr/>
  </property>
  <property fmtid="{D5CDD505-2E9C-101B-9397-08002B2CF9AE}" pid="4" name="_Format">
    <vt:lpwstr/>
  </property>
  <property fmtid="{D5CDD505-2E9C-101B-9397-08002B2CF9AE}" pid="5" name="Order">
    <vt:r8>32000</vt:r8>
  </property>
  <property fmtid="{D5CDD505-2E9C-101B-9397-08002B2CF9AE}" pid="6" name="_Relation">
    <vt:lpwstr/>
  </property>
  <property fmtid="{D5CDD505-2E9C-101B-9397-08002B2CF9AE}" pid="7" name="_Contributor">
    <vt:lpwstr/>
  </property>
  <property fmtid="{D5CDD505-2E9C-101B-9397-08002B2CF9AE}" pid="8" name="Language">
    <vt:lpwstr/>
  </property>
  <property fmtid="{D5CDD505-2E9C-101B-9397-08002B2CF9AE}" pid="9" name="xd_Signature">
    <vt:bool>false</vt:bool>
  </property>
  <property fmtid="{D5CDD505-2E9C-101B-9397-08002B2CF9AE}" pid="10" name="xd_ProgID">
    <vt:lpwstr/>
  </property>
  <property fmtid="{D5CDD505-2E9C-101B-9397-08002B2CF9AE}" pid="11" name="_Source">
    <vt:lpwstr/>
  </property>
  <property fmtid="{D5CDD505-2E9C-101B-9397-08002B2CF9AE}" pid="12" name="Tags">
    <vt:lpwstr/>
  </property>
  <property fmtid="{D5CDD505-2E9C-101B-9397-08002B2CF9AE}" pid="13" name="_Identifier">
    <vt:lpwstr/>
  </property>
  <property fmtid="{D5CDD505-2E9C-101B-9397-08002B2CF9AE}" pid="14" name="_ResourceType">
    <vt:lpwstr/>
  </property>
  <property fmtid="{D5CDD505-2E9C-101B-9397-08002B2CF9AE}" pid="15" name="_SourceUrl">
    <vt:lpwstr/>
  </property>
  <property fmtid="{D5CDD505-2E9C-101B-9397-08002B2CF9AE}" pid="16" name="_SharedFileIndex">
    <vt:lpwstr/>
  </property>
  <property fmtid="{D5CDD505-2E9C-101B-9397-08002B2CF9AE}" pid="17" name="TaxCatchAll">
    <vt:lpwstr/>
  </property>
  <property fmtid="{D5CDD505-2E9C-101B-9397-08002B2CF9AE}" pid="18" name="_Publisher">
    <vt:lpwstr/>
  </property>
  <property fmtid="{D5CDD505-2E9C-101B-9397-08002B2CF9AE}" pid="19" name="TemplateUrl">
    <vt:lpwstr/>
  </property>
  <property fmtid="{D5CDD505-2E9C-101B-9397-08002B2CF9AE}" pid="20" name="pb95b497b12c48a38c5a5dfead4fe67f">
    <vt:lpwstr/>
  </property>
</Properties>
</file>